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drawings/drawing4.xml" ContentType="application/vnd.openxmlformats-officedocument.drawing+xml"/>
  <Override PartName="/xl/comments3.xml" ContentType="application/vnd.openxmlformats-officedocument.spreadsheetml.comments+xml"/>
  <Override PartName="/xl/drawings/drawing5.xml" ContentType="application/vnd.openxmlformats-officedocument.drawing+xml"/>
  <Override PartName="/xl/comments4.xml" ContentType="application/vnd.openxmlformats-officedocument.spreadsheetml.comments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531"/>
  <workbookPr filterPrivacy="1" codeName="Ten_skoroszyt" defaultThemeVersion="124226"/>
  <xr:revisionPtr revIDLastSave="0" documentId="13_ncr:1_{C62C016A-96FB-45B8-9039-A522D2B58639}" xr6:coauthVersionLast="47" xr6:coauthVersionMax="47" xr10:uidLastSave="{00000000-0000-0000-0000-000000000000}"/>
  <workbookProtection workbookAlgorithmName="SHA-512" workbookHashValue="YeUYOuKp7V5D0ssSZGn6fwAGDhvxWxJAUAOo3tc7WvSeVwXFnrxR/r8j2bQZAuCmNR9CXLGZt8u5UiaJxwhjYQ==" workbookSaltValue="9bvXzqcxgOQJpY4hjkSrNA==" workbookSpinCount="100000" lockStructure="1"/>
  <bookViews>
    <workbookView xWindow="-120" yWindow="-120" windowWidth="29040" windowHeight="15840" tabRatio="799" xr2:uid="{00000000-000D-0000-FFFF-FFFF00000000}"/>
  </bookViews>
  <sheets>
    <sheet name="Podmienky používania+inštrukcie" sheetId="49" r:id="rId1"/>
    <sheet name="cenník" sheetId="39" r:id="rId2"/>
    <sheet name="šikmé strechy" sheetId="46" r:id="rId3"/>
    <sheet name="ploché strechy" sheetId="47" r:id="rId4"/>
    <sheet name="konštrukcie voľne stojace" sheetId="48" r:id="rId5"/>
    <sheet name="fasády + zábradlia" sheetId="44" r:id="rId6"/>
    <sheet name="doplnok" sheetId="42" r:id="rId7"/>
  </sheets>
  <definedNames>
    <definedName name="solver_adj" localSheetId="4" hidden="1">'konštrukcie voľne stojace'!$AL$194:$AL$195</definedName>
    <definedName name="solver_adj" localSheetId="3" hidden="1">'ploché strechy'!$GZ$73:$GZ$75</definedName>
    <definedName name="solver_adj" localSheetId="2" hidden="1">'šikmé strechy'!$AU$19:$AU$20</definedName>
    <definedName name="solver_cvg" localSheetId="4" hidden="1">0.0001</definedName>
    <definedName name="solver_cvg" localSheetId="3" hidden="1">0.0001</definedName>
    <definedName name="solver_cvg" localSheetId="2" hidden="1">0.0001</definedName>
    <definedName name="solver_drv" localSheetId="4" hidden="1">2</definedName>
    <definedName name="solver_drv" localSheetId="3" hidden="1">1</definedName>
    <definedName name="solver_drv" localSheetId="2" hidden="1">2</definedName>
    <definedName name="solver_eng" localSheetId="4" hidden="1">1</definedName>
    <definedName name="solver_eng" localSheetId="3" hidden="1">1</definedName>
    <definedName name="solver_eng" localSheetId="2" hidden="1">1</definedName>
    <definedName name="solver_est" localSheetId="4" hidden="1">1</definedName>
    <definedName name="solver_est" localSheetId="3" hidden="1">1</definedName>
    <definedName name="solver_est" localSheetId="2" hidden="1">1</definedName>
    <definedName name="solver_itr" localSheetId="4" hidden="1">2147483647</definedName>
    <definedName name="solver_itr" localSheetId="3" hidden="1">2147483647</definedName>
    <definedName name="solver_itr" localSheetId="2" hidden="1">2147483647</definedName>
    <definedName name="solver_lhs1" localSheetId="4" hidden="1">'konštrukcie voľne stojace'!$AL$194:$AL$195</definedName>
    <definedName name="solver_lhs1" localSheetId="3" hidden="1">'ploché strechy'!$GZ$73:$GZ$75</definedName>
    <definedName name="solver_lhs1" localSheetId="2" hidden="1">'šikmé strechy'!$AU$19:$AU$20</definedName>
    <definedName name="solver_lhs2" localSheetId="4" hidden="1">'konštrukcie voľne stojace'!$AM$197</definedName>
    <definedName name="solver_lhs2" localSheetId="3" hidden="1">'ploché strechy'!$HA$77</definedName>
    <definedName name="solver_lhs2" localSheetId="2" hidden="1">'šikmé strechy'!$AV$22</definedName>
    <definedName name="solver_mip" localSheetId="4" hidden="1">2147483647</definedName>
    <definedName name="solver_mip" localSheetId="3" hidden="1">2147483647</definedName>
    <definedName name="solver_mip" localSheetId="2" hidden="1">2147483647</definedName>
    <definedName name="solver_mni" localSheetId="4" hidden="1">30</definedName>
    <definedName name="solver_mni" localSheetId="3" hidden="1">30</definedName>
    <definedName name="solver_mni" localSheetId="2" hidden="1">30</definedName>
    <definedName name="solver_mrt" localSheetId="4" hidden="1">0.075</definedName>
    <definedName name="solver_mrt" localSheetId="3" hidden="1">0.075</definedName>
    <definedName name="solver_mrt" localSheetId="2" hidden="1">0.075</definedName>
    <definedName name="solver_msl" localSheetId="4" hidden="1">2</definedName>
    <definedName name="solver_msl" localSheetId="3" hidden="1">2</definedName>
    <definedName name="solver_msl" localSheetId="2" hidden="1">2</definedName>
    <definedName name="solver_neg" localSheetId="4" hidden="1">1</definedName>
    <definedName name="solver_neg" localSheetId="3" hidden="1">1</definedName>
    <definedName name="solver_neg" localSheetId="2" hidden="1">1</definedName>
    <definedName name="solver_nod" localSheetId="4" hidden="1">2147483647</definedName>
    <definedName name="solver_nod" localSheetId="3" hidden="1">2147483647</definedName>
    <definedName name="solver_nod" localSheetId="2" hidden="1">2147483647</definedName>
    <definedName name="solver_num" localSheetId="4" hidden="1">2</definedName>
    <definedName name="solver_num" localSheetId="3" hidden="1">2</definedName>
    <definedName name="solver_num" localSheetId="2" hidden="1">2</definedName>
    <definedName name="solver_nwt" localSheetId="4" hidden="1">1</definedName>
    <definedName name="solver_nwt" localSheetId="3" hidden="1">1</definedName>
    <definedName name="solver_nwt" localSheetId="2" hidden="1">1</definedName>
    <definedName name="solver_opt" localSheetId="4" hidden="1">'konštrukcie voľne stojace'!$AO$197</definedName>
    <definedName name="solver_opt" localSheetId="3" hidden="1">'ploché strechy'!$HC$77</definedName>
    <definedName name="solver_opt" localSheetId="2" hidden="1">'šikmé strechy'!$AX$22</definedName>
    <definedName name="solver_pre" localSheetId="4" hidden="1">0.000001</definedName>
    <definedName name="solver_pre" localSheetId="3" hidden="1">0.000001</definedName>
    <definedName name="solver_pre" localSheetId="2" hidden="1">0.000001</definedName>
    <definedName name="solver_rbv" localSheetId="4" hidden="1">2</definedName>
    <definedName name="solver_rbv" localSheetId="3" hidden="1">1</definedName>
    <definedName name="solver_rbv" localSheetId="2" hidden="1">2</definedName>
    <definedName name="solver_rel1" localSheetId="4" hidden="1">4</definedName>
    <definedName name="solver_rel1" localSheetId="3" hidden="1">4</definedName>
    <definedName name="solver_rel1" localSheetId="2" hidden="1">4</definedName>
    <definedName name="solver_rel2" localSheetId="4" hidden="1">3</definedName>
    <definedName name="solver_rel2" localSheetId="3" hidden="1">3</definedName>
    <definedName name="solver_rel2" localSheetId="2" hidden="1">3</definedName>
    <definedName name="solver_rhs1" localSheetId="4" hidden="1">"całkowita"</definedName>
    <definedName name="solver_rhs1" localSheetId="3" hidden="1">"całkowita"</definedName>
    <definedName name="solver_rhs1" localSheetId="2" hidden="1">"całkowita"</definedName>
    <definedName name="solver_rhs2" localSheetId="4" hidden="1">'konštrukcie voľne stojace'!$AK$193</definedName>
    <definedName name="solver_rhs2" localSheetId="3" hidden="1">'ploché strechy'!$GY$72</definedName>
    <definedName name="solver_rhs2" localSheetId="2" hidden="1">'šikmé strechy'!$AT$18</definedName>
    <definedName name="solver_rlx" localSheetId="4" hidden="1">2</definedName>
    <definedName name="solver_rlx" localSheetId="3" hidden="1">2</definedName>
    <definedName name="solver_rlx" localSheetId="2" hidden="1">2</definedName>
    <definedName name="solver_rsd" localSheetId="4" hidden="1">0</definedName>
    <definedName name="solver_rsd" localSheetId="3" hidden="1">0</definedName>
    <definedName name="solver_rsd" localSheetId="2" hidden="1">0</definedName>
    <definedName name="solver_scl" localSheetId="4" hidden="1">2</definedName>
    <definedName name="solver_scl" localSheetId="3" hidden="1">1</definedName>
    <definedName name="solver_scl" localSheetId="2" hidden="1">2</definedName>
    <definedName name="solver_sho" localSheetId="4" hidden="1">2</definedName>
    <definedName name="solver_sho" localSheetId="3" hidden="1">2</definedName>
    <definedName name="solver_sho" localSheetId="2" hidden="1">2</definedName>
    <definedName name="solver_ssz" localSheetId="4" hidden="1">100</definedName>
    <definedName name="solver_ssz" localSheetId="3" hidden="1">100</definedName>
    <definedName name="solver_ssz" localSheetId="2" hidden="1">100</definedName>
    <definedName name="solver_tim" localSheetId="4" hidden="1">2147483647</definedName>
    <definedName name="solver_tim" localSheetId="3" hidden="1">2147483647</definedName>
    <definedName name="solver_tim" localSheetId="2" hidden="1">2147483647</definedName>
    <definedName name="solver_tol" localSheetId="4" hidden="1">0.01</definedName>
    <definedName name="solver_tol" localSheetId="3" hidden="1">0.01</definedName>
    <definedName name="solver_tol" localSheetId="2" hidden="1">0.01</definedName>
    <definedName name="solver_typ" localSheetId="4" hidden="1">2</definedName>
    <definedName name="solver_typ" localSheetId="3" hidden="1">2</definedName>
    <definedName name="solver_typ" localSheetId="2" hidden="1">2</definedName>
    <definedName name="solver_val" localSheetId="4" hidden="1">0</definedName>
    <definedName name="solver_val" localSheetId="3" hidden="1">0</definedName>
    <definedName name="solver_val" localSheetId="2" hidden="1">0</definedName>
    <definedName name="solver_ver" localSheetId="4" hidden="1">3</definedName>
    <definedName name="solver_ver" localSheetId="3" hidden="1">3</definedName>
    <definedName name="solver_ver" localSheetId="2" hidden="1">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9" i="46" l="1"/>
  <c r="N9" i="46"/>
  <c r="L143" i="47"/>
  <c r="L116" i="47"/>
  <c r="L39" i="47"/>
  <c r="O34" i="47"/>
  <c r="L34" i="47"/>
  <c r="L12" i="47"/>
  <c r="L7" i="47"/>
  <c r="L8" i="47"/>
  <c r="L13" i="46"/>
  <c r="AE17" i="46"/>
  <c r="O15" i="46" s="1"/>
  <c r="L144" i="47"/>
  <c r="L117" i="47"/>
  <c r="L67" i="47"/>
  <c r="L35" i="47"/>
  <c r="L13" i="47"/>
  <c r="L92" i="47"/>
  <c r="L91" i="47"/>
  <c r="L66" i="47"/>
  <c r="L95" i="47"/>
  <c r="L16" i="47"/>
  <c r="O147" i="47"/>
  <c r="O145" i="47"/>
  <c r="O138" i="47"/>
  <c r="O141" i="47" s="1"/>
  <c r="O134" i="47"/>
  <c r="O149" i="47" s="1"/>
  <c r="O133" i="47"/>
  <c r="O132" i="47"/>
  <c r="O131" i="47"/>
  <c r="L149" i="47"/>
  <c r="L148" i="47"/>
  <c r="O148" i="47" s="1"/>
  <c r="L147" i="47"/>
  <c r="L146" i="47"/>
  <c r="L145" i="47"/>
  <c r="L136" i="47"/>
  <c r="L135" i="47"/>
  <c r="L134" i="47"/>
  <c r="O125" i="47"/>
  <c r="O111" i="47"/>
  <c r="O110" i="47"/>
  <c r="O107" i="47"/>
  <c r="O123" i="47" s="1"/>
  <c r="O124" i="47" s="1"/>
  <c r="O106" i="47"/>
  <c r="O105" i="47"/>
  <c r="O104" i="47"/>
  <c r="L121" i="47"/>
  <c r="L120" i="47"/>
  <c r="O120" i="47" s="1"/>
  <c r="L119" i="47"/>
  <c r="L118" i="47"/>
  <c r="L111" i="47"/>
  <c r="L109" i="47"/>
  <c r="L108" i="47"/>
  <c r="L107" i="47"/>
  <c r="O99" i="47"/>
  <c r="O96" i="47"/>
  <c r="O98" i="47" s="1"/>
  <c r="O95" i="47"/>
  <c r="O88" i="47"/>
  <c r="O87" i="47"/>
  <c r="O85" i="47"/>
  <c r="O84" i="47"/>
  <c r="O86" i="47" s="1"/>
  <c r="O83" i="47"/>
  <c r="O82" i="47"/>
  <c r="O81" i="47"/>
  <c r="O80" i="47"/>
  <c r="O79" i="47"/>
  <c r="O78" i="47"/>
  <c r="O77" i="47"/>
  <c r="L97" i="47"/>
  <c r="O97" i="47" s="1"/>
  <c r="L89" i="47"/>
  <c r="L88" i="47"/>
  <c r="L87" i="47"/>
  <c r="L84" i="47"/>
  <c r="O72" i="47"/>
  <c r="O69" i="47"/>
  <c r="O63" i="47"/>
  <c r="O62" i="47"/>
  <c r="O59" i="47"/>
  <c r="O61" i="47" s="1"/>
  <c r="O58" i="47"/>
  <c r="O57" i="47"/>
  <c r="O56" i="47"/>
  <c r="O55" i="47"/>
  <c r="O54" i="47"/>
  <c r="O53" i="47"/>
  <c r="O52" i="47"/>
  <c r="O51" i="47"/>
  <c r="O50" i="47"/>
  <c r="L71" i="47"/>
  <c r="L70" i="47"/>
  <c r="O70" i="47" s="1"/>
  <c r="L64" i="47"/>
  <c r="L63" i="47"/>
  <c r="L62" i="47"/>
  <c r="L59" i="47"/>
  <c r="O42" i="47"/>
  <c r="O41" i="47"/>
  <c r="O32" i="47"/>
  <c r="O38" i="47" s="1"/>
  <c r="O31" i="47"/>
  <c r="O28" i="47"/>
  <c r="O40" i="47" s="1"/>
  <c r="L43" i="47"/>
  <c r="L42" i="47"/>
  <c r="L41" i="47"/>
  <c r="L40" i="47"/>
  <c r="L36" i="47"/>
  <c r="L32" i="47"/>
  <c r="L31" i="47"/>
  <c r="L46" i="47" s="1"/>
  <c r="L30" i="47"/>
  <c r="L28" i="47"/>
  <c r="O17" i="47"/>
  <c r="O16" i="47"/>
  <c r="O11" i="47"/>
  <c r="O8" i="47"/>
  <c r="O7" i="47"/>
  <c r="O6" i="47"/>
  <c r="O3" i="47"/>
  <c r="O20" i="47" s="1"/>
  <c r="L19" i="47"/>
  <c r="L18" i="47"/>
  <c r="L17" i="47"/>
  <c r="L14" i="47"/>
  <c r="L10" i="47"/>
  <c r="L9" i="47"/>
  <c r="L6" i="47"/>
  <c r="L5" i="47"/>
  <c r="L3" i="47"/>
  <c r="L228" i="48"/>
  <c r="L227" i="48"/>
  <c r="L226" i="48"/>
  <c r="L224" i="48"/>
  <c r="L225" i="48" s="1"/>
  <c r="L223" i="48"/>
  <c r="L222" i="48"/>
  <c r="L1" i="48"/>
  <c r="L11" i="48"/>
  <c r="L10" i="48"/>
  <c r="L9" i="48"/>
  <c r="L7" i="48"/>
  <c r="L8" i="48" s="1"/>
  <c r="L6" i="48"/>
  <c r="L5" i="48"/>
  <c r="O119" i="47" l="1"/>
  <c r="O116" i="47"/>
  <c r="O121" i="47"/>
  <c r="O19" i="47"/>
  <c r="O12" i="47"/>
  <c r="O43" i="47"/>
  <c r="O39" i="47"/>
  <c r="O146" i="47"/>
  <c r="O143" i="47"/>
  <c r="O46" i="47"/>
  <c r="O144" i="47"/>
  <c r="O67" i="47"/>
  <c r="O68" i="47" s="1"/>
  <c r="O64" i="47"/>
  <c r="O73" i="47" s="1"/>
  <c r="O36" i="47"/>
  <c r="O117" i="47"/>
  <c r="O118" i="47" s="1"/>
  <c r="O13" i="47"/>
  <c r="O45" i="47"/>
  <c r="O14" i="47"/>
  <c r="O91" i="47"/>
  <c r="O92" i="47"/>
  <c r="O93" i="47" s="1"/>
  <c r="O94" i="47" s="1"/>
  <c r="O150" i="47"/>
  <c r="O4" i="47"/>
  <c r="O35" i="47"/>
  <c r="O66" i="47"/>
  <c r="O142" i="47"/>
  <c r="O136" i="47"/>
  <c r="O139" i="47"/>
  <c r="O151" i="47"/>
  <c r="O152" i="47" s="1"/>
  <c r="O135" i="47"/>
  <c r="O137" i="47"/>
  <c r="O153" i="47" s="1"/>
  <c r="O140" i="47"/>
  <c r="O108" i="47"/>
  <c r="O122" i="47"/>
  <c r="O109" i="47"/>
  <c r="O112" i="47" s="1"/>
  <c r="O71" i="47"/>
  <c r="O65" i="47"/>
  <c r="O60" i="47"/>
  <c r="O29" i="47"/>
  <c r="O30" i="47"/>
  <c r="O33" i="47" s="1"/>
  <c r="O44" i="47"/>
  <c r="L45" i="47"/>
  <c r="O5" i="47"/>
  <c r="L259" i="48"/>
  <c r="L147" i="46"/>
  <c r="L120" i="46"/>
  <c r="L62" i="46"/>
  <c r="L39" i="46"/>
  <c r="M155" i="46"/>
  <c r="L129" i="47"/>
  <c r="L26" i="47"/>
  <c r="F97" i="47"/>
  <c r="F80" i="47"/>
  <c r="F52" i="47"/>
  <c r="F30" i="47"/>
  <c r="F6" i="47"/>
  <c r="AG16" i="44"/>
  <c r="L1" i="44"/>
  <c r="D266" i="48"/>
  <c r="D231" i="48"/>
  <c r="D174" i="48"/>
  <c r="D141" i="48"/>
  <c r="D110" i="48"/>
  <c r="D77" i="48"/>
  <c r="D45" i="48"/>
  <c r="D14" i="48"/>
  <c r="L218" i="48"/>
  <c r="L191" i="48"/>
  <c r="L161" i="48"/>
  <c r="L129" i="48"/>
  <c r="L65" i="48"/>
  <c r="L33" i="48"/>
  <c r="AE31" i="47"/>
  <c r="O9" i="47" s="1"/>
  <c r="O10" i="47" s="1"/>
  <c r="L102" i="47"/>
  <c r="L75" i="47"/>
  <c r="L48" i="47"/>
  <c r="L1" i="47"/>
  <c r="F132" i="47"/>
  <c r="F105" i="47"/>
  <c r="AE30" i="46"/>
  <c r="F139" i="46"/>
  <c r="F99" i="46"/>
  <c r="F76" i="46"/>
  <c r="F55" i="46"/>
  <c r="F32" i="46"/>
  <c r="F10" i="46"/>
  <c r="F136" i="46"/>
  <c r="F95" i="46"/>
  <c r="F73" i="46"/>
  <c r="F51" i="46"/>
  <c r="F28" i="46"/>
  <c r="F6" i="46"/>
  <c r="L153" i="46"/>
  <c r="W147" i="46"/>
  <c r="L131" i="46"/>
  <c r="W125" i="46"/>
  <c r="L90" i="46"/>
  <c r="W87" i="46"/>
  <c r="L68" i="46"/>
  <c r="W65" i="46"/>
  <c r="W46" i="46"/>
  <c r="L46" i="46"/>
  <c r="L23" i="46"/>
  <c r="W22" i="46"/>
  <c r="L1" i="46"/>
  <c r="W2" i="46"/>
  <c r="O37" i="47" l="1"/>
  <c r="O113" i="47"/>
  <c r="O115" i="47"/>
  <c r="O114" i="47"/>
  <c r="O21" i="47"/>
  <c r="O18" i="47"/>
  <c r="O15" i="47"/>
  <c r="O22" i="47"/>
  <c r="AJ29" i="47" l="1"/>
  <c r="AK29" i="47" s="1"/>
  <c r="P125" i="47"/>
  <c r="R125" i="47"/>
  <c r="M125" i="47"/>
  <c r="N125" i="47"/>
  <c r="AF102" i="47"/>
  <c r="M112" i="47"/>
  <c r="N112" i="47"/>
  <c r="P112" i="47"/>
  <c r="S112" i="47" s="1"/>
  <c r="R112" i="47"/>
  <c r="M113" i="47"/>
  <c r="N113" i="47"/>
  <c r="P113" i="47"/>
  <c r="S113" i="47" s="1"/>
  <c r="R113" i="47"/>
  <c r="S125" i="47" l="1"/>
  <c r="AJ44" i="47"/>
  <c r="AK44" i="47" s="1"/>
  <c r="AJ43" i="47"/>
  <c r="AK43" i="47" s="1"/>
  <c r="AJ30" i="47"/>
  <c r="AK30" i="47" s="1"/>
  <c r="AJ31" i="47"/>
  <c r="AK31" i="47" s="1"/>
  <c r="AJ32" i="47"/>
  <c r="AK32" i="47" s="1"/>
  <c r="AJ33" i="47"/>
  <c r="AK33" i="47" s="1"/>
  <c r="AJ34" i="47"/>
  <c r="AK34" i="47" s="1"/>
  <c r="AJ35" i="47"/>
  <c r="AK35" i="47" s="1"/>
  <c r="AJ36" i="47"/>
  <c r="AK36" i="47" s="1"/>
  <c r="AJ37" i="47"/>
  <c r="AK37" i="47" s="1"/>
  <c r="AJ38" i="47"/>
  <c r="AK38" i="47" s="1"/>
  <c r="AJ39" i="47"/>
  <c r="AK39" i="47" s="1"/>
  <c r="AJ40" i="47"/>
  <c r="AK40" i="47" s="1"/>
  <c r="AJ41" i="47"/>
  <c r="AK41" i="47" s="1"/>
  <c r="AJ42" i="47"/>
  <c r="AK42" i="47" s="1"/>
  <c r="EJ19" i="47"/>
  <c r="AF84" i="47" l="1"/>
  <c r="O89" i="47" s="1"/>
  <c r="R46" i="47"/>
  <c r="R45" i="47"/>
  <c r="N45" i="47"/>
  <c r="AE141" i="46"/>
  <c r="O145" i="46" s="1"/>
  <c r="AE101" i="46"/>
  <c r="AE79" i="46"/>
  <c r="AE54" i="46"/>
  <c r="O35" i="46"/>
  <c r="O37" i="46" s="1"/>
  <c r="L54" i="46"/>
  <c r="L98" i="46"/>
  <c r="L35" i="46"/>
  <c r="O90" i="47" l="1"/>
  <c r="O100" i="47"/>
  <c r="N46" i="47"/>
  <c r="O146" i="46"/>
  <c r="M45" i="47"/>
  <c r="P45" i="47"/>
  <c r="S45" i="47" s="1"/>
  <c r="P46" i="47"/>
  <c r="S46" i="47" s="1"/>
  <c r="M46" i="47"/>
  <c r="L103" i="48"/>
  <c r="L102" i="48"/>
  <c r="L104" i="48" l="1"/>
  <c r="L101" i="48"/>
  <c r="R44" i="46" l="1"/>
  <c r="P44" i="46"/>
  <c r="M44" i="46"/>
  <c r="N44" i="46"/>
  <c r="L150" i="46"/>
  <c r="L109" i="46"/>
  <c r="L87" i="46"/>
  <c r="L65" i="46"/>
  <c r="L42" i="46"/>
  <c r="L20" i="46"/>
  <c r="S44" i="46" l="1"/>
  <c r="AF123" i="47"/>
  <c r="BD106" i="47"/>
  <c r="BE106" i="47"/>
  <c r="BF106" i="47"/>
  <c r="BD107" i="47"/>
  <c r="BE107" i="47"/>
  <c r="BF107" i="47"/>
  <c r="BD108" i="47"/>
  <c r="BE108" i="47"/>
  <c r="BF108" i="47"/>
  <c r="BD109" i="47"/>
  <c r="BE109" i="47"/>
  <c r="BF109" i="47"/>
  <c r="BD110" i="47"/>
  <c r="BE110" i="47"/>
  <c r="BF110" i="47"/>
  <c r="BD111" i="47"/>
  <c r="BE111" i="47"/>
  <c r="BF111" i="47"/>
  <c r="BD112" i="47"/>
  <c r="BE112" i="47"/>
  <c r="BF112" i="47"/>
  <c r="BD113" i="47"/>
  <c r="BE113" i="47"/>
  <c r="BF113" i="47"/>
  <c r="BD114" i="47"/>
  <c r="BE114" i="47"/>
  <c r="BF114" i="47"/>
  <c r="BD115" i="47"/>
  <c r="BE115" i="47"/>
  <c r="BF115" i="47"/>
  <c r="BD116" i="47"/>
  <c r="BE116" i="47"/>
  <c r="BF116" i="47"/>
  <c r="BD117" i="47"/>
  <c r="BE117" i="47"/>
  <c r="BF117" i="47"/>
  <c r="BD118" i="47"/>
  <c r="BE118" i="47"/>
  <c r="BF118" i="47"/>
  <c r="BD119" i="47"/>
  <c r="BE119" i="47"/>
  <c r="BF119" i="47"/>
  <c r="BD120" i="47"/>
  <c r="BE120" i="47"/>
  <c r="BF120" i="47"/>
  <c r="BF105" i="47"/>
  <c r="BE105" i="47"/>
  <c r="BD105" i="47"/>
  <c r="AY113" i="47"/>
  <c r="AX106" i="47"/>
  <c r="AY106" i="47"/>
  <c r="AZ106" i="47"/>
  <c r="AX107" i="47"/>
  <c r="AY107" i="47"/>
  <c r="AZ107" i="47"/>
  <c r="AX108" i="47"/>
  <c r="AY108" i="47"/>
  <c r="AZ108" i="47"/>
  <c r="AX109" i="47"/>
  <c r="AY109" i="47"/>
  <c r="AZ109" i="47"/>
  <c r="AX110" i="47"/>
  <c r="AY110" i="47"/>
  <c r="AZ110" i="47"/>
  <c r="AX111" i="47"/>
  <c r="AY111" i="47"/>
  <c r="AZ111" i="47"/>
  <c r="AX112" i="47"/>
  <c r="AY112" i="47"/>
  <c r="AZ112" i="47"/>
  <c r="AX113" i="47"/>
  <c r="AZ113" i="47"/>
  <c r="AX114" i="47"/>
  <c r="AY114" i="47"/>
  <c r="AZ114" i="47"/>
  <c r="AX115" i="47"/>
  <c r="AY115" i="47"/>
  <c r="AZ115" i="47"/>
  <c r="AX116" i="47"/>
  <c r="AY116" i="47"/>
  <c r="AZ116" i="47"/>
  <c r="AX117" i="47"/>
  <c r="AY117" i="47"/>
  <c r="AZ117" i="47"/>
  <c r="AX118" i="47"/>
  <c r="AY118" i="47"/>
  <c r="AZ118" i="47"/>
  <c r="AX119" i="47"/>
  <c r="AY119" i="47"/>
  <c r="AZ119" i="47"/>
  <c r="AX120" i="47"/>
  <c r="AY120" i="47"/>
  <c r="AZ120" i="47"/>
  <c r="AZ105" i="47"/>
  <c r="AY105" i="47"/>
  <c r="AX105" i="47"/>
  <c r="AH13" i="47"/>
  <c r="AH14" i="47"/>
  <c r="AH15" i="47"/>
  <c r="AH16" i="47"/>
  <c r="AH17" i="47"/>
  <c r="AH18" i="47"/>
  <c r="AH19" i="47"/>
  <c r="AH20" i="47"/>
  <c r="AH21" i="47"/>
  <c r="AH22" i="47"/>
  <c r="AH23" i="47"/>
  <c r="AH24" i="47"/>
  <c r="AH25" i="47"/>
  <c r="AH26" i="47"/>
  <c r="AH27" i="47"/>
  <c r="AH12" i="47"/>
  <c r="AG13" i="47"/>
  <c r="AG14" i="47"/>
  <c r="AG15" i="47"/>
  <c r="AG16" i="47"/>
  <c r="AG17" i="47"/>
  <c r="AG18" i="47"/>
  <c r="AG19" i="47"/>
  <c r="AG20" i="47"/>
  <c r="AG21" i="47"/>
  <c r="AG22" i="47"/>
  <c r="AG23" i="47"/>
  <c r="AG24" i="47"/>
  <c r="AG25" i="47"/>
  <c r="AG26" i="47"/>
  <c r="AG27" i="47"/>
  <c r="AG12" i="47"/>
  <c r="AF13" i="47"/>
  <c r="AF14" i="47"/>
  <c r="AF15" i="47"/>
  <c r="AF16" i="47"/>
  <c r="AF17" i="47"/>
  <c r="AF18" i="47"/>
  <c r="AF19" i="47"/>
  <c r="AF20" i="47"/>
  <c r="AF21" i="47"/>
  <c r="AF22" i="47"/>
  <c r="AF23" i="47"/>
  <c r="AF24" i="47"/>
  <c r="AF25" i="47"/>
  <c r="AF26" i="47"/>
  <c r="AF27" i="47"/>
  <c r="AF12" i="47"/>
  <c r="AE13" i="47"/>
  <c r="AE14" i="47"/>
  <c r="AE15" i="47"/>
  <c r="AE16" i="47"/>
  <c r="AE17" i="47"/>
  <c r="AE18" i="47"/>
  <c r="AE19" i="47"/>
  <c r="AE20" i="47"/>
  <c r="AE21" i="47"/>
  <c r="AE22" i="47"/>
  <c r="AE23" i="47"/>
  <c r="AE24" i="47"/>
  <c r="AE25" i="47"/>
  <c r="AE26" i="47"/>
  <c r="AE27" i="47"/>
  <c r="AE12" i="47"/>
  <c r="AD13" i="47"/>
  <c r="AD14" i="47"/>
  <c r="AD15" i="47"/>
  <c r="AD16" i="47"/>
  <c r="AD17" i="47"/>
  <c r="AD18" i="47"/>
  <c r="AD19" i="47"/>
  <c r="AD20" i="47"/>
  <c r="AD21" i="47"/>
  <c r="AD22" i="47"/>
  <c r="AD23" i="47"/>
  <c r="AD24" i="47"/>
  <c r="AD25" i="47"/>
  <c r="AD26" i="47"/>
  <c r="AD27" i="47"/>
  <c r="AD12" i="47"/>
  <c r="AC16" i="47"/>
  <c r="AC13" i="47"/>
  <c r="AC14" i="47"/>
  <c r="AC15" i="47"/>
  <c r="AC17" i="47"/>
  <c r="AC18" i="47"/>
  <c r="AC19" i="47"/>
  <c r="AC20" i="47"/>
  <c r="AC21" i="47"/>
  <c r="AC22" i="47"/>
  <c r="AC23" i="47"/>
  <c r="AC24" i="47"/>
  <c r="AC25" i="47"/>
  <c r="AC26" i="47"/>
  <c r="AC27" i="47"/>
  <c r="AC12" i="47"/>
  <c r="AI12" i="47" l="1"/>
  <c r="AJ12" i="47" s="1"/>
  <c r="AK12" i="47" s="1"/>
  <c r="BJ105" i="47"/>
  <c r="BK105" i="47" s="1"/>
  <c r="GY72" i="47"/>
  <c r="L158" i="46" l="1"/>
  <c r="M22" i="47" l="1"/>
  <c r="N22" i="47"/>
  <c r="P22" i="47"/>
  <c r="S22" i="47" s="1"/>
  <c r="R22" i="47"/>
  <c r="F157" i="46" l="1"/>
  <c r="X147" i="46"/>
  <c r="X148" i="46"/>
  <c r="X149" i="46"/>
  <c r="X150" i="46"/>
  <c r="X151" i="46"/>
  <c r="X152" i="46"/>
  <c r="X153" i="46"/>
  <c r="X154" i="46"/>
  <c r="X155" i="46"/>
  <c r="X156" i="46"/>
  <c r="X157" i="46"/>
  <c r="X158" i="46"/>
  <c r="X159" i="46"/>
  <c r="X160" i="46"/>
  <c r="X161" i="46"/>
  <c r="X162" i="46"/>
  <c r="O159" i="46" l="1"/>
  <c r="R260" i="48"/>
  <c r="R227" i="48"/>
  <c r="R173" i="48"/>
  <c r="R139" i="48"/>
  <c r="R107" i="48"/>
  <c r="R77" i="48"/>
  <c r="R39" i="48"/>
  <c r="R12" i="48"/>
  <c r="R10" i="47"/>
  <c r="R36" i="47"/>
  <c r="R55" i="47"/>
  <c r="R80" i="47"/>
  <c r="R114" i="47"/>
  <c r="R109" i="47"/>
  <c r="R135" i="47"/>
  <c r="R136" i="47"/>
  <c r="R12" i="46"/>
  <c r="R30" i="46"/>
  <c r="R51" i="46"/>
  <c r="R72" i="46"/>
  <c r="R106" i="46"/>
  <c r="R115" i="46"/>
  <c r="R133" i="46"/>
  <c r="R161" i="46"/>
  <c r="R156" i="46"/>
  <c r="R157" i="46"/>
  <c r="R158" i="46"/>
  <c r="R159" i="46"/>
  <c r="R160" i="46"/>
  <c r="R162" i="46"/>
  <c r="R163" i="46"/>
  <c r="R164" i="46"/>
  <c r="R165" i="46"/>
  <c r="R166" i="46"/>
  <c r="R167" i="46"/>
  <c r="R168" i="46"/>
  <c r="R169" i="46"/>
  <c r="R155" i="46"/>
  <c r="AD123" i="47" l="1"/>
  <c r="AE123" i="47"/>
  <c r="P169" i="46" l="1"/>
  <c r="S169" i="46" s="1"/>
  <c r="M169" i="46"/>
  <c r="N169" i="46"/>
  <c r="P168" i="46"/>
  <c r="S168" i="46" s="1"/>
  <c r="M168" i="46"/>
  <c r="N168" i="46"/>
  <c r="O161" i="46"/>
  <c r="O160" i="46"/>
  <c r="O158" i="46"/>
  <c r="O164" i="46"/>
  <c r="X125" i="46"/>
  <c r="W151" i="46"/>
  <c r="W152" i="46"/>
  <c r="W130" i="46"/>
  <c r="W129" i="46"/>
  <c r="L162" i="46"/>
  <c r="L161" i="46"/>
  <c r="L160" i="46"/>
  <c r="L18" i="48"/>
  <c r="X87" i="46"/>
  <c r="W71" i="46"/>
  <c r="O162" i="46" l="1"/>
  <c r="AB148" i="46"/>
  <c r="AB155" i="46"/>
  <c r="AB160" i="46"/>
  <c r="AB153" i="46"/>
  <c r="AB149" i="46"/>
  <c r="AB163" i="46"/>
  <c r="AB154" i="46"/>
  <c r="AB159" i="46"/>
  <c r="AB162" i="46"/>
  <c r="AB158" i="46"/>
  <c r="AB151" i="46"/>
  <c r="AB157" i="46"/>
  <c r="AB150" i="46"/>
  <c r="AB161" i="46"/>
  <c r="AB156" i="46"/>
  <c r="AB152" i="46"/>
  <c r="AD162" i="46"/>
  <c r="AD158" i="46"/>
  <c r="AD161" i="46"/>
  <c r="AD157" i="46"/>
  <c r="AD150" i="46"/>
  <c r="AD152" i="46"/>
  <c r="AD148" i="46"/>
  <c r="AD159" i="46"/>
  <c r="AD160" i="46"/>
  <c r="AD153" i="46"/>
  <c r="AD149" i="46"/>
  <c r="AD163" i="46"/>
  <c r="AD154" i="46"/>
  <c r="AD156" i="46"/>
  <c r="AD155" i="46"/>
  <c r="AD151" i="46"/>
  <c r="Y152" i="46"/>
  <c r="Y163" i="46"/>
  <c r="Y149" i="46"/>
  <c r="Y148" i="46"/>
  <c r="Y156" i="46"/>
  <c r="Y158" i="46"/>
  <c r="Y160" i="46"/>
  <c r="Y162" i="46"/>
  <c r="Y159" i="46"/>
  <c r="Y161" i="46"/>
  <c r="Y151" i="46"/>
  <c r="Y150" i="46"/>
  <c r="Y155" i="46"/>
  <c r="Y153" i="46"/>
  <c r="Y157" i="46"/>
  <c r="Y154" i="46"/>
  <c r="O168" i="46"/>
  <c r="O169" i="46" s="1"/>
  <c r="U169" i="46" s="1"/>
  <c r="O166" i="46"/>
  <c r="O163" i="46"/>
  <c r="P162" i="46"/>
  <c r="S162" i="46" s="1"/>
  <c r="P167" i="46"/>
  <c r="S167" i="46" s="1"/>
  <c r="N167" i="46"/>
  <c r="M167" i="46"/>
  <c r="P165" i="46"/>
  <c r="S165" i="46" s="1"/>
  <c r="N165" i="46"/>
  <c r="M165" i="46"/>
  <c r="N161" i="46"/>
  <c r="P160" i="46"/>
  <c r="S160" i="46" s="1"/>
  <c r="N159" i="46"/>
  <c r="P158" i="46"/>
  <c r="S158" i="46" s="1"/>
  <c r="U158" i="46"/>
  <c r="N158" i="46"/>
  <c r="M158" i="46"/>
  <c r="P155" i="46"/>
  <c r="T168" i="46" l="1"/>
  <c r="T169" i="46"/>
  <c r="U168" i="46"/>
  <c r="Q169" i="46"/>
  <c r="Q168" i="46"/>
  <c r="O155" i="46"/>
  <c r="U155" i="46" s="1"/>
  <c r="S155" i="46"/>
  <c r="O156" i="46"/>
  <c r="U156" i="46" s="1"/>
  <c r="O157" i="46"/>
  <c r="O165" i="46" s="1"/>
  <c r="U160" i="46"/>
  <c r="M162" i="46"/>
  <c r="T162" i="46"/>
  <c r="N162" i="46"/>
  <c r="P161" i="46"/>
  <c r="P159" i="46"/>
  <c r="S159" i="46" s="1"/>
  <c r="U161" i="46"/>
  <c r="M166" i="46"/>
  <c r="P166" i="46"/>
  <c r="M161" i="46"/>
  <c r="U164" i="46"/>
  <c r="N164" i="46"/>
  <c r="P164" i="46"/>
  <c r="M164" i="46"/>
  <c r="U166" i="46"/>
  <c r="T160" i="46"/>
  <c r="Q160" i="46"/>
  <c r="M157" i="46"/>
  <c r="M163" i="46"/>
  <c r="M156" i="46"/>
  <c r="Q158" i="46"/>
  <c r="N163" i="46"/>
  <c r="N157" i="46"/>
  <c r="P163" i="46"/>
  <c r="S163" i="46" s="1"/>
  <c r="N166" i="46"/>
  <c r="U163" i="46"/>
  <c r="N155" i="46"/>
  <c r="T158" i="46"/>
  <c r="P157" i="46"/>
  <c r="S157" i="46" s="1"/>
  <c r="P156" i="46"/>
  <c r="S156" i="46" s="1"/>
  <c r="M160" i="46"/>
  <c r="N160" i="46"/>
  <c r="N156" i="46"/>
  <c r="M159" i="46"/>
  <c r="T155" i="46" l="1"/>
  <c r="Q155" i="46"/>
  <c r="S161" i="46"/>
  <c r="T161" i="46" s="1"/>
  <c r="S164" i="46"/>
  <c r="T164" i="46" s="1"/>
  <c r="S166" i="46"/>
  <c r="T166" i="46" s="1"/>
  <c r="U157" i="46"/>
  <c r="T165" i="46"/>
  <c r="T159" i="46"/>
  <c r="U162" i="46"/>
  <c r="U159" i="46"/>
  <c r="O167" i="46"/>
  <c r="T167" i="46" s="1"/>
  <c r="Q162" i="46"/>
  <c r="Q159" i="46"/>
  <c r="Q166" i="46"/>
  <c r="Q161" i="46"/>
  <c r="T157" i="46"/>
  <c r="Q157" i="46"/>
  <c r="T156" i="46"/>
  <c r="Q156" i="46"/>
  <c r="Q164" i="46"/>
  <c r="T163" i="46"/>
  <c r="Q163" i="46"/>
  <c r="Z41" i="47"/>
  <c r="AB15" i="47"/>
  <c r="AN18" i="47"/>
  <c r="AO18" i="47"/>
  <c r="AP18" i="47"/>
  <c r="AQ18" i="47"/>
  <c r="AR18" i="47"/>
  <c r="AS18" i="47"/>
  <c r="AI22" i="47" l="1"/>
  <c r="AJ22" i="47" s="1"/>
  <c r="AK22" i="47" s="1"/>
  <c r="AI16" i="47"/>
  <c r="AJ16" i="47" s="1"/>
  <c r="AK16" i="47" s="1"/>
  <c r="AI23" i="47"/>
  <c r="AJ23" i="47" s="1"/>
  <c r="AK23" i="47" s="1"/>
  <c r="AI21" i="47"/>
  <c r="AJ21" i="47" s="1"/>
  <c r="AK21" i="47" s="1"/>
  <c r="AI20" i="47"/>
  <c r="AJ20" i="47" s="1"/>
  <c r="AK20" i="47" s="1"/>
  <c r="AI15" i="47"/>
  <c r="AJ15" i="47" s="1"/>
  <c r="AK15" i="47" s="1"/>
  <c r="AI26" i="47"/>
  <c r="AJ26" i="47" s="1"/>
  <c r="AK26" i="47" s="1"/>
  <c r="AI14" i="47"/>
  <c r="AJ14" i="47" s="1"/>
  <c r="AK14" i="47" s="1"/>
  <c r="AI27" i="47"/>
  <c r="AJ27" i="47" s="1"/>
  <c r="AK27" i="47" s="1"/>
  <c r="AI25" i="47"/>
  <c r="AJ25" i="47" s="1"/>
  <c r="AK25" i="47" s="1"/>
  <c r="AI19" i="47"/>
  <c r="AJ19" i="47" s="1"/>
  <c r="AK19" i="47" s="1"/>
  <c r="AI13" i="47"/>
  <c r="AJ13" i="47" s="1"/>
  <c r="AK13" i="47" s="1"/>
  <c r="AI24" i="47"/>
  <c r="AJ24" i="47" s="1"/>
  <c r="AK24" i="47" s="1"/>
  <c r="AI18" i="47"/>
  <c r="AJ18" i="47" s="1"/>
  <c r="AK18" i="47" s="1"/>
  <c r="BL105" i="47"/>
  <c r="AI17" i="47"/>
  <c r="AJ17" i="47" s="1"/>
  <c r="AK17" i="47" s="1"/>
  <c r="T170" i="46"/>
  <c r="U167" i="46"/>
  <c r="U165" i="46"/>
  <c r="Q165" i="46"/>
  <c r="Q167" i="46"/>
  <c r="U170" i="46" l="1"/>
  <c r="AA65" i="47"/>
  <c r="GZ107" i="47" l="1"/>
  <c r="GZ106" i="47"/>
  <c r="HC74" i="47"/>
  <c r="HD75" i="47"/>
  <c r="HC75" i="47" l="1"/>
  <c r="HA75" i="47" l="1"/>
  <c r="HA74" i="47"/>
  <c r="HA73" i="47"/>
  <c r="HD74" i="47"/>
  <c r="HD73" i="47"/>
  <c r="HC73" i="47"/>
  <c r="F124" i="47"/>
  <c r="F152" i="47"/>
  <c r="P153" i="47"/>
  <c r="S153" i="47" s="1"/>
  <c r="R153" i="47"/>
  <c r="M153" i="47"/>
  <c r="N153" i="47"/>
  <c r="GZ76" i="47" l="1"/>
  <c r="HC76" i="47" s="1"/>
  <c r="HC77" i="47" s="1"/>
  <c r="HA77" i="47"/>
  <c r="BJ111" i="47"/>
  <c r="BK111" i="47" s="1"/>
  <c r="BL111" i="47" s="1"/>
  <c r="BJ117" i="47"/>
  <c r="BK117" i="47" s="1"/>
  <c r="BL117" i="47" s="1"/>
  <c r="BJ110" i="47"/>
  <c r="BK110" i="47" s="1"/>
  <c r="BL110" i="47" s="1"/>
  <c r="BJ109" i="47"/>
  <c r="BK109" i="47" s="1"/>
  <c r="BL109" i="47" s="1"/>
  <c r="BJ113" i="47" l="1"/>
  <c r="BK113" i="47" s="1"/>
  <c r="BL113" i="47" s="1"/>
  <c r="BJ120" i="47"/>
  <c r="BK120" i="47" s="1"/>
  <c r="BL120" i="47" s="1"/>
  <c r="BJ106" i="47"/>
  <c r="BK106" i="47" s="1"/>
  <c r="BL106" i="47" s="1"/>
  <c r="BJ108" i="47"/>
  <c r="BK108" i="47" s="1"/>
  <c r="BL108" i="47" s="1"/>
  <c r="BJ119" i="47"/>
  <c r="BK119" i="47" s="1"/>
  <c r="BL119" i="47" s="1"/>
  <c r="BJ115" i="47"/>
  <c r="BK115" i="47" s="1"/>
  <c r="BL115" i="47" s="1"/>
  <c r="BJ112" i="47"/>
  <c r="BK112" i="47" s="1"/>
  <c r="BL112" i="47" s="1"/>
  <c r="BJ114" i="47"/>
  <c r="BK114" i="47" s="1"/>
  <c r="BL114" i="47" s="1"/>
  <c r="BJ107" i="47"/>
  <c r="BK107" i="47" s="1"/>
  <c r="BL107" i="47" s="1"/>
  <c r="BJ118" i="47"/>
  <c r="BK118" i="47" s="1"/>
  <c r="BL118" i="47" s="1"/>
  <c r="BJ116" i="47"/>
  <c r="BK116" i="47" s="1"/>
  <c r="BL116" i="47" s="1"/>
  <c r="R137" i="47"/>
  <c r="P137" i="47"/>
  <c r="S137" i="47" s="1"/>
  <c r="N137" i="47"/>
  <c r="Z111" i="47" l="1"/>
  <c r="AD101" i="47" s="1"/>
  <c r="E110" i="47"/>
  <c r="M111" i="47" l="1"/>
  <c r="AS111" i="47"/>
  <c r="AT111" i="47" s="1"/>
  <c r="AG107" i="47"/>
  <c r="AG114" i="47"/>
  <c r="AS108" i="47"/>
  <c r="AT108" i="47" s="1"/>
  <c r="AG105" i="47"/>
  <c r="AS112" i="47"/>
  <c r="AT112" i="47" s="1"/>
  <c r="AG108" i="47"/>
  <c r="AE102" i="47"/>
  <c r="AS107" i="47"/>
  <c r="AT107" i="47" s="1"/>
  <c r="AS113" i="47"/>
  <c r="AT113" i="47" s="1"/>
  <c r="AG109" i="47"/>
  <c r="AG103" i="47"/>
  <c r="AG101" i="47"/>
  <c r="AS102" i="47"/>
  <c r="AT102" i="47" s="1"/>
  <c r="AS114" i="47"/>
  <c r="AT114" i="47" s="1"/>
  <c r="AG110" i="47"/>
  <c r="AS103" i="47"/>
  <c r="AT103" i="47" s="1"/>
  <c r="AS115" i="47"/>
  <c r="AT115" i="47" s="1"/>
  <c r="AG111" i="47"/>
  <c r="AG112" i="47"/>
  <c r="AS105" i="47"/>
  <c r="AT105" i="47" s="1"/>
  <c r="AG116" i="47"/>
  <c r="AG102" i="47"/>
  <c r="AS104" i="47"/>
  <c r="AT104" i="47" s="1"/>
  <c r="AS116" i="47"/>
  <c r="AT116" i="47" s="1"/>
  <c r="AG113" i="47"/>
  <c r="AG104" i="47"/>
  <c r="AS109" i="47"/>
  <c r="AT109" i="47" s="1"/>
  <c r="AG106" i="47"/>
  <c r="AS101" i="47"/>
  <c r="AT101" i="47" s="1"/>
  <c r="AG115" i="47"/>
  <c r="AE101" i="47"/>
  <c r="AF101" i="47" s="1"/>
  <c r="AS106" i="47"/>
  <c r="AT106" i="47" s="1"/>
  <c r="AS110" i="47"/>
  <c r="AT110" i="47" s="1"/>
  <c r="L106" i="48"/>
  <c r="W6" i="46" l="1"/>
  <c r="U125" i="47" l="1"/>
  <c r="T125" i="47"/>
  <c r="Q125" i="47"/>
  <c r="L253" i="48"/>
  <c r="W209" i="48" l="1"/>
  <c r="IP206" i="48"/>
  <c r="HT203" i="48"/>
  <c r="Z240" i="48" s="1"/>
  <c r="HU203" i="48"/>
  <c r="HV203" i="48"/>
  <c r="HW203" i="48"/>
  <c r="HX203" i="48"/>
  <c r="HY203" i="48"/>
  <c r="HZ203" i="48"/>
  <c r="IA203" i="48"/>
  <c r="IB203" i="48"/>
  <c r="IC203" i="48"/>
  <c r="ID203" i="48"/>
  <c r="IE203" i="48"/>
  <c r="IF203" i="48"/>
  <c r="IG203" i="48"/>
  <c r="IH203" i="48"/>
  <c r="II203" i="48"/>
  <c r="IJ203" i="48"/>
  <c r="IK203" i="48"/>
  <c r="IL203" i="48"/>
  <c r="IM203" i="48"/>
  <c r="IN203" i="48"/>
  <c r="IO203" i="48"/>
  <c r="IP203" i="48"/>
  <c r="IQ203" i="48"/>
  <c r="HT204" i="48"/>
  <c r="AA240" i="48" s="1"/>
  <c r="HU204" i="48"/>
  <c r="HV204" i="48"/>
  <c r="HW204" i="48"/>
  <c r="HX204" i="48"/>
  <c r="HY204" i="48"/>
  <c r="HZ204" i="48"/>
  <c r="IA204" i="48"/>
  <c r="IB204" i="48"/>
  <c r="IC204" i="48"/>
  <c r="ID204" i="48"/>
  <c r="IE204" i="48"/>
  <c r="IF204" i="48"/>
  <c r="IG204" i="48"/>
  <c r="IH204" i="48"/>
  <c r="II204" i="48"/>
  <c r="IJ204" i="48"/>
  <c r="IK204" i="48"/>
  <c r="IL204" i="48"/>
  <c r="IM204" i="48"/>
  <c r="IN204" i="48"/>
  <c r="IO204" i="48"/>
  <c r="IP204" i="48"/>
  <c r="IQ204" i="48"/>
  <c r="HT205" i="48"/>
  <c r="X241" i="48" s="1"/>
  <c r="HU205" i="48"/>
  <c r="HV205" i="48"/>
  <c r="HW205" i="48"/>
  <c r="HX205" i="48"/>
  <c r="HY205" i="48"/>
  <c r="HZ205" i="48"/>
  <c r="IA205" i="48"/>
  <c r="IB205" i="48"/>
  <c r="IC205" i="48"/>
  <c r="ID205" i="48"/>
  <c r="IE205" i="48"/>
  <c r="IF205" i="48"/>
  <c r="IG205" i="48"/>
  <c r="IH205" i="48"/>
  <c r="II205" i="48"/>
  <c r="IJ205" i="48"/>
  <c r="IK205" i="48"/>
  <c r="IL205" i="48"/>
  <c r="IM205" i="48"/>
  <c r="IN205" i="48"/>
  <c r="IO205" i="48"/>
  <c r="IP205" i="48"/>
  <c r="IQ205" i="48"/>
  <c r="HT206" i="48"/>
  <c r="HU206" i="48"/>
  <c r="HV206" i="48"/>
  <c r="HW206" i="48"/>
  <c r="HX206" i="48"/>
  <c r="HY206" i="48"/>
  <c r="HZ206" i="48"/>
  <c r="IA206" i="48"/>
  <c r="IB206" i="48"/>
  <c r="IC206" i="48"/>
  <c r="ID206" i="48"/>
  <c r="IE206" i="48"/>
  <c r="IF206" i="48"/>
  <c r="IG206" i="48"/>
  <c r="IH206" i="48"/>
  <c r="II206" i="48"/>
  <c r="IJ206" i="48"/>
  <c r="IK206" i="48"/>
  <c r="IL206" i="48"/>
  <c r="IM206" i="48"/>
  <c r="IN206" i="48"/>
  <c r="IO206" i="48"/>
  <c r="IQ206" i="48"/>
  <c r="HU202" i="48"/>
  <c r="HV202" i="48"/>
  <c r="HW202" i="48"/>
  <c r="HX202" i="48"/>
  <c r="HY202" i="48"/>
  <c r="HZ202" i="48"/>
  <c r="IA202" i="48"/>
  <c r="IB202" i="48"/>
  <c r="IC202" i="48"/>
  <c r="ID202" i="48"/>
  <c r="IE202" i="48"/>
  <c r="IF202" i="48"/>
  <c r="IG202" i="48"/>
  <c r="IH202" i="48"/>
  <c r="II202" i="48"/>
  <c r="IJ202" i="48"/>
  <c r="IK202" i="48"/>
  <c r="IL202" i="48"/>
  <c r="IM202" i="48"/>
  <c r="IN202" i="48"/>
  <c r="IO202" i="48"/>
  <c r="IP202" i="48"/>
  <c r="IQ202" i="48"/>
  <c r="HT202" i="48"/>
  <c r="Y241" i="48" s="1"/>
  <c r="HT196" i="48"/>
  <c r="HU196" i="48"/>
  <c r="HV196" i="48"/>
  <c r="HW196" i="48"/>
  <c r="HX196" i="48"/>
  <c r="HY196" i="48"/>
  <c r="HZ196" i="48"/>
  <c r="IA196" i="48"/>
  <c r="IB196" i="48"/>
  <c r="IC196" i="48"/>
  <c r="ID196" i="48"/>
  <c r="IE196" i="48"/>
  <c r="IF196" i="48"/>
  <c r="IG196" i="48"/>
  <c r="IH196" i="48"/>
  <c r="II196" i="48"/>
  <c r="IJ196" i="48"/>
  <c r="IK196" i="48"/>
  <c r="IL196" i="48"/>
  <c r="IM196" i="48"/>
  <c r="IN196" i="48"/>
  <c r="IO196" i="48"/>
  <c r="IP196" i="48"/>
  <c r="IQ196" i="48"/>
  <c r="HT197" i="48"/>
  <c r="HU197" i="48"/>
  <c r="HV197" i="48"/>
  <c r="HW197" i="48"/>
  <c r="HX197" i="48"/>
  <c r="HY197" i="48"/>
  <c r="HZ197" i="48"/>
  <c r="IA197" i="48"/>
  <c r="IB197" i="48"/>
  <c r="IC197" i="48"/>
  <c r="ID197" i="48"/>
  <c r="IE197" i="48"/>
  <c r="IF197" i="48"/>
  <c r="IG197" i="48"/>
  <c r="IH197" i="48"/>
  <c r="II197" i="48"/>
  <c r="IJ197" i="48"/>
  <c r="IK197" i="48"/>
  <c r="IL197" i="48"/>
  <c r="IM197" i="48"/>
  <c r="IN197" i="48"/>
  <c r="IO197" i="48"/>
  <c r="IP197" i="48"/>
  <c r="IQ197" i="48"/>
  <c r="HT198" i="48"/>
  <c r="HU198" i="48"/>
  <c r="HV198" i="48"/>
  <c r="HW198" i="48"/>
  <c r="HX198" i="48"/>
  <c r="HY198" i="48"/>
  <c r="HZ198" i="48"/>
  <c r="IA198" i="48"/>
  <c r="IB198" i="48"/>
  <c r="IC198" i="48"/>
  <c r="ID198" i="48"/>
  <c r="IE198" i="48"/>
  <c r="IF198" i="48"/>
  <c r="IG198" i="48"/>
  <c r="IH198" i="48"/>
  <c r="II198" i="48"/>
  <c r="IJ198" i="48"/>
  <c r="IK198" i="48"/>
  <c r="IL198" i="48"/>
  <c r="IM198" i="48"/>
  <c r="IN198" i="48"/>
  <c r="IO198" i="48"/>
  <c r="IP198" i="48"/>
  <c r="IQ198" i="48"/>
  <c r="HT199" i="48"/>
  <c r="HU199" i="48"/>
  <c r="HV199" i="48"/>
  <c r="HW199" i="48"/>
  <c r="HX199" i="48"/>
  <c r="HY199" i="48"/>
  <c r="HZ199" i="48"/>
  <c r="IA199" i="48"/>
  <c r="IB199" i="48"/>
  <c r="IC199" i="48"/>
  <c r="ID199" i="48"/>
  <c r="IE199" i="48"/>
  <c r="IF199" i="48"/>
  <c r="IG199" i="48"/>
  <c r="IH199" i="48"/>
  <c r="II199" i="48"/>
  <c r="IJ199" i="48"/>
  <c r="IK199" i="48"/>
  <c r="IL199" i="48"/>
  <c r="IM199" i="48"/>
  <c r="IN199" i="48"/>
  <c r="IO199" i="48"/>
  <c r="IP199" i="48"/>
  <c r="IQ199" i="48"/>
  <c r="HU195" i="48"/>
  <c r="HV195" i="48"/>
  <c r="HW195" i="48"/>
  <c r="HX195" i="48"/>
  <c r="HY195" i="48"/>
  <c r="HZ195" i="48"/>
  <c r="IA195" i="48"/>
  <c r="IB195" i="48"/>
  <c r="IC195" i="48"/>
  <c r="ID195" i="48"/>
  <c r="IE195" i="48"/>
  <c r="IF195" i="48"/>
  <c r="IG195" i="48"/>
  <c r="IH195" i="48"/>
  <c r="II195" i="48"/>
  <c r="IJ195" i="48"/>
  <c r="IK195" i="48"/>
  <c r="IL195" i="48"/>
  <c r="IM195" i="48"/>
  <c r="IN195" i="48"/>
  <c r="IO195" i="48"/>
  <c r="IP195" i="48"/>
  <c r="IQ195" i="48"/>
  <c r="HT195" i="48"/>
  <c r="HT189" i="48"/>
  <c r="HU189" i="48"/>
  <c r="HV189" i="48"/>
  <c r="HW189" i="48"/>
  <c r="HX189" i="48"/>
  <c r="HY189" i="48"/>
  <c r="HZ189" i="48"/>
  <c r="IA189" i="48"/>
  <c r="IB189" i="48"/>
  <c r="IC189" i="48"/>
  <c r="ID189" i="48"/>
  <c r="IE189" i="48"/>
  <c r="IF189" i="48"/>
  <c r="IG189" i="48"/>
  <c r="IH189" i="48"/>
  <c r="II189" i="48"/>
  <c r="IJ189" i="48"/>
  <c r="IK189" i="48"/>
  <c r="IL189" i="48"/>
  <c r="IM189" i="48"/>
  <c r="IN189" i="48"/>
  <c r="IO189" i="48"/>
  <c r="IP189" i="48"/>
  <c r="IQ189" i="48"/>
  <c r="HT190" i="48"/>
  <c r="HU190" i="48"/>
  <c r="HV190" i="48"/>
  <c r="HW190" i="48"/>
  <c r="HX190" i="48"/>
  <c r="HY190" i="48"/>
  <c r="HZ190" i="48"/>
  <c r="IA190" i="48"/>
  <c r="IB190" i="48"/>
  <c r="IC190" i="48"/>
  <c r="ID190" i="48"/>
  <c r="IE190" i="48"/>
  <c r="IF190" i="48"/>
  <c r="IG190" i="48"/>
  <c r="IH190" i="48"/>
  <c r="II190" i="48"/>
  <c r="IJ190" i="48"/>
  <c r="IK190" i="48"/>
  <c r="IL190" i="48"/>
  <c r="IM190" i="48"/>
  <c r="IN190" i="48"/>
  <c r="IO190" i="48"/>
  <c r="IP190" i="48"/>
  <c r="IQ190" i="48"/>
  <c r="HT191" i="48"/>
  <c r="HU191" i="48"/>
  <c r="HV191" i="48"/>
  <c r="HW191" i="48"/>
  <c r="HX191" i="48"/>
  <c r="HY191" i="48"/>
  <c r="HZ191" i="48"/>
  <c r="IA191" i="48"/>
  <c r="IB191" i="48"/>
  <c r="IC191" i="48"/>
  <c r="ID191" i="48"/>
  <c r="IE191" i="48"/>
  <c r="IF191" i="48"/>
  <c r="IG191" i="48"/>
  <c r="IH191" i="48"/>
  <c r="II191" i="48"/>
  <c r="IJ191" i="48"/>
  <c r="IK191" i="48"/>
  <c r="IL191" i="48"/>
  <c r="IM191" i="48"/>
  <c r="IN191" i="48"/>
  <c r="IO191" i="48"/>
  <c r="IP191" i="48"/>
  <c r="IQ191" i="48"/>
  <c r="HT192" i="48"/>
  <c r="HU192" i="48"/>
  <c r="HV192" i="48"/>
  <c r="HW192" i="48"/>
  <c r="HX192" i="48"/>
  <c r="HY192" i="48"/>
  <c r="HZ192" i="48"/>
  <c r="IA192" i="48"/>
  <c r="IB192" i="48"/>
  <c r="IC192" i="48"/>
  <c r="ID192" i="48"/>
  <c r="IE192" i="48"/>
  <c r="IF192" i="48"/>
  <c r="IG192" i="48"/>
  <c r="IH192" i="48"/>
  <c r="II192" i="48"/>
  <c r="IJ192" i="48"/>
  <c r="IK192" i="48"/>
  <c r="IL192" i="48"/>
  <c r="IM192" i="48"/>
  <c r="IN192" i="48"/>
  <c r="IO192" i="48"/>
  <c r="IP192" i="48"/>
  <c r="IQ192" i="48"/>
  <c r="HU188" i="48"/>
  <c r="HV188" i="48"/>
  <c r="HW188" i="48"/>
  <c r="HX188" i="48"/>
  <c r="HY188" i="48"/>
  <c r="HZ188" i="48"/>
  <c r="IA188" i="48"/>
  <c r="IB188" i="48"/>
  <c r="IC188" i="48"/>
  <c r="ID188" i="48"/>
  <c r="IE188" i="48"/>
  <c r="IF188" i="48"/>
  <c r="IG188" i="48"/>
  <c r="IH188" i="48"/>
  <c r="II188" i="48"/>
  <c r="IJ188" i="48"/>
  <c r="IK188" i="48"/>
  <c r="IL188" i="48"/>
  <c r="IM188" i="48"/>
  <c r="IN188" i="48"/>
  <c r="IO188" i="48"/>
  <c r="IP188" i="48"/>
  <c r="IQ188" i="48"/>
  <c r="HT188" i="48"/>
  <c r="GS196" i="48"/>
  <c r="GT196" i="48"/>
  <c r="GU196" i="48"/>
  <c r="GV196" i="48"/>
  <c r="GW196" i="48"/>
  <c r="GX196" i="48"/>
  <c r="GY196" i="48"/>
  <c r="GZ196" i="48"/>
  <c r="HA196" i="48"/>
  <c r="HB196" i="48"/>
  <c r="HC196" i="48"/>
  <c r="HD196" i="48"/>
  <c r="HE196" i="48"/>
  <c r="HF196" i="48"/>
  <c r="HG196" i="48"/>
  <c r="HH196" i="48"/>
  <c r="HI196" i="48"/>
  <c r="HJ196" i="48"/>
  <c r="HK196" i="48"/>
  <c r="HL196" i="48"/>
  <c r="HM196" i="48"/>
  <c r="HN196" i="48"/>
  <c r="HO196" i="48"/>
  <c r="HP196" i="48"/>
  <c r="GS197" i="48"/>
  <c r="GT197" i="48"/>
  <c r="GU197" i="48"/>
  <c r="GV197" i="48"/>
  <c r="GW197" i="48"/>
  <c r="GX197" i="48"/>
  <c r="GY197" i="48"/>
  <c r="GZ197" i="48"/>
  <c r="HA197" i="48"/>
  <c r="HB197" i="48"/>
  <c r="HC197" i="48"/>
  <c r="HD197" i="48"/>
  <c r="HE197" i="48"/>
  <c r="HF197" i="48"/>
  <c r="HG197" i="48"/>
  <c r="HH197" i="48"/>
  <c r="HI197" i="48"/>
  <c r="HJ197" i="48"/>
  <c r="HK197" i="48"/>
  <c r="HL197" i="48"/>
  <c r="HM197" i="48"/>
  <c r="HN197" i="48"/>
  <c r="HO197" i="48"/>
  <c r="HP197" i="48"/>
  <c r="GS198" i="48"/>
  <c r="GT198" i="48"/>
  <c r="GU198" i="48"/>
  <c r="GV198" i="48"/>
  <c r="GW198" i="48"/>
  <c r="GX198" i="48"/>
  <c r="GY198" i="48"/>
  <c r="GZ198" i="48"/>
  <c r="HA198" i="48"/>
  <c r="HB198" i="48"/>
  <c r="HC198" i="48"/>
  <c r="HD198" i="48"/>
  <c r="HE198" i="48"/>
  <c r="HF198" i="48"/>
  <c r="HG198" i="48"/>
  <c r="HH198" i="48"/>
  <c r="HI198" i="48"/>
  <c r="HJ198" i="48"/>
  <c r="HK198" i="48"/>
  <c r="HL198" i="48"/>
  <c r="HM198" i="48"/>
  <c r="HN198" i="48"/>
  <c r="HO198" i="48"/>
  <c r="HP198" i="48"/>
  <c r="GS199" i="48"/>
  <c r="GT199" i="48"/>
  <c r="GU199" i="48"/>
  <c r="GV199" i="48"/>
  <c r="GW199" i="48"/>
  <c r="GX199" i="48"/>
  <c r="GY199" i="48"/>
  <c r="GZ199" i="48"/>
  <c r="HA199" i="48"/>
  <c r="HB199" i="48"/>
  <c r="HC199" i="48"/>
  <c r="HD199" i="48"/>
  <c r="HE199" i="48"/>
  <c r="HF199" i="48"/>
  <c r="HG199" i="48"/>
  <c r="HH199" i="48"/>
  <c r="HI199" i="48"/>
  <c r="HJ199" i="48"/>
  <c r="HK199" i="48"/>
  <c r="HL199" i="48"/>
  <c r="HM199" i="48"/>
  <c r="HN199" i="48"/>
  <c r="HO199" i="48"/>
  <c r="HP199" i="48"/>
  <c r="GT195" i="48"/>
  <c r="GU195" i="48"/>
  <c r="GV195" i="48"/>
  <c r="GW195" i="48"/>
  <c r="GX195" i="48"/>
  <c r="GY195" i="48"/>
  <c r="GZ195" i="48"/>
  <c r="HA195" i="48"/>
  <c r="HB195" i="48"/>
  <c r="HC195" i="48"/>
  <c r="HD195" i="48"/>
  <c r="HE195" i="48"/>
  <c r="HF195" i="48"/>
  <c r="HG195" i="48"/>
  <c r="HH195" i="48"/>
  <c r="HI195" i="48"/>
  <c r="HJ195" i="48"/>
  <c r="HK195" i="48"/>
  <c r="HL195" i="48"/>
  <c r="HM195" i="48"/>
  <c r="HN195" i="48"/>
  <c r="HO195" i="48"/>
  <c r="HP195" i="48"/>
  <c r="GS195" i="48"/>
  <c r="GS189" i="48"/>
  <c r="GT189" i="48"/>
  <c r="GU189" i="48"/>
  <c r="GV189" i="48"/>
  <c r="GW189" i="48"/>
  <c r="GX189" i="48"/>
  <c r="GY189" i="48"/>
  <c r="GZ189" i="48"/>
  <c r="HA189" i="48"/>
  <c r="HB189" i="48"/>
  <c r="HC189" i="48"/>
  <c r="HD189" i="48"/>
  <c r="HE189" i="48"/>
  <c r="HF189" i="48"/>
  <c r="HG189" i="48"/>
  <c r="HH189" i="48"/>
  <c r="HI189" i="48"/>
  <c r="HJ189" i="48"/>
  <c r="HK189" i="48"/>
  <c r="HL189" i="48"/>
  <c r="HM189" i="48"/>
  <c r="HN189" i="48"/>
  <c r="HO189" i="48"/>
  <c r="HP189" i="48"/>
  <c r="GS190" i="48"/>
  <c r="GT190" i="48"/>
  <c r="GU190" i="48"/>
  <c r="GV190" i="48"/>
  <c r="GW190" i="48"/>
  <c r="GX190" i="48"/>
  <c r="GY190" i="48"/>
  <c r="GZ190" i="48"/>
  <c r="HA190" i="48"/>
  <c r="HB190" i="48"/>
  <c r="HC190" i="48"/>
  <c r="HD190" i="48"/>
  <c r="HE190" i="48"/>
  <c r="HF190" i="48"/>
  <c r="HG190" i="48"/>
  <c r="HH190" i="48"/>
  <c r="HI190" i="48"/>
  <c r="HJ190" i="48"/>
  <c r="HK190" i="48"/>
  <c r="HL190" i="48"/>
  <c r="HM190" i="48"/>
  <c r="HN190" i="48"/>
  <c r="HO190" i="48"/>
  <c r="HP190" i="48"/>
  <c r="GS191" i="48"/>
  <c r="GT191" i="48"/>
  <c r="GU191" i="48"/>
  <c r="GV191" i="48"/>
  <c r="GW191" i="48"/>
  <c r="GX191" i="48"/>
  <c r="GY191" i="48"/>
  <c r="GZ191" i="48"/>
  <c r="HA191" i="48"/>
  <c r="HB191" i="48"/>
  <c r="HC191" i="48"/>
  <c r="HD191" i="48"/>
  <c r="HE191" i="48"/>
  <c r="HF191" i="48"/>
  <c r="HG191" i="48"/>
  <c r="HH191" i="48"/>
  <c r="HI191" i="48"/>
  <c r="HJ191" i="48"/>
  <c r="HK191" i="48"/>
  <c r="HL191" i="48"/>
  <c r="HM191" i="48"/>
  <c r="HN191" i="48"/>
  <c r="HO191" i="48"/>
  <c r="HP191" i="48"/>
  <c r="GS192" i="48"/>
  <c r="GT192" i="48"/>
  <c r="GU192" i="48"/>
  <c r="GV192" i="48"/>
  <c r="GW192" i="48"/>
  <c r="GX192" i="48"/>
  <c r="GY192" i="48"/>
  <c r="GZ192" i="48"/>
  <c r="HA192" i="48"/>
  <c r="HB192" i="48"/>
  <c r="HC192" i="48"/>
  <c r="HD192" i="48"/>
  <c r="HE192" i="48"/>
  <c r="HF192" i="48"/>
  <c r="HG192" i="48"/>
  <c r="HH192" i="48"/>
  <c r="HI192" i="48"/>
  <c r="HJ192" i="48"/>
  <c r="HK192" i="48"/>
  <c r="HL192" i="48"/>
  <c r="HM192" i="48"/>
  <c r="HN192" i="48"/>
  <c r="HO192" i="48"/>
  <c r="HP192" i="48"/>
  <c r="GT188" i="48"/>
  <c r="GU188" i="48"/>
  <c r="GV188" i="48"/>
  <c r="GW188" i="48"/>
  <c r="GX188" i="48"/>
  <c r="GY188" i="48"/>
  <c r="GZ188" i="48"/>
  <c r="HA188" i="48"/>
  <c r="HB188" i="48"/>
  <c r="HC188" i="48"/>
  <c r="HD188" i="48"/>
  <c r="HE188" i="48"/>
  <c r="HF188" i="48"/>
  <c r="HG188" i="48"/>
  <c r="HH188" i="48"/>
  <c r="HI188" i="48"/>
  <c r="HJ188" i="48"/>
  <c r="HK188" i="48"/>
  <c r="HL188" i="48"/>
  <c r="HM188" i="48"/>
  <c r="HN188" i="48"/>
  <c r="HO188" i="48"/>
  <c r="HP188" i="48"/>
  <c r="GS188" i="48"/>
  <c r="FL197" i="48"/>
  <c r="FO197" i="48"/>
  <c r="FL198" i="48"/>
  <c r="FN198" i="48"/>
  <c r="FO198" i="48"/>
  <c r="FL199" i="48"/>
  <c r="FN199" i="48"/>
  <c r="FO199" i="48"/>
  <c r="FL200" i="48"/>
  <c r="FM200" i="48"/>
  <c r="FN200" i="48"/>
  <c r="FO200" i="48"/>
  <c r="FP200" i="48"/>
  <c r="FQ200" i="48"/>
  <c r="FR200" i="48"/>
  <c r="FS200" i="48"/>
  <c r="FT200" i="48"/>
  <c r="FU200" i="48"/>
  <c r="FV200" i="48"/>
  <c r="FW200" i="48"/>
  <c r="FX200" i="48"/>
  <c r="FY200" i="48"/>
  <c r="FZ200" i="48"/>
  <c r="GA200" i="48"/>
  <c r="GB200" i="48"/>
  <c r="GC200" i="48"/>
  <c r="GD200" i="48"/>
  <c r="GE200" i="48"/>
  <c r="GF200" i="48"/>
  <c r="GG200" i="48"/>
  <c r="GH200" i="48"/>
  <c r="GI200" i="48"/>
  <c r="FM196" i="48"/>
  <c r="FN196" i="48"/>
  <c r="FO196" i="48"/>
  <c r="FP196" i="48"/>
  <c r="FQ196" i="48"/>
  <c r="FR196" i="48"/>
  <c r="FS196" i="48"/>
  <c r="FT196" i="48"/>
  <c r="FU196" i="48"/>
  <c r="FV196" i="48"/>
  <c r="FW196" i="48"/>
  <c r="FX196" i="48"/>
  <c r="FY196" i="48"/>
  <c r="FZ196" i="48"/>
  <c r="GA196" i="48"/>
  <c r="GB196" i="48"/>
  <c r="GC196" i="48"/>
  <c r="GD196" i="48"/>
  <c r="GE196" i="48"/>
  <c r="GF196" i="48"/>
  <c r="GG196" i="48"/>
  <c r="GH196" i="48"/>
  <c r="GI196" i="48"/>
  <c r="FL196" i="48"/>
  <c r="FL189" i="48"/>
  <c r="FO189" i="48"/>
  <c r="FL190" i="48"/>
  <c r="FN190" i="48"/>
  <c r="FO190" i="48"/>
  <c r="FL191" i="48"/>
  <c r="FN191" i="48"/>
  <c r="FO191" i="48"/>
  <c r="FL192" i="48"/>
  <c r="FM192" i="48"/>
  <c r="FN192" i="48"/>
  <c r="FO192" i="48"/>
  <c r="FP192" i="48"/>
  <c r="FQ192" i="48"/>
  <c r="FR192" i="48"/>
  <c r="FS192" i="48"/>
  <c r="FT192" i="48"/>
  <c r="FU192" i="48"/>
  <c r="FV192" i="48"/>
  <c r="FW192" i="48"/>
  <c r="FX192" i="48"/>
  <c r="FY192" i="48"/>
  <c r="FZ192" i="48"/>
  <c r="GA192" i="48"/>
  <c r="GB192" i="48"/>
  <c r="GC192" i="48"/>
  <c r="GD192" i="48"/>
  <c r="GE192" i="48"/>
  <c r="GF192" i="48"/>
  <c r="GG192" i="48"/>
  <c r="GH192" i="48"/>
  <c r="GI192" i="48"/>
  <c r="FM188" i="48"/>
  <c r="FN188" i="48"/>
  <c r="FO188" i="48"/>
  <c r="FP188" i="48"/>
  <c r="FQ188" i="48"/>
  <c r="FR188" i="48"/>
  <c r="FS188" i="48"/>
  <c r="FT188" i="48"/>
  <c r="FU188" i="48"/>
  <c r="FV188" i="48"/>
  <c r="FW188" i="48"/>
  <c r="FX188" i="48"/>
  <c r="FY188" i="48"/>
  <c r="FZ188" i="48"/>
  <c r="GA188" i="48"/>
  <c r="GB188" i="48"/>
  <c r="GC188" i="48"/>
  <c r="GD188" i="48"/>
  <c r="GE188" i="48"/>
  <c r="GF188" i="48"/>
  <c r="GG188" i="48"/>
  <c r="GH188" i="48"/>
  <c r="GI188" i="48"/>
  <c r="FL188" i="48"/>
  <c r="EL197" i="48"/>
  <c r="EL198" i="48"/>
  <c r="EO198" i="48"/>
  <c r="EL199" i="48"/>
  <c r="EO199" i="48"/>
  <c r="EL200" i="48"/>
  <c r="EM200" i="48"/>
  <c r="EN200" i="48"/>
  <c r="EO200" i="48"/>
  <c r="EP200" i="48"/>
  <c r="EQ200" i="48"/>
  <c r="ER200" i="48"/>
  <c r="ES200" i="48"/>
  <c r="ET200" i="48"/>
  <c r="EU200" i="48"/>
  <c r="EV200" i="48"/>
  <c r="EW200" i="48"/>
  <c r="EX200" i="48"/>
  <c r="EY200" i="48"/>
  <c r="EZ200" i="48"/>
  <c r="FA200" i="48"/>
  <c r="FB200" i="48"/>
  <c r="FC200" i="48"/>
  <c r="FD200" i="48"/>
  <c r="FE200" i="48"/>
  <c r="FF200" i="48"/>
  <c r="FG200" i="48"/>
  <c r="FH200" i="48"/>
  <c r="FI200" i="48"/>
  <c r="EY196" i="48"/>
  <c r="EZ196" i="48"/>
  <c r="FA196" i="48"/>
  <c r="FB196" i="48"/>
  <c r="FC196" i="48"/>
  <c r="FD196" i="48"/>
  <c r="FE196" i="48"/>
  <c r="FF196" i="48"/>
  <c r="FG196" i="48"/>
  <c r="FH196" i="48"/>
  <c r="FI196" i="48"/>
  <c r="EM196" i="48"/>
  <c r="EN196" i="48"/>
  <c r="EO196" i="48"/>
  <c r="EP196" i="48"/>
  <c r="EQ196" i="48"/>
  <c r="ER196" i="48"/>
  <c r="ES196" i="48"/>
  <c r="ET196" i="48"/>
  <c r="EU196" i="48"/>
  <c r="EV196" i="48"/>
  <c r="EW196" i="48"/>
  <c r="EX196" i="48"/>
  <c r="EL196" i="48"/>
  <c r="EL189" i="48"/>
  <c r="EL190" i="48"/>
  <c r="EO190" i="48"/>
  <c r="EL191" i="48"/>
  <c r="EO191" i="48"/>
  <c r="EL192" i="48"/>
  <c r="EM192" i="48"/>
  <c r="EN192" i="48"/>
  <c r="EO192" i="48"/>
  <c r="EP192" i="48"/>
  <c r="EQ192" i="48"/>
  <c r="ER192" i="48"/>
  <c r="ES192" i="48"/>
  <c r="ET192" i="48"/>
  <c r="EU192" i="48"/>
  <c r="EV192" i="48"/>
  <c r="EW192" i="48"/>
  <c r="EX192" i="48"/>
  <c r="EY192" i="48"/>
  <c r="EZ192" i="48"/>
  <c r="FA192" i="48"/>
  <c r="FB192" i="48"/>
  <c r="FC192" i="48"/>
  <c r="FD192" i="48"/>
  <c r="FE192" i="48"/>
  <c r="FF192" i="48"/>
  <c r="FG192" i="48"/>
  <c r="FH192" i="48"/>
  <c r="FI192" i="48"/>
  <c r="EM188" i="48"/>
  <c r="EN188" i="48"/>
  <c r="EO188" i="48"/>
  <c r="EP188" i="48"/>
  <c r="EQ188" i="48"/>
  <c r="ER188" i="48"/>
  <c r="ES188" i="48"/>
  <c r="ET188" i="48"/>
  <c r="EU188" i="48"/>
  <c r="EV188" i="48"/>
  <c r="EW188" i="48"/>
  <c r="EX188" i="48"/>
  <c r="EY188" i="48"/>
  <c r="EZ188" i="48"/>
  <c r="FA188" i="48"/>
  <c r="FB188" i="48"/>
  <c r="FC188" i="48"/>
  <c r="FD188" i="48"/>
  <c r="FE188" i="48"/>
  <c r="FF188" i="48"/>
  <c r="FG188" i="48"/>
  <c r="FH188" i="48"/>
  <c r="FI188" i="48"/>
  <c r="EL188" i="48"/>
  <c r="W96" i="48"/>
  <c r="EN86" i="48"/>
  <c r="EN189" i="48" s="1"/>
  <c r="R122" i="47"/>
  <c r="R149" i="47"/>
  <c r="P151" i="47"/>
  <c r="S151" i="47" s="1"/>
  <c r="R151" i="47"/>
  <c r="P152" i="47"/>
  <c r="S152" i="47" s="1"/>
  <c r="R152" i="47"/>
  <c r="M151" i="47"/>
  <c r="N151" i="47"/>
  <c r="M152" i="47"/>
  <c r="N152" i="47"/>
  <c r="P139" i="47"/>
  <c r="S139" i="47" s="1"/>
  <c r="R139" i="47"/>
  <c r="P140" i="47"/>
  <c r="S140" i="47" s="1"/>
  <c r="R140" i="47"/>
  <c r="P141" i="47"/>
  <c r="S141" i="47" s="1"/>
  <c r="R141" i="47"/>
  <c r="P142" i="47"/>
  <c r="S142" i="47" s="1"/>
  <c r="R142" i="47"/>
  <c r="M139" i="47"/>
  <c r="N139" i="47"/>
  <c r="M140" i="47"/>
  <c r="N140" i="47"/>
  <c r="M141" i="47"/>
  <c r="N141" i="47"/>
  <c r="M142" i="47"/>
  <c r="N142" i="47"/>
  <c r="R123" i="47"/>
  <c r="P123" i="47"/>
  <c r="S123" i="47" s="1"/>
  <c r="P124" i="47"/>
  <c r="S124" i="47" s="1"/>
  <c r="R124" i="47"/>
  <c r="N122" i="47"/>
  <c r="M124" i="47"/>
  <c r="N124" i="47"/>
  <c r="M123" i="47"/>
  <c r="N123" i="47"/>
  <c r="U142" i="47"/>
  <c r="Z254" i="48" l="1"/>
  <c r="Z251" i="48"/>
  <c r="Z248" i="48"/>
  <c r="X255" i="48"/>
  <c r="X249" i="48"/>
  <c r="Y254" i="48"/>
  <c r="AA246" i="48"/>
  <c r="AA252" i="48"/>
  <c r="Z246" i="48"/>
  <c r="Z252" i="48"/>
  <c r="Y246" i="48"/>
  <c r="Y252" i="48"/>
  <c r="X246" i="48"/>
  <c r="X252" i="48"/>
  <c r="Z245" i="48"/>
  <c r="AA243" i="48"/>
  <c r="Y251" i="48"/>
  <c r="Z243" i="48"/>
  <c r="AA255" i="48"/>
  <c r="AA249" i="48"/>
  <c r="Y243" i="48"/>
  <c r="Z255" i="48"/>
  <c r="Z249" i="48"/>
  <c r="X243" i="48"/>
  <c r="Y255" i="48"/>
  <c r="Y249" i="48"/>
  <c r="Z242" i="48"/>
  <c r="AA254" i="48"/>
  <c r="AA251" i="48"/>
  <c r="AA248" i="48"/>
  <c r="AA245" i="48"/>
  <c r="AA242" i="48"/>
  <c r="Y248" i="48"/>
  <c r="Y245" i="48"/>
  <c r="Y242" i="48"/>
  <c r="W240" i="48"/>
  <c r="X254" i="48"/>
  <c r="X251" i="48"/>
  <c r="X248" i="48"/>
  <c r="X245" i="48"/>
  <c r="X242" i="48"/>
  <c r="X240" i="48"/>
  <c r="AA253" i="48"/>
  <c r="AA250" i="48"/>
  <c r="AA247" i="48"/>
  <c r="AA244" i="48"/>
  <c r="AA241" i="48"/>
  <c r="Y240" i="48"/>
  <c r="Z253" i="48"/>
  <c r="Z250" i="48"/>
  <c r="Z247" i="48"/>
  <c r="Z244" i="48"/>
  <c r="Z241" i="48"/>
  <c r="Y253" i="48"/>
  <c r="Y250" i="48"/>
  <c r="Y247" i="48"/>
  <c r="Y244" i="48"/>
  <c r="X253" i="48"/>
  <c r="X250" i="48"/>
  <c r="X247" i="48"/>
  <c r="X244" i="48"/>
  <c r="Q142" i="47"/>
  <c r="T142" i="47"/>
  <c r="U140" i="47"/>
  <c r="U141" i="47"/>
  <c r="U139" i="47"/>
  <c r="O264" i="48" l="1"/>
  <c r="T141" i="47"/>
  <c r="T140" i="47"/>
  <c r="Q139" i="47"/>
  <c r="Q140" i="47"/>
  <c r="T139" i="47"/>
  <c r="Q141" i="47"/>
  <c r="AB25" i="47" l="1"/>
  <c r="AB18" i="47"/>
  <c r="AB20" i="47"/>
  <c r="AB30" i="47"/>
  <c r="AB33" i="47"/>
  <c r="AB29" i="47"/>
  <c r="AB28" i="47"/>
  <c r="AB27" i="47"/>
  <c r="AB24" i="47"/>
  <c r="AB22" i="47"/>
  <c r="AB32" i="47"/>
  <c r="AB31" i="47"/>
  <c r="AB23" i="47"/>
  <c r="AB21" i="47"/>
  <c r="AB19" i="47"/>
  <c r="AB26" i="47"/>
  <c r="AD109" i="47"/>
  <c r="AD111" i="47"/>
  <c r="AD107" i="47"/>
  <c r="AD104" i="47"/>
  <c r="AD102" i="47"/>
  <c r="AD108" i="47"/>
  <c r="AD106" i="47"/>
  <c r="AD116" i="47"/>
  <c r="AD115" i="47"/>
  <c r="AD110" i="47"/>
  <c r="AD105" i="47"/>
  <c r="AD103" i="47"/>
  <c r="AD114" i="47"/>
  <c r="AD113" i="47"/>
  <c r="AD112" i="47"/>
  <c r="M21" i="47"/>
  <c r="N21" i="47"/>
  <c r="P21" i="47"/>
  <c r="S21" i="47" s="1"/>
  <c r="R21" i="47"/>
  <c r="R29" i="47"/>
  <c r="R30" i="47"/>
  <c r="R31" i="47"/>
  <c r="R32" i="47"/>
  <c r="R33" i="47"/>
  <c r="R34" i="47"/>
  <c r="R35" i="47"/>
  <c r="R37" i="47"/>
  <c r="R38" i="47"/>
  <c r="R39" i="47"/>
  <c r="R40" i="47"/>
  <c r="R41" i="47"/>
  <c r="R42" i="47"/>
  <c r="R43" i="47"/>
  <c r="R44" i="47"/>
  <c r="R150" i="46"/>
  <c r="R122" i="46"/>
  <c r="R108" i="46"/>
  <c r="R84" i="46"/>
  <c r="R64" i="46"/>
  <c r="R39" i="46"/>
  <c r="R20" i="46"/>
  <c r="X67" i="48" l="1"/>
  <c r="W66" i="48"/>
  <c r="X66" i="48"/>
  <c r="Y66" i="48"/>
  <c r="Z66" i="48"/>
  <c r="W67" i="48"/>
  <c r="Y67" i="48"/>
  <c r="Z67" i="48"/>
  <c r="W68" i="48"/>
  <c r="X68" i="48"/>
  <c r="Y68" i="48"/>
  <c r="Z68" i="48"/>
  <c r="W69" i="48"/>
  <c r="X69" i="48"/>
  <c r="Y69" i="48"/>
  <c r="Z69" i="48"/>
  <c r="W70" i="48"/>
  <c r="X70" i="48"/>
  <c r="Y70" i="48"/>
  <c r="Z70" i="48"/>
  <c r="W71" i="48"/>
  <c r="X71" i="48"/>
  <c r="Y71" i="48"/>
  <c r="Z71" i="48"/>
  <c r="W72" i="48"/>
  <c r="X72" i="48"/>
  <c r="Y72" i="48"/>
  <c r="Z72" i="48"/>
  <c r="W73" i="48"/>
  <c r="X73" i="48"/>
  <c r="Y73" i="48"/>
  <c r="Z73" i="48"/>
  <c r="W74" i="48"/>
  <c r="X74" i="48"/>
  <c r="Y74" i="48"/>
  <c r="Z74" i="48"/>
  <c r="W75" i="48"/>
  <c r="X75" i="48"/>
  <c r="Y75" i="48"/>
  <c r="Z75" i="48"/>
  <c r="W76" i="48"/>
  <c r="X76" i="48"/>
  <c r="Y76" i="48"/>
  <c r="Z76" i="48"/>
  <c r="W77" i="48"/>
  <c r="X77" i="48"/>
  <c r="Y77" i="48"/>
  <c r="Z77" i="48"/>
  <c r="W78" i="48"/>
  <c r="X78" i="48"/>
  <c r="Y78" i="48"/>
  <c r="Z78" i="48"/>
  <c r="W79" i="48"/>
  <c r="X79" i="48"/>
  <c r="Y79" i="48"/>
  <c r="Z79" i="48"/>
  <c r="W80" i="48"/>
  <c r="X80" i="48"/>
  <c r="Y80" i="48"/>
  <c r="Z80" i="48"/>
  <c r="X18" i="48"/>
  <c r="L165" i="48" l="1"/>
  <c r="Z124" i="48" l="1"/>
  <c r="X96" i="48"/>
  <c r="X125" i="48"/>
  <c r="Y125" i="48"/>
  <c r="Z125" i="48"/>
  <c r="X126" i="48"/>
  <c r="Y126" i="48"/>
  <c r="Z126" i="48"/>
  <c r="X127" i="48"/>
  <c r="Y127" i="48"/>
  <c r="Z127" i="48"/>
  <c r="X128" i="48"/>
  <c r="Y128" i="48"/>
  <c r="Z128" i="48"/>
  <c r="X129" i="48"/>
  <c r="Y129" i="48"/>
  <c r="Z129" i="48"/>
  <c r="X130" i="48"/>
  <c r="Y130" i="48"/>
  <c r="Z130" i="48"/>
  <c r="X131" i="48"/>
  <c r="Y131" i="48"/>
  <c r="Z131" i="48"/>
  <c r="X132" i="48"/>
  <c r="Y132" i="48"/>
  <c r="Z132" i="48"/>
  <c r="X133" i="48"/>
  <c r="Y133" i="48"/>
  <c r="Z133" i="48"/>
  <c r="X134" i="48"/>
  <c r="Y134" i="48"/>
  <c r="Z134" i="48"/>
  <c r="X135" i="48"/>
  <c r="Y135" i="48"/>
  <c r="Z135" i="48"/>
  <c r="X136" i="48"/>
  <c r="Y136" i="48"/>
  <c r="Z136" i="48"/>
  <c r="X137" i="48"/>
  <c r="Y137" i="48"/>
  <c r="Z137" i="48"/>
  <c r="X138" i="48"/>
  <c r="Y138" i="48"/>
  <c r="Z138" i="48"/>
  <c r="X139" i="48"/>
  <c r="Y139" i="48"/>
  <c r="Z139" i="48"/>
  <c r="Y124" i="48"/>
  <c r="X124" i="48"/>
  <c r="W139" i="48"/>
  <c r="W125" i="48"/>
  <c r="W126" i="48"/>
  <c r="W127" i="48"/>
  <c r="W128" i="48"/>
  <c r="W129" i="48"/>
  <c r="W130" i="48"/>
  <c r="W131" i="48"/>
  <c r="W132" i="48"/>
  <c r="W133" i="48"/>
  <c r="W134" i="48"/>
  <c r="W135" i="48"/>
  <c r="W136" i="48"/>
  <c r="W137" i="48"/>
  <c r="W138" i="48"/>
  <c r="W124" i="48"/>
  <c r="HU127" i="48"/>
  <c r="HV127" i="48"/>
  <c r="HW127" i="48"/>
  <c r="HX127" i="48"/>
  <c r="HY127" i="48"/>
  <c r="HZ127" i="48"/>
  <c r="IA127" i="48"/>
  <c r="IB127" i="48"/>
  <c r="IC127" i="48"/>
  <c r="ID127" i="48"/>
  <c r="IE127" i="48"/>
  <c r="IF127" i="48"/>
  <c r="IG127" i="48"/>
  <c r="IH127" i="48"/>
  <c r="II127" i="48"/>
  <c r="IJ127" i="48"/>
  <c r="IK127" i="48"/>
  <c r="IL127" i="48"/>
  <c r="IM127" i="48"/>
  <c r="IN127" i="48"/>
  <c r="IO127" i="48"/>
  <c r="IP127" i="48"/>
  <c r="IQ127" i="48"/>
  <c r="HU128" i="48"/>
  <c r="HV128" i="48"/>
  <c r="HW128" i="48"/>
  <c r="HX128" i="48"/>
  <c r="HY128" i="48"/>
  <c r="HZ128" i="48"/>
  <c r="IA128" i="48"/>
  <c r="IB128" i="48"/>
  <c r="IC128" i="48"/>
  <c r="ID128" i="48"/>
  <c r="IE128" i="48"/>
  <c r="IF128" i="48"/>
  <c r="IG128" i="48"/>
  <c r="IH128" i="48"/>
  <c r="II128" i="48"/>
  <c r="IJ128" i="48"/>
  <c r="IK128" i="48"/>
  <c r="IL128" i="48"/>
  <c r="IM128" i="48"/>
  <c r="IN128" i="48"/>
  <c r="IO128" i="48"/>
  <c r="IP128" i="48"/>
  <c r="IQ128" i="48"/>
  <c r="HU129" i="48"/>
  <c r="HV129" i="48"/>
  <c r="HW129" i="48"/>
  <c r="HX129" i="48"/>
  <c r="HY129" i="48"/>
  <c r="HZ129" i="48"/>
  <c r="IA129" i="48"/>
  <c r="IB129" i="48"/>
  <c r="IC129" i="48"/>
  <c r="ID129" i="48"/>
  <c r="IE129" i="48"/>
  <c r="IF129" i="48"/>
  <c r="IG129" i="48"/>
  <c r="IH129" i="48"/>
  <c r="II129" i="48"/>
  <c r="IJ129" i="48"/>
  <c r="IK129" i="48"/>
  <c r="IL129" i="48"/>
  <c r="IM129" i="48"/>
  <c r="IN129" i="48"/>
  <c r="IO129" i="48"/>
  <c r="IP129" i="48"/>
  <c r="IQ129" i="48"/>
  <c r="HU130" i="48"/>
  <c r="HV130" i="48"/>
  <c r="HW130" i="48"/>
  <c r="HX130" i="48"/>
  <c r="HY130" i="48"/>
  <c r="HZ130" i="48"/>
  <c r="IA130" i="48"/>
  <c r="IB130" i="48"/>
  <c r="IC130" i="48"/>
  <c r="ID130" i="48"/>
  <c r="IE130" i="48"/>
  <c r="IF130" i="48"/>
  <c r="IG130" i="48"/>
  <c r="IH130" i="48"/>
  <c r="II130" i="48"/>
  <c r="IJ130" i="48"/>
  <c r="IK130" i="48"/>
  <c r="IL130" i="48"/>
  <c r="IM130" i="48"/>
  <c r="IN130" i="48"/>
  <c r="IO130" i="48"/>
  <c r="IP130" i="48"/>
  <c r="IQ130" i="48"/>
  <c r="HV126" i="48"/>
  <c r="HW126" i="48"/>
  <c r="HX126" i="48"/>
  <c r="HY126" i="48"/>
  <c r="HZ126" i="48"/>
  <c r="IA126" i="48"/>
  <c r="IB126" i="48"/>
  <c r="IC126" i="48"/>
  <c r="ID126" i="48"/>
  <c r="IE126" i="48"/>
  <c r="IF126" i="48"/>
  <c r="IG126" i="48"/>
  <c r="IH126" i="48"/>
  <c r="II126" i="48"/>
  <c r="IJ126" i="48"/>
  <c r="IK126" i="48"/>
  <c r="IL126" i="48"/>
  <c r="IM126" i="48"/>
  <c r="IN126" i="48"/>
  <c r="IO126" i="48"/>
  <c r="IP126" i="48"/>
  <c r="IQ126" i="48"/>
  <c r="HU126" i="48"/>
  <c r="HU120" i="48"/>
  <c r="HV120" i="48"/>
  <c r="HW120" i="48"/>
  <c r="HX120" i="48"/>
  <c r="HY120" i="48"/>
  <c r="HZ120" i="48"/>
  <c r="IA120" i="48"/>
  <c r="IB120" i="48"/>
  <c r="IC120" i="48"/>
  <c r="ID120" i="48"/>
  <c r="IE120" i="48"/>
  <c r="IF120" i="48"/>
  <c r="IG120" i="48"/>
  <c r="IH120" i="48"/>
  <c r="II120" i="48"/>
  <c r="IJ120" i="48"/>
  <c r="IK120" i="48"/>
  <c r="IL120" i="48"/>
  <c r="IM120" i="48"/>
  <c r="IN120" i="48"/>
  <c r="IO120" i="48"/>
  <c r="IP120" i="48"/>
  <c r="IQ120" i="48"/>
  <c r="HU121" i="48"/>
  <c r="HV121" i="48"/>
  <c r="HW121" i="48"/>
  <c r="HX121" i="48"/>
  <c r="HY121" i="48"/>
  <c r="HZ121" i="48"/>
  <c r="IA121" i="48"/>
  <c r="IB121" i="48"/>
  <c r="IC121" i="48"/>
  <c r="ID121" i="48"/>
  <c r="IE121" i="48"/>
  <c r="IF121" i="48"/>
  <c r="IG121" i="48"/>
  <c r="IH121" i="48"/>
  <c r="II121" i="48"/>
  <c r="IJ121" i="48"/>
  <c r="IK121" i="48"/>
  <c r="IL121" i="48"/>
  <c r="IM121" i="48"/>
  <c r="IN121" i="48"/>
  <c r="IO121" i="48"/>
  <c r="IP121" i="48"/>
  <c r="IQ121" i="48"/>
  <c r="HU122" i="48"/>
  <c r="HV122" i="48"/>
  <c r="HW122" i="48"/>
  <c r="HX122" i="48"/>
  <c r="HY122" i="48"/>
  <c r="HZ122" i="48"/>
  <c r="IA122" i="48"/>
  <c r="IB122" i="48"/>
  <c r="IC122" i="48"/>
  <c r="ID122" i="48"/>
  <c r="IE122" i="48"/>
  <c r="IF122" i="48"/>
  <c r="IG122" i="48"/>
  <c r="IH122" i="48"/>
  <c r="II122" i="48"/>
  <c r="IJ122" i="48"/>
  <c r="IK122" i="48"/>
  <c r="IL122" i="48"/>
  <c r="IM122" i="48"/>
  <c r="IN122" i="48"/>
  <c r="IO122" i="48"/>
  <c r="IP122" i="48"/>
  <c r="IQ122" i="48"/>
  <c r="HU123" i="48"/>
  <c r="HV123" i="48"/>
  <c r="HW123" i="48"/>
  <c r="HX123" i="48"/>
  <c r="HY123" i="48"/>
  <c r="HZ123" i="48"/>
  <c r="IA123" i="48"/>
  <c r="IB123" i="48"/>
  <c r="IC123" i="48"/>
  <c r="ID123" i="48"/>
  <c r="IE123" i="48"/>
  <c r="IF123" i="48"/>
  <c r="IG123" i="48"/>
  <c r="IH123" i="48"/>
  <c r="II123" i="48"/>
  <c r="IJ123" i="48"/>
  <c r="IK123" i="48"/>
  <c r="IL123" i="48"/>
  <c r="IM123" i="48"/>
  <c r="IN123" i="48"/>
  <c r="IO123" i="48"/>
  <c r="IP123" i="48"/>
  <c r="IQ123" i="48"/>
  <c r="HV119" i="48"/>
  <c r="HW119" i="48"/>
  <c r="HX119" i="48"/>
  <c r="HY119" i="48"/>
  <c r="HZ119" i="48"/>
  <c r="IA119" i="48"/>
  <c r="IB119" i="48"/>
  <c r="IC119" i="48"/>
  <c r="ID119" i="48"/>
  <c r="IE119" i="48"/>
  <c r="IF119" i="48"/>
  <c r="IG119" i="48"/>
  <c r="IH119" i="48"/>
  <c r="II119" i="48"/>
  <c r="IJ119" i="48"/>
  <c r="IK119" i="48"/>
  <c r="IL119" i="48"/>
  <c r="IM119" i="48"/>
  <c r="IN119" i="48"/>
  <c r="IO119" i="48"/>
  <c r="IP119" i="48"/>
  <c r="IQ119" i="48"/>
  <c r="HU119" i="48"/>
  <c r="HU113" i="48"/>
  <c r="HV113" i="48"/>
  <c r="HW113" i="48"/>
  <c r="HX113" i="48"/>
  <c r="HY113" i="48"/>
  <c r="HZ113" i="48"/>
  <c r="IA113" i="48"/>
  <c r="IB113" i="48"/>
  <c r="IC113" i="48"/>
  <c r="ID113" i="48"/>
  <c r="IE113" i="48"/>
  <c r="IF113" i="48"/>
  <c r="IG113" i="48"/>
  <c r="IH113" i="48"/>
  <c r="II113" i="48"/>
  <c r="IJ113" i="48"/>
  <c r="IK113" i="48"/>
  <c r="IL113" i="48"/>
  <c r="IM113" i="48"/>
  <c r="IN113" i="48"/>
  <c r="IO113" i="48"/>
  <c r="IP113" i="48"/>
  <c r="IQ113" i="48"/>
  <c r="HU114" i="48"/>
  <c r="HV114" i="48"/>
  <c r="HW114" i="48"/>
  <c r="HX114" i="48"/>
  <c r="HY114" i="48"/>
  <c r="HZ114" i="48"/>
  <c r="IA114" i="48"/>
  <c r="IB114" i="48"/>
  <c r="IC114" i="48"/>
  <c r="ID114" i="48"/>
  <c r="IE114" i="48"/>
  <c r="IF114" i="48"/>
  <c r="IG114" i="48"/>
  <c r="IH114" i="48"/>
  <c r="II114" i="48"/>
  <c r="IJ114" i="48"/>
  <c r="IK114" i="48"/>
  <c r="IL114" i="48"/>
  <c r="IM114" i="48"/>
  <c r="IN114" i="48"/>
  <c r="IO114" i="48"/>
  <c r="IP114" i="48"/>
  <c r="IQ114" i="48"/>
  <c r="HU115" i="48"/>
  <c r="HV115" i="48"/>
  <c r="HW115" i="48"/>
  <c r="HX115" i="48"/>
  <c r="HY115" i="48"/>
  <c r="HZ115" i="48"/>
  <c r="IA115" i="48"/>
  <c r="IB115" i="48"/>
  <c r="IC115" i="48"/>
  <c r="ID115" i="48"/>
  <c r="IE115" i="48"/>
  <c r="IF115" i="48"/>
  <c r="IG115" i="48"/>
  <c r="IH115" i="48"/>
  <c r="II115" i="48"/>
  <c r="IJ115" i="48"/>
  <c r="IK115" i="48"/>
  <c r="IL115" i="48"/>
  <c r="IM115" i="48"/>
  <c r="IN115" i="48"/>
  <c r="IO115" i="48"/>
  <c r="IP115" i="48"/>
  <c r="IQ115" i="48"/>
  <c r="HU116" i="48"/>
  <c r="HV116" i="48"/>
  <c r="HW116" i="48"/>
  <c r="HX116" i="48"/>
  <c r="HY116" i="48"/>
  <c r="HZ116" i="48"/>
  <c r="IA116" i="48"/>
  <c r="IB116" i="48"/>
  <c r="IC116" i="48"/>
  <c r="ID116" i="48"/>
  <c r="IE116" i="48"/>
  <c r="IF116" i="48"/>
  <c r="IG116" i="48"/>
  <c r="IH116" i="48"/>
  <c r="II116" i="48"/>
  <c r="IJ116" i="48"/>
  <c r="IK116" i="48"/>
  <c r="IL116" i="48"/>
  <c r="IM116" i="48"/>
  <c r="IN116" i="48"/>
  <c r="IO116" i="48"/>
  <c r="IP116" i="48"/>
  <c r="IQ116" i="48"/>
  <c r="HV112" i="48"/>
  <c r="HW112" i="48"/>
  <c r="HX112" i="48"/>
  <c r="HY112" i="48"/>
  <c r="HZ112" i="48"/>
  <c r="IA112" i="48"/>
  <c r="IB112" i="48"/>
  <c r="IC112" i="48"/>
  <c r="ID112" i="48"/>
  <c r="IE112" i="48"/>
  <c r="IF112" i="48"/>
  <c r="IG112" i="48"/>
  <c r="IH112" i="48"/>
  <c r="II112" i="48"/>
  <c r="IJ112" i="48"/>
  <c r="IK112" i="48"/>
  <c r="IL112" i="48"/>
  <c r="IM112" i="48"/>
  <c r="IN112" i="48"/>
  <c r="IO112" i="48"/>
  <c r="IP112" i="48"/>
  <c r="IQ112" i="48"/>
  <c r="HU112" i="48"/>
  <c r="HP122" i="48"/>
  <c r="GT120" i="48"/>
  <c r="GU120" i="48"/>
  <c r="GV120" i="48"/>
  <c r="GW120" i="48"/>
  <c r="GX120" i="48"/>
  <c r="GY120" i="48"/>
  <c r="GZ120" i="48"/>
  <c r="HA120" i="48"/>
  <c r="HB120" i="48"/>
  <c r="HC120" i="48"/>
  <c r="HD120" i="48"/>
  <c r="HE120" i="48"/>
  <c r="HF120" i="48"/>
  <c r="HG120" i="48"/>
  <c r="HH120" i="48"/>
  <c r="HI120" i="48"/>
  <c r="HJ120" i="48"/>
  <c r="HK120" i="48"/>
  <c r="HL120" i="48"/>
  <c r="HM120" i="48"/>
  <c r="HN120" i="48"/>
  <c r="HO120" i="48"/>
  <c r="HP120" i="48"/>
  <c r="GT121" i="48"/>
  <c r="GU121" i="48"/>
  <c r="GV121" i="48"/>
  <c r="GW121" i="48"/>
  <c r="GX121" i="48"/>
  <c r="GY121" i="48"/>
  <c r="GZ121" i="48"/>
  <c r="HA121" i="48"/>
  <c r="HB121" i="48"/>
  <c r="HC121" i="48"/>
  <c r="HD121" i="48"/>
  <c r="HE121" i="48"/>
  <c r="HF121" i="48"/>
  <c r="HG121" i="48"/>
  <c r="HH121" i="48"/>
  <c r="HI121" i="48"/>
  <c r="HJ121" i="48"/>
  <c r="HK121" i="48"/>
  <c r="HL121" i="48"/>
  <c r="HM121" i="48"/>
  <c r="HN121" i="48"/>
  <c r="HO121" i="48"/>
  <c r="HP121" i="48"/>
  <c r="GT122" i="48"/>
  <c r="GU122" i="48"/>
  <c r="GV122" i="48"/>
  <c r="GW122" i="48"/>
  <c r="GX122" i="48"/>
  <c r="GY122" i="48"/>
  <c r="GZ122" i="48"/>
  <c r="HA122" i="48"/>
  <c r="HB122" i="48"/>
  <c r="HC122" i="48"/>
  <c r="HD122" i="48"/>
  <c r="HE122" i="48"/>
  <c r="HF122" i="48"/>
  <c r="HG122" i="48"/>
  <c r="HH122" i="48"/>
  <c r="HI122" i="48"/>
  <c r="HJ122" i="48"/>
  <c r="HK122" i="48"/>
  <c r="HL122" i="48"/>
  <c r="HM122" i="48"/>
  <c r="HN122" i="48"/>
  <c r="HO122" i="48"/>
  <c r="GT123" i="48"/>
  <c r="GU123" i="48"/>
  <c r="GV123" i="48"/>
  <c r="GW123" i="48"/>
  <c r="GX123" i="48"/>
  <c r="GY123" i="48"/>
  <c r="GZ123" i="48"/>
  <c r="HA123" i="48"/>
  <c r="HB123" i="48"/>
  <c r="HC123" i="48"/>
  <c r="HD123" i="48"/>
  <c r="HE123" i="48"/>
  <c r="HF123" i="48"/>
  <c r="HG123" i="48"/>
  <c r="HH123" i="48"/>
  <c r="HI123" i="48"/>
  <c r="HJ123" i="48"/>
  <c r="HK123" i="48"/>
  <c r="HL123" i="48"/>
  <c r="HM123" i="48"/>
  <c r="HN123" i="48"/>
  <c r="HO123" i="48"/>
  <c r="HP123" i="48"/>
  <c r="GU119" i="48"/>
  <c r="GV119" i="48"/>
  <c r="GW119" i="48"/>
  <c r="GX119" i="48"/>
  <c r="GY119" i="48"/>
  <c r="GZ119" i="48"/>
  <c r="HA119" i="48"/>
  <c r="HB119" i="48"/>
  <c r="HC119" i="48"/>
  <c r="HD119" i="48"/>
  <c r="HE119" i="48"/>
  <c r="HF119" i="48"/>
  <c r="HG119" i="48"/>
  <c r="HH119" i="48"/>
  <c r="HI119" i="48"/>
  <c r="HJ119" i="48"/>
  <c r="HK119" i="48"/>
  <c r="HL119" i="48"/>
  <c r="HM119" i="48"/>
  <c r="HN119" i="48"/>
  <c r="HO119" i="48"/>
  <c r="HP119" i="48"/>
  <c r="GT112" i="48"/>
  <c r="GT119" i="48"/>
  <c r="GT113" i="48"/>
  <c r="GU113" i="48"/>
  <c r="GV113" i="48"/>
  <c r="GW113" i="48"/>
  <c r="GX113" i="48"/>
  <c r="GY113" i="48"/>
  <c r="GZ113" i="48"/>
  <c r="HA113" i="48"/>
  <c r="HB113" i="48"/>
  <c r="HC113" i="48"/>
  <c r="HD113" i="48"/>
  <c r="HE113" i="48"/>
  <c r="HF113" i="48"/>
  <c r="HG113" i="48"/>
  <c r="HH113" i="48"/>
  <c r="HI113" i="48"/>
  <c r="HJ113" i="48"/>
  <c r="HK113" i="48"/>
  <c r="HL113" i="48"/>
  <c r="HM113" i="48"/>
  <c r="HN113" i="48"/>
  <c r="HO113" i="48"/>
  <c r="HP113" i="48"/>
  <c r="GT114" i="48"/>
  <c r="GU114" i="48"/>
  <c r="GV114" i="48"/>
  <c r="GW114" i="48"/>
  <c r="GX114" i="48"/>
  <c r="GY114" i="48"/>
  <c r="GZ114" i="48"/>
  <c r="HA114" i="48"/>
  <c r="HB114" i="48"/>
  <c r="HC114" i="48"/>
  <c r="HD114" i="48"/>
  <c r="HE114" i="48"/>
  <c r="HF114" i="48"/>
  <c r="HG114" i="48"/>
  <c r="HH114" i="48"/>
  <c r="HI114" i="48"/>
  <c r="HJ114" i="48"/>
  <c r="HK114" i="48"/>
  <c r="HL114" i="48"/>
  <c r="HM114" i="48"/>
  <c r="HN114" i="48"/>
  <c r="HO114" i="48"/>
  <c r="HP114" i="48"/>
  <c r="GT115" i="48"/>
  <c r="GU115" i="48"/>
  <c r="GV115" i="48"/>
  <c r="GW115" i="48"/>
  <c r="GX115" i="48"/>
  <c r="GY115" i="48"/>
  <c r="GZ115" i="48"/>
  <c r="HA115" i="48"/>
  <c r="HB115" i="48"/>
  <c r="HC115" i="48"/>
  <c r="HD115" i="48"/>
  <c r="HE115" i="48"/>
  <c r="HF115" i="48"/>
  <c r="HG115" i="48"/>
  <c r="HH115" i="48"/>
  <c r="HI115" i="48"/>
  <c r="HJ115" i="48"/>
  <c r="HK115" i="48"/>
  <c r="HL115" i="48"/>
  <c r="HM115" i="48"/>
  <c r="HN115" i="48"/>
  <c r="HO115" i="48"/>
  <c r="HP115" i="48"/>
  <c r="GT116" i="48"/>
  <c r="GU116" i="48"/>
  <c r="GV116" i="48"/>
  <c r="GW116" i="48"/>
  <c r="GX116" i="48"/>
  <c r="GY116" i="48"/>
  <c r="GZ116" i="48"/>
  <c r="HA116" i="48"/>
  <c r="HB116" i="48"/>
  <c r="HC116" i="48"/>
  <c r="HD116" i="48"/>
  <c r="HE116" i="48"/>
  <c r="HF116" i="48"/>
  <c r="HG116" i="48"/>
  <c r="HH116" i="48"/>
  <c r="HI116" i="48"/>
  <c r="HJ116" i="48"/>
  <c r="HK116" i="48"/>
  <c r="HL116" i="48"/>
  <c r="HM116" i="48"/>
  <c r="HN116" i="48"/>
  <c r="HO116" i="48"/>
  <c r="HP116" i="48"/>
  <c r="GU112" i="48"/>
  <c r="GV112" i="48"/>
  <c r="GW112" i="48"/>
  <c r="GX112" i="48"/>
  <c r="GY112" i="48"/>
  <c r="GZ112" i="48"/>
  <c r="HA112" i="48"/>
  <c r="HB112" i="48"/>
  <c r="HC112" i="48"/>
  <c r="HD112" i="48"/>
  <c r="HE112" i="48"/>
  <c r="HF112" i="48"/>
  <c r="HG112" i="48"/>
  <c r="HH112" i="48"/>
  <c r="HI112" i="48"/>
  <c r="HJ112" i="48"/>
  <c r="HK112" i="48"/>
  <c r="HL112" i="48"/>
  <c r="HM112" i="48"/>
  <c r="HN112" i="48"/>
  <c r="HO112" i="48"/>
  <c r="HP112" i="48"/>
  <c r="FM112" i="48"/>
  <c r="EM112" i="48"/>
  <c r="M27" i="42"/>
  <c r="M25" i="42"/>
  <c r="B27" i="42"/>
  <c r="M26" i="42"/>
  <c r="M24" i="42"/>
  <c r="M23" i="42"/>
  <c r="M22" i="42"/>
  <c r="M21" i="42"/>
  <c r="B36" i="42" s="1"/>
  <c r="S21" i="42"/>
  <c r="L105" i="48"/>
  <c r="L107" i="48" s="1"/>
  <c r="R104" i="48"/>
  <c r="R103" i="48"/>
  <c r="N102" i="48"/>
  <c r="L135" i="48"/>
  <c r="L136" i="48" s="1"/>
  <c r="N101" i="48"/>
  <c r="X106" i="46"/>
  <c r="X46" i="46"/>
  <c r="X22" i="46"/>
  <c r="O142" i="48" l="1"/>
  <c r="M103" i="48"/>
  <c r="N103" i="48"/>
  <c r="M104" i="48"/>
  <c r="P104" i="48"/>
  <c r="S104" i="48" s="1"/>
  <c r="N104" i="48"/>
  <c r="P103" i="48"/>
  <c r="S103" i="48" s="1"/>
  <c r="O122" i="46"/>
  <c r="X129" i="46"/>
  <c r="X140" i="46"/>
  <c r="X126" i="46"/>
  <c r="X127" i="46"/>
  <c r="X128" i="46"/>
  <c r="X130" i="46"/>
  <c r="X131" i="46"/>
  <c r="X132" i="46"/>
  <c r="X133" i="46"/>
  <c r="X134" i="46"/>
  <c r="X135" i="46"/>
  <c r="X136" i="46"/>
  <c r="X137" i="46"/>
  <c r="X138" i="46"/>
  <c r="X139" i="46"/>
  <c r="X107" i="46"/>
  <c r="X101" i="46"/>
  <c r="W93" i="46"/>
  <c r="W92" i="46"/>
  <c r="X88" i="46"/>
  <c r="X89" i="46"/>
  <c r="X90" i="46"/>
  <c r="X91" i="46"/>
  <c r="X92" i="46"/>
  <c r="X93" i="46"/>
  <c r="X94" i="46"/>
  <c r="X95" i="46"/>
  <c r="X96" i="46"/>
  <c r="X97" i="46"/>
  <c r="X98" i="46"/>
  <c r="X99" i="46"/>
  <c r="X100" i="46"/>
  <c r="X102" i="46"/>
  <c r="W70" i="46"/>
  <c r="X66" i="46"/>
  <c r="X65" i="46"/>
  <c r="X67" i="46" l="1"/>
  <c r="X68" i="46"/>
  <c r="X69" i="46"/>
  <c r="X70" i="46"/>
  <c r="X71" i="46"/>
  <c r="X72" i="46"/>
  <c r="X73" i="46"/>
  <c r="X74" i="46"/>
  <c r="X75" i="46"/>
  <c r="X76" i="46"/>
  <c r="X77" i="46"/>
  <c r="X78" i="46"/>
  <c r="X79" i="46"/>
  <c r="X80" i="46"/>
  <c r="X4" i="46"/>
  <c r="X23" i="46"/>
  <c r="X24" i="46"/>
  <c r="X25" i="46"/>
  <c r="X26" i="46"/>
  <c r="X27" i="46"/>
  <c r="X28" i="46"/>
  <c r="X29" i="46"/>
  <c r="X30" i="46"/>
  <c r="X31" i="46"/>
  <c r="X32" i="46"/>
  <c r="X33" i="46"/>
  <c r="X34" i="46"/>
  <c r="X35" i="46"/>
  <c r="X36" i="46"/>
  <c r="X37" i="46"/>
  <c r="X3" i="46"/>
  <c r="X5" i="46"/>
  <c r="X6" i="46"/>
  <c r="X7" i="46"/>
  <c r="X8" i="46"/>
  <c r="X9" i="46"/>
  <c r="X10" i="46"/>
  <c r="X11" i="46"/>
  <c r="X12" i="46"/>
  <c r="X13" i="46"/>
  <c r="X14" i="46"/>
  <c r="X15" i="46"/>
  <c r="X16" i="46"/>
  <c r="X17" i="46"/>
  <c r="X47" i="46"/>
  <c r="X48" i="46"/>
  <c r="X49" i="46"/>
  <c r="X50" i="46"/>
  <c r="X51" i="46"/>
  <c r="X52" i="46"/>
  <c r="X53" i="46"/>
  <c r="X54" i="46"/>
  <c r="X55" i="46"/>
  <c r="X56" i="46"/>
  <c r="X57" i="46"/>
  <c r="X58" i="46"/>
  <c r="X59" i="46"/>
  <c r="X60" i="46"/>
  <c r="X61" i="46"/>
  <c r="W48" i="46"/>
  <c r="W47" i="46"/>
  <c r="W25" i="46"/>
  <c r="W24" i="46"/>
  <c r="W5" i="46"/>
  <c r="X2" i="46" s="1"/>
  <c r="F146" i="47" l="1"/>
  <c r="F119" i="47"/>
  <c r="L6" i="46" l="1"/>
  <c r="L5" i="46"/>
  <c r="AP5" i="46" l="1"/>
  <c r="AP7" i="46"/>
  <c r="AP9" i="46"/>
  <c r="AP11" i="46"/>
  <c r="AP13" i="46"/>
  <c r="AP15" i="46"/>
  <c r="AP17" i="46"/>
  <c r="AP4" i="46"/>
  <c r="AP6" i="46"/>
  <c r="AP8" i="46"/>
  <c r="AP10" i="46"/>
  <c r="AP12" i="46"/>
  <c r="AP14" i="46"/>
  <c r="AP16" i="46"/>
  <c r="AP18" i="46"/>
  <c r="AP3" i="46"/>
  <c r="AQ5" i="46"/>
  <c r="AQ7" i="46"/>
  <c r="AQ9" i="46"/>
  <c r="AQ11" i="46"/>
  <c r="AQ13" i="46"/>
  <c r="AQ15" i="46"/>
  <c r="AQ17" i="46"/>
  <c r="AQ3" i="46"/>
  <c r="AQ4" i="46"/>
  <c r="AQ6" i="46"/>
  <c r="AQ8" i="46"/>
  <c r="AQ10" i="46"/>
  <c r="AQ12" i="46"/>
  <c r="AQ14" i="46"/>
  <c r="AQ16" i="46"/>
  <c r="AQ18" i="46"/>
  <c r="IT10" i="47"/>
  <c r="IU10" i="47"/>
  <c r="IV10" i="47"/>
  <c r="IW10" i="47"/>
  <c r="IX10" i="47"/>
  <c r="IY10" i="47"/>
  <c r="IZ10" i="47"/>
  <c r="JA10" i="47"/>
  <c r="JB10" i="47"/>
  <c r="JC10" i="47"/>
  <c r="JD10" i="47"/>
  <c r="JE10" i="47"/>
  <c r="JF10" i="47"/>
  <c r="JG10" i="47"/>
  <c r="JH10" i="47"/>
  <c r="JI10" i="47"/>
  <c r="JJ10" i="47"/>
  <c r="JK10" i="47"/>
  <c r="JL10" i="47"/>
  <c r="JM10" i="47"/>
  <c r="JN10" i="47"/>
  <c r="IT11" i="47"/>
  <c r="IU11" i="47"/>
  <c r="IV11" i="47"/>
  <c r="IW11" i="47"/>
  <c r="IX11" i="47"/>
  <c r="IY11" i="47"/>
  <c r="IZ11" i="47"/>
  <c r="JA11" i="47"/>
  <c r="JB11" i="47"/>
  <c r="JC11" i="47"/>
  <c r="JD11" i="47"/>
  <c r="JE11" i="47"/>
  <c r="JF11" i="47"/>
  <c r="JG11" i="47"/>
  <c r="JH11" i="47"/>
  <c r="JI11" i="47"/>
  <c r="JJ11" i="47"/>
  <c r="JK11" i="47"/>
  <c r="JL11" i="47"/>
  <c r="JM11" i="47"/>
  <c r="JN11" i="47"/>
  <c r="IT12" i="47"/>
  <c r="IU12" i="47"/>
  <c r="IV12" i="47"/>
  <c r="IW12" i="47"/>
  <c r="IX12" i="47"/>
  <c r="IY12" i="47"/>
  <c r="IZ12" i="47"/>
  <c r="JA12" i="47"/>
  <c r="JB12" i="47"/>
  <c r="JC12" i="47"/>
  <c r="JD12" i="47"/>
  <c r="JE12" i="47"/>
  <c r="JF12" i="47"/>
  <c r="JG12" i="47"/>
  <c r="JH12" i="47"/>
  <c r="JI12" i="47"/>
  <c r="JJ12" i="47"/>
  <c r="JK12" i="47"/>
  <c r="JL12" i="47"/>
  <c r="JM12" i="47"/>
  <c r="JN12" i="47"/>
  <c r="IT13" i="47"/>
  <c r="IU13" i="47"/>
  <c r="IV13" i="47"/>
  <c r="IW13" i="47"/>
  <c r="IX13" i="47"/>
  <c r="IY13" i="47"/>
  <c r="IZ13" i="47"/>
  <c r="JA13" i="47"/>
  <c r="JB13" i="47"/>
  <c r="JC13" i="47"/>
  <c r="JD13" i="47"/>
  <c r="JE13" i="47"/>
  <c r="JF13" i="47"/>
  <c r="JG13" i="47"/>
  <c r="JH13" i="47"/>
  <c r="JI13" i="47"/>
  <c r="JJ13" i="47"/>
  <c r="JK13" i="47"/>
  <c r="JL13" i="47"/>
  <c r="JM13" i="47"/>
  <c r="JN13" i="47"/>
  <c r="IT16" i="47"/>
  <c r="IU16" i="47"/>
  <c r="IV16" i="47"/>
  <c r="IW16" i="47"/>
  <c r="IX16" i="47"/>
  <c r="IY16" i="47"/>
  <c r="IZ16" i="47"/>
  <c r="JA16" i="47"/>
  <c r="JB16" i="47"/>
  <c r="JC16" i="47"/>
  <c r="JD16" i="47"/>
  <c r="JE16" i="47"/>
  <c r="JF16" i="47"/>
  <c r="JG16" i="47"/>
  <c r="JH16" i="47"/>
  <c r="JI16" i="47"/>
  <c r="JJ16" i="47"/>
  <c r="JK16" i="47"/>
  <c r="JL16" i="47"/>
  <c r="JM16" i="47"/>
  <c r="JN16" i="47"/>
  <c r="IT17" i="47"/>
  <c r="IU17" i="47"/>
  <c r="IV17" i="47"/>
  <c r="IW17" i="47"/>
  <c r="IX17" i="47"/>
  <c r="IY17" i="47"/>
  <c r="IZ17" i="47"/>
  <c r="JA17" i="47"/>
  <c r="JB17" i="47"/>
  <c r="JC17" i="47"/>
  <c r="JD17" i="47"/>
  <c r="JE17" i="47"/>
  <c r="JF17" i="47"/>
  <c r="JG17" i="47"/>
  <c r="JH17" i="47"/>
  <c r="JI17" i="47"/>
  <c r="JJ17" i="47"/>
  <c r="JK17" i="47"/>
  <c r="JL17" i="47"/>
  <c r="JM17" i="47"/>
  <c r="JN17" i="47"/>
  <c r="IT18" i="47"/>
  <c r="IU18" i="47"/>
  <c r="IV18" i="47"/>
  <c r="IW18" i="47"/>
  <c r="IX18" i="47"/>
  <c r="IY18" i="47"/>
  <c r="IZ18" i="47"/>
  <c r="JA18" i="47"/>
  <c r="JB18" i="47"/>
  <c r="JC18" i="47"/>
  <c r="JD18" i="47"/>
  <c r="JE18" i="47"/>
  <c r="JF18" i="47"/>
  <c r="JG18" i="47"/>
  <c r="JH18" i="47"/>
  <c r="JI18" i="47"/>
  <c r="JJ18" i="47"/>
  <c r="JK18" i="47"/>
  <c r="JL18" i="47"/>
  <c r="JM18" i="47"/>
  <c r="JN18" i="47"/>
  <c r="IT19" i="47"/>
  <c r="IU19" i="47"/>
  <c r="IV19" i="47"/>
  <c r="IW19" i="47"/>
  <c r="IX19" i="47"/>
  <c r="IY19" i="47"/>
  <c r="IZ19" i="47"/>
  <c r="JA19" i="47"/>
  <c r="JB19" i="47"/>
  <c r="JC19" i="47"/>
  <c r="JD19" i="47"/>
  <c r="JE19" i="47"/>
  <c r="JF19" i="47"/>
  <c r="JG19" i="47"/>
  <c r="JH19" i="47"/>
  <c r="JI19" i="47"/>
  <c r="JJ19" i="47"/>
  <c r="JK19" i="47"/>
  <c r="JL19" i="47"/>
  <c r="JM19" i="47"/>
  <c r="JN19" i="47"/>
  <c r="IT22" i="47"/>
  <c r="IU22" i="47"/>
  <c r="IV22" i="47"/>
  <c r="IW22" i="47"/>
  <c r="IX22" i="47"/>
  <c r="IY22" i="47"/>
  <c r="IZ22" i="47"/>
  <c r="JA22" i="47"/>
  <c r="JB22" i="47"/>
  <c r="JC22" i="47"/>
  <c r="JD22" i="47"/>
  <c r="JE22" i="47"/>
  <c r="JF22" i="47"/>
  <c r="JG22" i="47"/>
  <c r="JH22" i="47"/>
  <c r="JI22" i="47"/>
  <c r="JJ22" i="47"/>
  <c r="JK22" i="47"/>
  <c r="JL22" i="47"/>
  <c r="JM22" i="47"/>
  <c r="JN22" i="47"/>
  <c r="IT23" i="47"/>
  <c r="IU23" i="47"/>
  <c r="IV23" i="47"/>
  <c r="IW23" i="47"/>
  <c r="IX23" i="47"/>
  <c r="IY23" i="47"/>
  <c r="IZ23" i="47"/>
  <c r="JA23" i="47"/>
  <c r="JB23" i="47"/>
  <c r="JC23" i="47"/>
  <c r="JD23" i="47"/>
  <c r="JE23" i="47"/>
  <c r="JF23" i="47"/>
  <c r="JG23" i="47"/>
  <c r="JH23" i="47"/>
  <c r="JI23" i="47"/>
  <c r="JJ23" i="47"/>
  <c r="JK23" i="47"/>
  <c r="JL23" i="47"/>
  <c r="JM23" i="47"/>
  <c r="JN23" i="47"/>
  <c r="IT24" i="47"/>
  <c r="IU24" i="47"/>
  <c r="IV24" i="47"/>
  <c r="IW24" i="47"/>
  <c r="IX24" i="47"/>
  <c r="IY24" i="47"/>
  <c r="IZ24" i="47"/>
  <c r="JA24" i="47"/>
  <c r="JB24" i="47"/>
  <c r="JC24" i="47"/>
  <c r="JD24" i="47"/>
  <c r="JE24" i="47"/>
  <c r="JF24" i="47"/>
  <c r="JG24" i="47"/>
  <c r="JH24" i="47"/>
  <c r="JI24" i="47"/>
  <c r="JJ24" i="47"/>
  <c r="JK24" i="47"/>
  <c r="JL24" i="47"/>
  <c r="JM24" i="47"/>
  <c r="JN24" i="47"/>
  <c r="IT25" i="47"/>
  <c r="IU25" i="47"/>
  <c r="IV25" i="47"/>
  <c r="IW25" i="47"/>
  <c r="IX25" i="47"/>
  <c r="IY25" i="47"/>
  <c r="IZ25" i="47"/>
  <c r="JA25" i="47"/>
  <c r="JB25" i="47"/>
  <c r="JC25" i="47"/>
  <c r="JD25" i="47"/>
  <c r="JE25" i="47"/>
  <c r="JF25" i="47"/>
  <c r="JG25" i="47"/>
  <c r="JH25" i="47"/>
  <c r="JI25" i="47"/>
  <c r="JJ25" i="47"/>
  <c r="JK25" i="47"/>
  <c r="JL25" i="47"/>
  <c r="JM25" i="47"/>
  <c r="JN25" i="47"/>
  <c r="IT28" i="47"/>
  <c r="IU28" i="47"/>
  <c r="IV28" i="47"/>
  <c r="IW28" i="47"/>
  <c r="IX28" i="47"/>
  <c r="IY28" i="47"/>
  <c r="IZ28" i="47"/>
  <c r="JA28" i="47"/>
  <c r="JB28" i="47"/>
  <c r="JC28" i="47"/>
  <c r="JD28" i="47"/>
  <c r="JE28" i="47"/>
  <c r="JF28" i="47"/>
  <c r="JG28" i="47"/>
  <c r="JH28" i="47"/>
  <c r="JI28" i="47"/>
  <c r="JJ28" i="47"/>
  <c r="JK28" i="47"/>
  <c r="JL28" i="47"/>
  <c r="JM28" i="47"/>
  <c r="JN28" i="47"/>
  <c r="IT29" i="47"/>
  <c r="IU29" i="47"/>
  <c r="IV29" i="47"/>
  <c r="IW29" i="47"/>
  <c r="IX29" i="47"/>
  <c r="IY29" i="47"/>
  <c r="IZ29" i="47"/>
  <c r="JA29" i="47"/>
  <c r="JB29" i="47"/>
  <c r="JC29" i="47"/>
  <c r="JD29" i="47"/>
  <c r="JE29" i="47"/>
  <c r="JF29" i="47"/>
  <c r="JG29" i="47"/>
  <c r="JH29" i="47"/>
  <c r="JI29" i="47"/>
  <c r="JJ29" i="47"/>
  <c r="JK29" i="47"/>
  <c r="JL29" i="47"/>
  <c r="JM29" i="47"/>
  <c r="JN29" i="47"/>
  <c r="IT30" i="47"/>
  <c r="IU30" i="47"/>
  <c r="IV30" i="47"/>
  <c r="IW30" i="47"/>
  <c r="IX30" i="47"/>
  <c r="IY30" i="47"/>
  <c r="IZ30" i="47"/>
  <c r="JA30" i="47"/>
  <c r="JB30" i="47"/>
  <c r="JC30" i="47"/>
  <c r="JD30" i="47"/>
  <c r="JE30" i="47"/>
  <c r="JF30" i="47"/>
  <c r="JG30" i="47"/>
  <c r="JH30" i="47"/>
  <c r="JI30" i="47"/>
  <c r="JJ30" i="47"/>
  <c r="JK30" i="47"/>
  <c r="JL30" i="47"/>
  <c r="JM30" i="47"/>
  <c r="JN30" i="47"/>
  <c r="IT31" i="47"/>
  <c r="IU31" i="47"/>
  <c r="IV31" i="47"/>
  <c r="IW31" i="47"/>
  <c r="IX31" i="47"/>
  <c r="IY31" i="47"/>
  <c r="IZ31" i="47"/>
  <c r="JA31" i="47"/>
  <c r="JB31" i="47"/>
  <c r="JC31" i="47"/>
  <c r="JD31" i="47"/>
  <c r="JE31" i="47"/>
  <c r="JF31" i="47"/>
  <c r="JG31" i="47"/>
  <c r="JH31" i="47"/>
  <c r="JI31" i="47"/>
  <c r="JJ31" i="47"/>
  <c r="JK31" i="47"/>
  <c r="JL31" i="47"/>
  <c r="JM31" i="47"/>
  <c r="JN31" i="47"/>
  <c r="IT34" i="47"/>
  <c r="IU34" i="47"/>
  <c r="IV34" i="47"/>
  <c r="IW34" i="47"/>
  <c r="IX34" i="47"/>
  <c r="IY34" i="47"/>
  <c r="IZ34" i="47"/>
  <c r="JA34" i="47"/>
  <c r="JB34" i="47"/>
  <c r="JC34" i="47"/>
  <c r="JD34" i="47"/>
  <c r="JE34" i="47"/>
  <c r="JF34" i="47"/>
  <c r="JG34" i="47"/>
  <c r="JH34" i="47"/>
  <c r="JI34" i="47"/>
  <c r="JJ34" i="47"/>
  <c r="JK34" i="47"/>
  <c r="JL34" i="47"/>
  <c r="JM34" i="47"/>
  <c r="JN34" i="47"/>
  <c r="IT35" i="47"/>
  <c r="IU35" i="47"/>
  <c r="IV35" i="47"/>
  <c r="IW35" i="47"/>
  <c r="IX35" i="47"/>
  <c r="IY35" i="47"/>
  <c r="IZ35" i="47"/>
  <c r="JA35" i="47"/>
  <c r="JB35" i="47"/>
  <c r="JC35" i="47"/>
  <c r="JD35" i="47"/>
  <c r="JE35" i="47"/>
  <c r="JF35" i="47"/>
  <c r="JG35" i="47"/>
  <c r="JH35" i="47"/>
  <c r="JI35" i="47"/>
  <c r="JJ35" i="47"/>
  <c r="JK35" i="47"/>
  <c r="JL35" i="47"/>
  <c r="JM35" i="47"/>
  <c r="JN35" i="47"/>
  <c r="IT36" i="47"/>
  <c r="IU36" i="47"/>
  <c r="IV36" i="47"/>
  <c r="IW36" i="47"/>
  <c r="IX36" i="47"/>
  <c r="IY36" i="47"/>
  <c r="IZ36" i="47"/>
  <c r="JA36" i="47"/>
  <c r="JB36" i="47"/>
  <c r="JC36" i="47"/>
  <c r="JD36" i="47"/>
  <c r="JE36" i="47"/>
  <c r="JF36" i="47"/>
  <c r="JG36" i="47"/>
  <c r="JH36" i="47"/>
  <c r="JI36" i="47"/>
  <c r="JJ36" i="47"/>
  <c r="JK36" i="47"/>
  <c r="JL36" i="47"/>
  <c r="JM36" i="47"/>
  <c r="JN36" i="47"/>
  <c r="IT37" i="47"/>
  <c r="IU37" i="47"/>
  <c r="IV37" i="47"/>
  <c r="IW37" i="47"/>
  <c r="IX37" i="47"/>
  <c r="IY37" i="47"/>
  <c r="IZ37" i="47"/>
  <c r="JA37" i="47"/>
  <c r="JB37" i="47"/>
  <c r="JC37" i="47"/>
  <c r="JD37" i="47"/>
  <c r="JE37" i="47"/>
  <c r="JF37" i="47"/>
  <c r="JG37" i="47"/>
  <c r="JH37" i="47"/>
  <c r="JI37" i="47"/>
  <c r="JJ37" i="47"/>
  <c r="JK37" i="47"/>
  <c r="JL37" i="47"/>
  <c r="JM37" i="47"/>
  <c r="JN37" i="47"/>
  <c r="IT40" i="47"/>
  <c r="IU40" i="47"/>
  <c r="IV40" i="47"/>
  <c r="IW40" i="47"/>
  <c r="IX40" i="47"/>
  <c r="IY40" i="47"/>
  <c r="IZ40" i="47"/>
  <c r="JA40" i="47"/>
  <c r="JB40" i="47"/>
  <c r="JC40" i="47"/>
  <c r="JD40" i="47"/>
  <c r="JE40" i="47"/>
  <c r="JF40" i="47"/>
  <c r="JG40" i="47"/>
  <c r="JH40" i="47"/>
  <c r="JI40" i="47"/>
  <c r="JJ40" i="47"/>
  <c r="JK40" i="47"/>
  <c r="JL40" i="47"/>
  <c r="JM40" i="47"/>
  <c r="JN40" i="47"/>
  <c r="IT41" i="47"/>
  <c r="IU41" i="47"/>
  <c r="IV41" i="47"/>
  <c r="IW41" i="47"/>
  <c r="IX41" i="47"/>
  <c r="IY41" i="47"/>
  <c r="IZ41" i="47"/>
  <c r="JA41" i="47"/>
  <c r="JB41" i="47"/>
  <c r="JC41" i="47"/>
  <c r="JD41" i="47"/>
  <c r="JE41" i="47"/>
  <c r="JF41" i="47"/>
  <c r="JG41" i="47"/>
  <c r="JH41" i="47"/>
  <c r="JI41" i="47"/>
  <c r="JJ41" i="47"/>
  <c r="JK41" i="47"/>
  <c r="JL41" i="47"/>
  <c r="JM41" i="47"/>
  <c r="JN41" i="47"/>
  <c r="IT42" i="47"/>
  <c r="IU42" i="47"/>
  <c r="IV42" i="47"/>
  <c r="IW42" i="47"/>
  <c r="IX42" i="47"/>
  <c r="IY42" i="47"/>
  <c r="IZ42" i="47"/>
  <c r="JA42" i="47"/>
  <c r="JB42" i="47"/>
  <c r="JC42" i="47"/>
  <c r="JD42" i="47"/>
  <c r="JE42" i="47"/>
  <c r="JF42" i="47"/>
  <c r="JG42" i="47"/>
  <c r="JH42" i="47"/>
  <c r="JI42" i="47"/>
  <c r="JJ42" i="47"/>
  <c r="JK42" i="47"/>
  <c r="JL42" i="47"/>
  <c r="JM42" i="47"/>
  <c r="JN42" i="47"/>
  <c r="IT43" i="47"/>
  <c r="IU43" i="47"/>
  <c r="IV43" i="47"/>
  <c r="IW43" i="47"/>
  <c r="IX43" i="47"/>
  <c r="IY43" i="47"/>
  <c r="IZ43" i="47"/>
  <c r="JA43" i="47"/>
  <c r="JB43" i="47"/>
  <c r="JC43" i="47"/>
  <c r="JD43" i="47"/>
  <c r="JE43" i="47"/>
  <c r="JF43" i="47"/>
  <c r="JG43" i="47"/>
  <c r="JH43" i="47"/>
  <c r="JI43" i="47"/>
  <c r="JJ43" i="47"/>
  <c r="JK43" i="47"/>
  <c r="JL43" i="47"/>
  <c r="JM43" i="47"/>
  <c r="JN43" i="47"/>
  <c r="IT46" i="47"/>
  <c r="IU46" i="47"/>
  <c r="IV46" i="47"/>
  <c r="IW46" i="47"/>
  <c r="IX46" i="47"/>
  <c r="IY46" i="47"/>
  <c r="IZ46" i="47"/>
  <c r="JA46" i="47"/>
  <c r="JB46" i="47"/>
  <c r="JC46" i="47"/>
  <c r="JD46" i="47"/>
  <c r="JE46" i="47"/>
  <c r="JF46" i="47"/>
  <c r="JG46" i="47"/>
  <c r="JH46" i="47"/>
  <c r="JI46" i="47"/>
  <c r="JJ46" i="47"/>
  <c r="JK46" i="47"/>
  <c r="JL46" i="47"/>
  <c r="JM46" i="47"/>
  <c r="JN46" i="47"/>
  <c r="IT47" i="47"/>
  <c r="IU47" i="47"/>
  <c r="IV47" i="47"/>
  <c r="IW47" i="47"/>
  <c r="IX47" i="47"/>
  <c r="IY47" i="47"/>
  <c r="IZ47" i="47"/>
  <c r="JA47" i="47"/>
  <c r="JB47" i="47"/>
  <c r="JC47" i="47"/>
  <c r="JD47" i="47"/>
  <c r="JE47" i="47"/>
  <c r="JF47" i="47"/>
  <c r="JG47" i="47"/>
  <c r="JH47" i="47"/>
  <c r="JI47" i="47"/>
  <c r="JJ47" i="47"/>
  <c r="JK47" i="47"/>
  <c r="JL47" i="47"/>
  <c r="JM47" i="47"/>
  <c r="JN47" i="47"/>
  <c r="IT48" i="47"/>
  <c r="IU48" i="47"/>
  <c r="IV48" i="47"/>
  <c r="IW48" i="47"/>
  <c r="IX48" i="47"/>
  <c r="IY48" i="47"/>
  <c r="IZ48" i="47"/>
  <c r="JA48" i="47"/>
  <c r="JB48" i="47"/>
  <c r="JC48" i="47"/>
  <c r="JD48" i="47"/>
  <c r="JE48" i="47"/>
  <c r="JF48" i="47"/>
  <c r="JG48" i="47"/>
  <c r="JH48" i="47"/>
  <c r="JI48" i="47"/>
  <c r="JJ48" i="47"/>
  <c r="JK48" i="47"/>
  <c r="JL48" i="47"/>
  <c r="JM48" i="47"/>
  <c r="JN48" i="47"/>
  <c r="IT49" i="47"/>
  <c r="IU49" i="47"/>
  <c r="IV49" i="47"/>
  <c r="IW49" i="47"/>
  <c r="IX49" i="47"/>
  <c r="IY49" i="47"/>
  <c r="IZ49" i="47"/>
  <c r="JA49" i="47"/>
  <c r="JB49" i="47"/>
  <c r="JC49" i="47"/>
  <c r="JD49" i="47"/>
  <c r="JE49" i="47"/>
  <c r="JF49" i="47"/>
  <c r="JG49" i="47"/>
  <c r="JH49" i="47"/>
  <c r="JI49" i="47"/>
  <c r="JJ49" i="47"/>
  <c r="JK49" i="47"/>
  <c r="JL49" i="47"/>
  <c r="JM49" i="47"/>
  <c r="JN49" i="47"/>
  <c r="IT52" i="47"/>
  <c r="IU52" i="47"/>
  <c r="IV52" i="47"/>
  <c r="IW52" i="47"/>
  <c r="IX52" i="47"/>
  <c r="IY52" i="47"/>
  <c r="IZ52" i="47"/>
  <c r="JA52" i="47"/>
  <c r="JB52" i="47"/>
  <c r="JC52" i="47"/>
  <c r="JD52" i="47"/>
  <c r="JE52" i="47"/>
  <c r="JF52" i="47"/>
  <c r="JG52" i="47"/>
  <c r="JH52" i="47"/>
  <c r="JI52" i="47"/>
  <c r="JJ52" i="47"/>
  <c r="JK52" i="47"/>
  <c r="JL52" i="47"/>
  <c r="JM52" i="47"/>
  <c r="JN52" i="47"/>
  <c r="IT53" i="47"/>
  <c r="IU53" i="47"/>
  <c r="IV53" i="47"/>
  <c r="IW53" i="47"/>
  <c r="IX53" i="47"/>
  <c r="IY53" i="47"/>
  <c r="IZ53" i="47"/>
  <c r="JA53" i="47"/>
  <c r="JB53" i="47"/>
  <c r="JC53" i="47"/>
  <c r="JD53" i="47"/>
  <c r="JE53" i="47"/>
  <c r="JF53" i="47"/>
  <c r="JG53" i="47"/>
  <c r="JH53" i="47"/>
  <c r="JI53" i="47"/>
  <c r="JJ53" i="47"/>
  <c r="JK53" i="47"/>
  <c r="JL53" i="47"/>
  <c r="JM53" i="47"/>
  <c r="JN53" i="47"/>
  <c r="IT54" i="47"/>
  <c r="IU54" i="47"/>
  <c r="IV54" i="47"/>
  <c r="IW54" i="47"/>
  <c r="IX54" i="47"/>
  <c r="IY54" i="47"/>
  <c r="IZ54" i="47"/>
  <c r="JA54" i="47"/>
  <c r="JB54" i="47"/>
  <c r="JC54" i="47"/>
  <c r="JD54" i="47"/>
  <c r="JE54" i="47"/>
  <c r="JF54" i="47"/>
  <c r="JG54" i="47"/>
  <c r="JH54" i="47"/>
  <c r="JI54" i="47"/>
  <c r="JJ54" i="47"/>
  <c r="JK54" i="47"/>
  <c r="JL54" i="47"/>
  <c r="JM54" i="47"/>
  <c r="JN54" i="47"/>
  <c r="IT55" i="47"/>
  <c r="IU55" i="47"/>
  <c r="IV55" i="47"/>
  <c r="IW55" i="47"/>
  <c r="IX55" i="47"/>
  <c r="IY55" i="47"/>
  <c r="IZ55" i="47"/>
  <c r="JA55" i="47"/>
  <c r="JB55" i="47"/>
  <c r="JC55" i="47"/>
  <c r="JD55" i="47"/>
  <c r="JE55" i="47"/>
  <c r="JF55" i="47"/>
  <c r="JG55" i="47"/>
  <c r="JH55" i="47"/>
  <c r="JI55" i="47"/>
  <c r="JJ55" i="47"/>
  <c r="JK55" i="47"/>
  <c r="JL55" i="47"/>
  <c r="JM55" i="47"/>
  <c r="JN55" i="47"/>
  <c r="IT58" i="47"/>
  <c r="IU58" i="47"/>
  <c r="IV58" i="47"/>
  <c r="IW58" i="47"/>
  <c r="IX58" i="47"/>
  <c r="IY58" i="47"/>
  <c r="IZ58" i="47"/>
  <c r="JA58" i="47"/>
  <c r="JB58" i="47"/>
  <c r="JC58" i="47"/>
  <c r="JD58" i="47"/>
  <c r="JE58" i="47"/>
  <c r="JF58" i="47"/>
  <c r="JG58" i="47"/>
  <c r="JH58" i="47"/>
  <c r="JI58" i="47"/>
  <c r="JJ58" i="47"/>
  <c r="JK58" i="47"/>
  <c r="JL58" i="47"/>
  <c r="JM58" i="47"/>
  <c r="JN58" i="47"/>
  <c r="IT59" i="47"/>
  <c r="IU59" i="47"/>
  <c r="IV59" i="47"/>
  <c r="IW59" i="47"/>
  <c r="IX59" i="47"/>
  <c r="IY59" i="47"/>
  <c r="IZ59" i="47"/>
  <c r="JA59" i="47"/>
  <c r="JB59" i="47"/>
  <c r="JC59" i="47"/>
  <c r="JD59" i="47"/>
  <c r="JE59" i="47"/>
  <c r="JF59" i="47"/>
  <c r="JG59" i="47"/>
  <c r="JH59" i="47"/>
  <c r="JI59" i="47"/>
  <c r="JJ59" i="47"/>
  <c r="JK59" i="47"/>
  <c r="JL59" i="47"/>
  <c r="JM59" i="47"/>
  <c r="JN59" i="47"/>
  <c r="IT60" i="47"/>
  <c r="IU60" i="47"/>
  <c r="IV60" i="47"/>
  <c r="IW60" i="47"/>
  <c r="IX60" i="47"/>
  <c r="IY60" i="47"/>
  <c r="IZ60" i="47"/>
  <c r="JA60" i="47"/>
  <c r="JB60" i="47"/>
  <c r="JC60" i="47"/>
  <c r="JD60" i="47"/>
  <c r="JE60" i="47"/>
  <c r="JF60" i="47"/>
  <c r="JG60" i="47"/>
  <c r="JH60" i="47"/>
  <c r="JI60" i="47"/>
  <c r="JJ60" i="47"/>
  <c r="JK60" i="47"/>
  <c r="JL60" i="47"/>
  <c r="JM60" i="47"/>
  <c r="JN60" i="47"/>
  <c r="IT61" i="47"/>
  <c r="IU61" i="47"/>
  <c r="IV61" i="47"/>
  <c r="IW61" i="47"/>
  <c r="IX61" i="47"/>
  <c r="IY61" i="47"/>
  <c r="IZ61" i="47"/>
  <c r="JA61" i="47"/>
  <c r="JB61" i="47"/>
  <c r="JC61" i="47"/>
  <c r="JD61" i="47"/>
  <c r="JE61" i="47"/>
  <c r="JF61" i="47"/>
  <c r="JG61" i="47"/>
  <c r="JH61" i="47"/>
  <c r="JI61" i="47"/>
  <c r="JJ61" i="47"/>
  <c r="JK61" i="47"/>
  <c r="JL61" i="47"/>
  <c r="JM61" i="47"/>
  <c r="JN61" i="47"/>
  <c r="IT64" i="47"/>
  <c r="IU64" i="47"/>
  <c r="IV64" i="47"/>
  <c r="IW64" i="47"/>
  <c r="IX64" i="47"/>
  <c r="IY64" i="47"/>
  <c r="IZ64" i="47"/>
  <c r="JA64" i="47"/>
  <c r="JB64" i="47"/>
  <c r="JC64" i="47"/>
  <c r="JD64" i="47"/>
  <c r="JE64" i="47"/>
  <c r="JF64" i="47"/>
  <c r="JG64" i="47"/>
  <c r="JH64" i="47"/>
  <c r="JI64" i="47"/>
  <c r="JJ64" i="47"/>
  <c r="JK64" i="47"/>
  <c r="JL64" i="47"/>
  <c r="JM64" i="47"/>
  <c r="JN64" i="47"/>
  <c r="IT65" i="47"/>
  <c r="IU65" i="47"/>
  <c r="IV65" i="47"/>
  <c r="IW65" i="47"/>
  <c r="IX65" i="47"/>
  <c r="IY65" i="47"/>
  <c r="IZ65" i="47"/>
  <c r="JA65" i="47"/>
  <c r="JB65" i="47"/>
  <c r="JC65" i="47"/>
  <c r="JD65" i="47"/>
  <c r="JE65" i="47"/>
  <c r="JF65" i="47"/>
  <c r="JG65" i="47"/>
  <c r="JH65" i="47"/>
  <c r="JI65" i="47"/>
  <c r="JJ65" i="47"/>
  <c r="JK65" i="47"/>
  <c r="JL65" i="47"/>
  <c r="JM65" i="47"/>
  <c r="JN65" i="47"/>
  <c r="IT66" i="47"/>
  <c r="IU66" i="47"/>
  <c r="IV66" i="47"/>
  <c r="IW66" i="47"/>
  <c r="IX66" i="47"/>
  <c r="IY66" i="47"/>
  <c r="IZ66" i="47"/>
  <c r="JA66" i="47"/>
  <c r="JB66" i="47"/>
  <c r="JC66" i="47"/>
  <c r="JD66" i="47"/>
  <c r="JE66" i="47"/>
  <c r="JF66" i="47"/>
  <c r="JG66" i="47"/>
  <c r="JH66" i="47"/>
  <c r="JI66" i="47"/>
  <c r="JJ66" i="47"/>
  <c r="JK66" i="47"/>
  <c r="JL66" i="47"/>
  <c r="JM66" i="47"/>
  <c r="JN66" i="47"/>
  <c r="IT67" i="47"/>
  <c r="IU67" i="47"/>
  <c r="IV67" i="47"/>
  <c r="IW67" i="47"/>
  <c r="IX67" i="47"/>
  <c r="IY67" i="47"/>
  <c r="IZ67" i="47"/>
  <c r="JA67" i="47"/>
  <c r="JB67" i="47"/>
  <c r="JC67" i="47"/>
  <c r="JD67" i="47"/>
  <c r="JE67" i="47"/>
  <c r="JF67" i="47"/>
  <c r="JG67" i="47"/>
  <c r="JH67" i="47"/>
  <c r="JI67" i="47"/>
  <c r="JJ67" i="47"/>
  <c r="JK67" i="47"/>
  <c r="JL67" i="47"/>
  <c r="JM67" i="47"/>
  <c r="JN67" i="47"/>
  <c r="IT70" i="47"/>
  <c r="IU70" i="47"/>
  <c r="IV70" i="47"/>
  <c r="IW70" i="47"/>
  <c r="IX70" i="47"/>
  <c r="IY70" i="47"/>
  <c r="IZ70" i="47"/>
  <c r="JA70" i="47"/>
  <c r="JB70" i="47"/>
  <c r="JC70" i="47"/>
  <c r="JD70" i="47"/>
  <c r="JE70" i="47"/>
  <c r="JF70" i="47"/>
  <c r="JG70" i="47"/>
  <c r="JH70" i="47"/>
  <c r="JI70" i="47"/>
  <c r="JJ70" i="47"/>
  <c r="JK70" i="47"/>
  <c r="JL70" i="47"/>
  <c r="JM70" i="47"/>
  <c r="JN70" i="47"/>
  <c r="IT71" i="47"/>
  <c r="IU71" i="47"/>
  <c r="IV71" i="47"/>
  <c r="IW71" i="47"/>
  <c r="IX71" i="47"/>
  <c r="IY71" i="47"/>
  <c r="IZ71" i="47"/>
  <c r="JA71" i="47"/>
  <c r="JB71" i="47"/>
  <c r="JC71" i="47"/>
  <c r="JD71" i="47"/>
  <c r="JE71" i="47"/>
  <c r="JF71" i="47"/>
  <c r="JG71" i="47"/>
  <c r="JH71" i="47"/>
  <c r="JI71" i="47"/>
  <c r="JJ71" i="47"/>
  <c r="JK71" i="47"/>
  <c r="JL71" i="47"/>
  <c r="JM71" i="47"/>
  <c r="JN71" i="47"/>
  <c r="IT72" i="47"/>
  <c r="IU72" i="47"/>
  <c r="IV72" i="47"/>
  <c r="IW72" i="47"/>
  <c r="IX72" i="47"/>
  <c r="IY72" i="47"/>
  <c r="IZ72" i="47"/>
  <c r="JA72" i="47"/>
  <c r="JB72" i="47"/>
  <c r="JC72" i="47"/>
  <c r="JD72" i="47"/>
  <c r="JE72" i="47"/>
  <c r="JF72" i="47"/>
  <c r="JG72" i="47"/>
  <c r="JH72" i="47"/>
  <c r="JI72" i="47"/>
  <c r="JJ72" i="47"/>
  <c r="JK72" i="47"/>
  <c r="JL72" i="47"/>
  <c r="JM72" i="47"/>
  <c r="JN72" i="47"/>
  <c r="IT73" i="47"/>
  <c r="IU73" i="47"/>
  <c r="IV73" i="47"/>
  <c r="IW73" i="47"/>
  <c r="IX73" i="47"/>
  <c r="IY73" i="47"/>
  <c r="IZ73" i="47"/>
  <c r="JA73" i="47"/>
  <c r="JB73" i="47"/>
  <c r="JC73" i="47"/>
  <c r="JD73" i="47"/>
  <c r="JE73" i="47"/>
  <c r="JF73" i="47"/>
  <c r="JG73" i="47"/>
  <c r="JH73" i="47"/>
  <c r="JI73" i="47"/>
  <c r="JJ73" i="47"/>
  <c r="JK73" i="47"/>
  <c r="JL73" i="47"/>
  <c r="JM73" i="47"/>
  <c r="JN73" i="47"/>
  <c r="IT76" i="47"/>
  <c r="IU76" i="47"/>
  <c r="IV76" i="47"/>
  <c r="IW76" i="47"/>
  <c r="IX76" i="47"/>
  <c r="IY76" i="47"/>
  <c r="IZ76" i="47"/>
  <c r="JA76" i="47"/>
  <c r="JB76" i="47"/>
  <c r="JC76" i="47"/>
  <c r="JD76" i="47"/>
  <c r="JE76" i="47"/>
  <c r="JF76" i="47"/>
  <c r="JG76" i="47"/>
  <c r="JH76" i="47"/>
  <c r="JI76" i="47"/>
  <c r="JJ76" i="47"/>
  <c r="JK76" i="47"/>
  <c r="JL76" i="47"/>
  <c r="JM76" i="47"/>
  <c r="JN76" i="47"/>
  <c r="IT77" i="47"/>
  <c r="IU77" i="47"/>
  <c r="IV77" i="47"/>
  <c r="IW77" i="47"/>
  <c r="IX77" i="47"/>
  <c r="IY77" i="47"/>
  <c r="IZ77" i="47"/>
  <c r="JA77" i="47"/>
  <c r="JB77" i="47"/>
  <c r="JC77" i="47"/>
  <c r="JD77" i="47"/>
  <c r="JE77" i="47"/>
  <c r="JF77" i="47"/>
  <c r="JG77" i="47"/>
  <c r="JH77" i="47"/>
  <c r="JI77" i="47"/>
  <c r="JJ77" i="47"/>
  <c r="JK77" i="47"/>
  <c r="JL77" i="47"/>
  <c r="JM77" i="47"/>
  <c r="JN77" i="47"/>
  <c r="IT78" i="47"/>
  <c r="IU78" i="47"/>
  <c r="IV78" i="47"/>
  <c r="IW78" i="47"/>
  <c r="IX78" i="47"/>
  <c r="IY78" i="47"/>
  <c r="IZ78" i="47"/>
  <c r="JA78" i="47"/>
  <c r="JB78" i="47"/>
  <c r="JC78" i="47"/>
  <c r="JD78" i="47"/>
  <c r="JE78" i="47"/>
  <c r="JF78" i="47"/>
  <c r="JG78" i="47"/>
  <c r="JH78" i="47"/>
  <c r="JI78" i="47"/>
  <c r="JJ78" i="47"/>
  <c r="JK78" i="47"/>
  <c r="JL78" i="47"/>
  <c r="JM78" i="47"/>
  <c r="JN78" i="47"/>
  <c r="IT79" i="47"/>
  <c r="IU79" i="47"/>
  <c r="IV79" i="47"/>
  <c r="IW79" i="47"/>
  <c r="IX79" i="47"/>
  <c r="IY79" i="47"/>
  <c r="IZ79" i="47"/>
  <c r="JA79" i="47"/>
  <c r="JB79" i="47"/>
  <c r="JC79" i="47"/>
  <c r="JD79" i="47"/>
  <c r="JE79" i="47"/>
  <c r="JF79" i="47"/>
  <c r="JG79" i="47"/>
  <c r="JH79" i="47"/>
  <c r="JI79" i="47"/>
  <c r="JJ79" i="47"/>
  <c r="JK79" i="47"/>
  <c r="JL79" i="47"/>
  <c r="JM79" i="47"/>
  <c r="JN79" i="47"/>
  <c r="IT82" i="47"/>
  <c r="IU82" i="47"/>
  <c r="IV82" i="47"/>
  <c r="IW82" i="47"/>
  <c r="IX82" i="47"/>
  <c r="IY82" i="47"/>
  <c r="IZ82" i="47"/>
  <c r="JA82" i="47"/>
  <c r="JB82" i="47"/>
  <c r="JC82" i="47"/>
  <c r="JD82" i="47"/>
  <c r="JE82" i="47"/>
  <c r="JF82" i="47"/>
  <c r="JG82" i="47"/>
  <c r="JH82" i="47"/>
  <c r="JI82" i="47"/>
  <c r="JJ82" i="47"/>
  <c r="JK82" i="47"/>
  <c r="JL82" i="47"/>
  <c r="JM82" i="47"/>
  <c r="JN82" i="47"/>
  <c r="IT83" i="47"/>
  <c r="IU83" i="47"/>
  <c r="IV83" i="47"/>
  <c r="IW83" i="47"/>
  <c r="IX83" i="47"/>
  <c r="IY83" i="47"/>
  <c r="IZ83" i="47"/>
  <c r="JA83" i="47"/>
  <c r="JB83" i="47"/>
  <c r="JC83" i="47"/>
  <c r="JD83" i="47"/>
  <c r="JE83" i="47"/>
  <c r="JF83" i="47"/>
  <c r="JG83" i="47"/>
  <c r="JH83" i="47"/>
  <c r="JI83" i="47"/>
  <c r="JJ83" i="47"/>
  <c r="JK83" i="47"/>
  <c r="JL83" i="47"/>
  <c r="JM83" i="47"/>
  <c r="JN83" i="47"/>
  <c r="IT84" i="47"/>
  <c r="IU84" i="47"/>
  <c r="IV84" i="47"/>
  <c r="IW84" i="47"/>
  <c r="IX84" i="47"/>
  <c r="IY84" i="47"/>
  <c r="IZ84" i="47"/>
  <c r="JA84" i="47"/>
  <c r="JB84" i="47"/>
  <c r="JC84" i="47"/>
  <c r="JD84" i="47"/>
  <c r="JE84" i="47"/>
  <c r="JF84" i="47"/>
  <c r="JG84" i="47"/>
  <c r="JH84" i="47"/>
  <c r="JI84" i="47"/>
  <c r="JJ84" i="47"/>
  <c r="JK84" i="47"/>
  <c r="JL84" i="47"/>
  <c r="JM84" i="47"/>
  <c r="JN84" i="47"/>
  <c r="IT85" i="47"/>
  <c r="IU85" i="47"/>
  <c r="IV85" i="47"/>
  <c r="IW85" i="47"/>
  <c r="IX85" i="47"/>
  <c r="IY85" i="47"/>
  <c r="IZ85" i="47"/>
  <c r="JA85" i="47"/>
  <c r="JB85" i="47"/>
  <c r="JC85" i="47"/>
  <c r="JD85" i="47"/>
  <c r="JE85" i="47"/>
  <c r="JF85" i="47"/>
  <c r="JG85" i="47"/>
  <c r="JH85" i="47"/>
  <c r="JI85" i="47"/>
  <c r="JJ85" i="47"/>
  <c r="JK85" i="47"/>
  <c r="JL85" i="47"/>
  <c r="JM85" i="47"/>
  <c r="JN85" i="47"/>
  <c r="IT88" i="47"/>
  <c r="IU88" i="47"/>
  <c r="IV88" i="47"/>
  <c r="IW88" i="47"/>
  <c r="IX88" i="47"/>
  <c r="IY88" i="47"/>
  <c r="IZ88" i="47"/>
  <c r="JA88" i="47"/>
  <c r="JB88" i="47"/>
  <c r="JC88" i="47"/>
  <c r="JD88" i="47"/>
  <c r="JE88" i="47"/>
  <c r="JF88" i="47"/>
  <c r="JG88" i="47"/>
  <c r="JH88" i="47"/>
  <c r="JI88" i="47"/>
  <c r="JJ88" i="47"/>
  <c r="JK88" i="47"/>
  <c r="JL88" i="47"/>
  <c r="JM88" i="47"/>
  <c r="JN88" i="47"/>
  <c r="IT89" i="47"/>
  <c r="IU89" i="47"/>
  <c r="IV89" i="47"/>
  <c r="IW89" i="47"/>
  <c r="IX89" i="47"/>
  <c r="IY89" i="47"/>
  <c r="IZ89" i="47"/>
  <c r="JA89" i="47"/>
  <c r="JB89" i="47"/>
  <c r="JC89" i="47"/>
  <c r="JD89" i="47"/>
  <c r="JE89" i="47"/>
  <c r="JF89" i="47"/>
  <c r="JG89" i="47"/>
  <c r="JH89" i="47"/>
  <c r="JI89" i="47"/>
  <c r="JJ89" i="47"/>
  <c r="JK89" i="47"/>
  <c r="JL89" i="47"/>
  <c r="JM89" i="47"/>
  <c r="JN89" i="47"/>
  <c r="IT90" i="47"/>
  <c r="IU90" i="47"/>
  <c r="IV90" i="47"/>
  <c r="IW90" i="47"/>
  <c r="IX90" i="47"/>
  <c r="IY90" i="47"/>
  <c r="IZ90" i="47"/>
  <c r="JA90" i="47"/>
  <c r="JB90" i="47"/>
  <c r="JC90" i="47"/>
  <c r="JD90" i="47"/>
  <c r="JE90" i="47"/>
  <c r="JF90" i="47"/>
  <c r="JG90" i="47"/>
  <c r="JH90" i="47"/>
  <c r="JI90" i="47"/>
  <c r="JJ90" i="47"/>
  <c r="JK90" i="47"/>
  <c r="JL90" i="47"/>
  <c r="JM90" i="47"/>
  <c r="JN90" i="47"/>
  <c r="IT91" i="47"/>
  <c r="IU91" i="47"/>
  <c r="IV91" i="47"/>
  <c r="IW91" i="47"/>
  <c r="IX91" i="47"/>
  <c r="IY91" i="47"/>
  <c r="IZ91" i="47"/>
  <c r="JA91" i="47"/>
  <c r="JB91" i="47"/>
  <c r="JC91" i="47"/>
  <c r="JD91" i="47"/>
  <c r="JE91" i="47"/>
  <c r="JF91" i="47"/>
  <c r="JG91" i="47"/>
  <c r="JH91" i="47"/>
  <c r="JI91" i="47"/>
  <c r="JJ91" i="47"/>
  <c r="JK91" i="47"/>
  <c r="JL91" i="47"/>
  <c r="JM91" i="47"/>
  <c r="JN91" i="47"/>
  <c r="IT94" i="47"/>
  <c r="IU94" i="47"/>
  <c r="IV94" i="47"/>
  <c r="IW94" i="47"/>
  <c r="IX94" i="47"/>
  <c r="IY94" i="47"/>
  <c r="IZ94" i="47"/>
  <c r="JA94" i="47"/>
  <c r="JB94" i="47"/>
  <c r="JC94" i="47"/>
  <c r="JD94" i="47"/>
  <c r="JE94" i="47"/>
  <c r="JF94" i="47"/>
  <c r="JG94" i="47"/>
  <c r="JH94" i="47"/>
  <c r="JI94" i="47"/>
  <c r="JJ94" i="47"/>
  <c r="JK94" i="47"/>
  <c r="JL94" i="47"/>
  <c r="JM94" i="47"/>
  <c r="JN94" i="47"/>
  <c r="IT95" i="47"/>
  <c r="IU95" i="47"/>
  <c r="IV95" i="47"/>
  <c r="IW95" i="47"/>
  <c r="IX95" i="47"/>
  <c r="IY95" i="47"/>
  <c r="IZ95" i="47"/>
  <c r="JA95" i="47"/>
  <c r="JB95" i="47"/>
  <c r="JC95" i="47"/>
  <c r="JD95" i="47"/>
  <c r="JE95" i="47"/>
  <c r="JF95" i="47"/>
  <c r="JG95" i="47"/>
  <c r="JH95" i="47"/>
  <c r="JI95" i="47"/>
  <c r="JJ95" i="47"/>
  <c r="JK95" i="47"/>
  <c r="JL95" i="47"/>
  <c r="JM95" i="47"/>
  <c r="JN95" i="47"/>
  <c r="IT96" i="47"/>
  <c r="IU96" i="47"/>
  <c r="IV96" i="47"/>
  <c r="IW96" i="47"/>
  <c r="IX96" i="47"/>
  <c r="IY96" i="47"/>
  <c r="IZ96" i="47"/>
  <c r="JA96" i="47"/>
  <c r="JB96" i="47"/>
  <c r="JC96" i="47"/>
  <c r="JD96" i="47"/>
  <c r="JE96" i="47"/>
  <c r="JF96" i="47"/>
  <c r="JG96" i="47"/>
  <c r="JH96" i="47"/>
  <c r="JI96" i="47"/>
  <c r="JJ96" i="47"/>
  <c r="JK96" i="47"/>
  <c r="JL96" i="47"/>
  <c r="JM96" i="47"/>
  <c r="JN96" i="47"/>
  <c r="IT97" i="47"/>
  <c r="IU97" i="47"/>
  <c r="IV97" i="47"/>
  <c r="IW97" i="47"/>
  <c r="IX97" i="47"/>
  <c r="IY97" i="47"/>
  <c r="IZ97" i="47"/>
  <c r="JA97" i="47"/>
  <c r="JB97" i="47"/>
  <c r="JC97" i="47"/>
  <c r="JD97" i="47"/>
  <c r="JE97" i="47"/>
  <c r="JF97" i="47"/>
  <c r="JG97" i="47"/>
  <c r="JH97" i="47"/>
  <c r="JI97" i="47"/>
  <c r="JJ97" i="47"/>
  <c r="JK97" i="47"/>
  <c r="JL97" i="47"/>
  <c r="JM97" i="47"/>
  <c r="JN97" i="47"/>
  <c r="IT100" i="47"/>
  <c r="IU100" i="47"/>
  <c r="IV100" i="47"/>
  <c r="IW100" i="47"/>
  <c r="IX100" i="47"/>
  <c r="IY100" i="47"/>
  <c r="IZ100" i="47"/>
  <c r="JA100" i="47"/>
  <c r="JB100" i="47"/>
  <c r="JC100" i="47"/>
  <c r="JD100" i="47"/>
  <c r="JE100" i="47"/>
  <c r="JF100" i="47"/>
  <c r="JG100" i="47"/>
  <c r="JH100" i="47"/>
  <c r="JI100" i="47"/>
  <c r="JJ100" i="47"/>
  <c r="JK100" i="47"/>
  <c r="JL100" i="47"/>
  <c r="JM100" i="47"/>
  <c r="JN100" i="47"/>
  <c r="IT101" i="47"/>
  <c r="IU101" i="47"/>
  <c r="IV101" i="47"/>
  <c r="IW101" i="47"/>
  <c r="IX101" i="47"/>
  <c r="IY101" i="47"/>
  <c r="IZ101" i="47"/>
  <c r="JA101" i="47"/>
  <c r="JB101" i="47"/>
  <c r="JC101" i="47"/>
  <c r="JD101" i="47"/>
  <c r="JE101" i="47"/>
  <c r="JF101" i="47"/>
  <c r="JG101" i="47"/>
  <c r="JH101" i="47"/>
  <c r="JI101" i="47"/>
  <c r="JJ101" i="47"/>
  <c r="JK101" i="47"/>
  <c r="JL101" i="47"/>
  <c r="JM101" i="47"/>
  <c r="JN101" i="47"/>
  <c r="IT102" i="47"/>
  <c r="IU102" i="47"/>
  <c r="IV102" i="47"/>
  <c r="IW102" i="47"/>
  <c r="IX102" i="47"/>
  <c r="IY102" i="47"/>
  <c r="IZ102" i="47"/>
  <c r="JA102" i="47"/>
  <c r="JB102" i="47"/>
  <c r="JC102" i="47"/>
  <c r="JD102" i="47"/>
  <c r="JE102" i="47"/>
  <c r="JF102" i="47"/>
  <c r="JG102" i="47"/>
  <c r="JH102" i="47"/>
  <c r="JI102" i="47"/>
  <c r="JJ102" i="47"/>
  <c r="JK102" i="47"/>
  <c r="JL102" i="47"/>
  <c r="JM102" i="47"/>
  <c r="JN102" i="47"/>
  <c r="IT103" i="47"/>
  <c r="IU103" i="47"/>
  <c r="IV103" i="47"/>
  <c r="IW103" i="47"/>
  <c r="IX103" i="47"/>
  <c r="IY103" i="47"/>
  <c r="IZ103" i="47"/>
  <c r="JA103" i="47"/>
  <c r="JB103" i="47"/>
  <c r="JC103" i="47"/>
  <c r="JD103" i="47"/>
  <c r="JE103" i="47"/>
  <c r="JF103" i="47"/>
  <c r="JG103" i="47"/>
  <c r="JH103" i="47"/>
  <c r="JI103" i="47"/>
  <c r="JJ103" i="47"/>
  <c r="JK103" i="47"/>
  <c r="JL103" i="47"/>
  <c r="JM103" i="47"/>
  <c r="JN103" i="47"/>
  <c r="IT106" i="47"/>
  <c r="IU106" i="47"/>
  <c r="IV106" i="47"/>
  <c r="IW106" i="47"/>
  <c r="IX106" i="47"/>
  <c r="IY106" i="47"/>
  <c r="IZ106" i="47"/>
  <c r="JA106" i="47"/>
  <c r="JB106" i="47"/>
  <c r="JC106" i="47"/>
  <c r="JD106" i="47"/>
  <c r="JE106" i="47"/>
  <c r="JF106" i="47"/>
  <c r="JG106" i="47"/>
  <c r="JH106" i="47"/>
  <c r="JI106" i="47"/>
  <c r="JJ106" i="47"/>
  <c r="JK106" i="47"/>
  <c r="JL106" i="47"/>
  <c r="JM106" i="47"/>
  <c r="JN106" i="47"/>
  <c r="IT107" i="47"/>
  <c r="IU107" i="47"/>
  <c r="IV107" i="47"/>
  <c r="IW107" i="47"/>
  <c r="IX107" i="47"/>
  <c r="IY107" i="47"/>
  <c r="IZ107" i="47"/>
  <c r="JA107" i="47"/>
  <c r="JB107" i="47"/>
  <c r="JC107" i="47"/>
  <c r="JD107" i="47"/>
  <c r="JE107" i="47"/>
  <c r="JF107" i="47"/>
  <c r="JG107" i="47"/>
  <c r="JH107" i="47"/>
  <c r="JI107" i="47"/>
  <c r="JJ107" i="47"/>
  <c r="JK107" i="47"/>
  <c r="JL107" i="47"/>
  <c r="JM107" i="47"/>
  <c r="JN107" i="47"/>
  <c r="IT108" i="47"/>
  <c r="IU108" i="47"/>
  <c r="IV108" i="47"/>
  <c r="IW108" i="47"/>
  <c r="IX108" i="47"/>
  <c r="IY108" i="47"/>
  <c r="IZ108" i="47"/>
  <c r="JA108" i="47"/>
  <c r="JB108" i="47"/>
  <c r="JC108" i="47"/>
  <c r="JD108" i="47"/>
  <c r="JE108" i="47"/>
  <c r="JF108" i="47"/>
  <c r="JG108" i="47"/>
  <c r="JH108" i="47"/>
  <c r="JI108" i="47"/>
  <c r="JJ108" i="47"/>
  <c r="JK108" i="47"/>
  <c r="JL108" i="47"/>
  <c r="JM108" i="47"/>
  <c r="JN108" i="47"/>
  <c r="IT109" i="47"/>
  <c r="IU109" i="47"/>
  <c r="IV109" i="47"/>
  <c r="IW109" i="47"/>
  <c r="IX109" i="47"/>
  <c r="IY109" i="47"/>
  <c r="IZ109" i="47"/>
  <c r="JA109" i="47"/>
  <c r="JB109" i="47"/>
  <c r="JC109" i="47"/>
  <c r="JD109" i="47"/>
  <c r="JE109" i="47"/>
  <c r="JF109" i="47"/>
  <c r="JG109" i="47"/>
  <c r="JH109" i="47"/>
  <c r="JI109" i="47"/>
  <c r="JJ109" i="47"/>
  <c r="JK109" i="47"/>
  <c r="JL109" i="47"/>
  <c r="JM109" i="47"/>
  <c r="JN109" i="47"/>
  <c r="JB7" i="47"/>
  <c r="IT5" i="47"/>
  <c r="IU5" i="47"/>
  <c r="IV5" i="47"/>
  <c r="IW5" i="47"/>
  <c r="IX5" i="47"/>
  <c r="IY5" i="47"/>
  <c r="IZ5" i="47"/>
  <c r="JA5" i="47"/>
  <c r="JB5" i="47"/>
  <c r="JC5" i="47"/>
  <c r="JD5" i="47"/>
  <c r="JE5" i="47"/>
  <c r="JF5" i="47"/>
  <c r="JG5" i="47"/>
  <c r="JH5" i="47"/>
  <c r="JI5" i="47"/>
  <c r="JJ5" i="47"/>
  <c r="JK5" i="47"/>
  <c r="JL5" i="47"/>
  <c r="JM5" i="47"/>
  <c r="JN5" i="47"/>
  <c r="IT6" i="47"/>
  <c r="IU6" i="47"/>
  <c r="IV6" i="47"/>
  <c r="IW6" i="47"/>
  <c r="IX6" i="47"/>
  <c r="IY6" i="47"/>
  <c r="IZ6" i="47"/>
  <c r="JA6" i="47"/>
  <c r="JB6" i="47"/>
  <c r="JC6" i="47"/>
  <c r="JD6" i="47"/>
  <c r="JE6" i="47"/>
  <c r="JF6" i="47"/>
  <c r="JG6" i="47"/>
  <c r="JH6" i="47"/>
  <c r="JI6" i="47"/>
  <c r="JJ6" i="47"/>
  <c r="JK6" i="47"/>
  <c r="JL6" i="47"/>
  <c r="JM6" i="47"/>
  <c r="JN6" i="47"/>
  <c r="IT7" i="47"/>
  <c r="IU7" i="47"/>
  <c r="IV7" i="47"/>
  <c r="IW7" i="47"/>
  <c r="IX7" i="47"/>
  <c r="IY7" i="47"/>
  <c r="IZ7" i="47"/>
  <c r="JA7" i="47"/>
  <c r="JC7" i="47"/>
  <c r="JD7" i="47"/>
  <c r="JE7" i="47"/>
  <c r="JF7" i="47"/>
  <c r="JG7" i="47"/>
  <c r="JH7" i="47"/>
  <c r="JI7" i="47"/>
  <c r="JJ7" i="47"/>
  <c r="JK7" i="47"/>
  <c r="JL7" i="47"/>
  <c r="JM7" i="47"/>
  <c r="JN7" i="47"/>
  <c r="JB4" i="47"/>
  <c r="JC4" i="47"/>
  <c r="JD4" i="47"/>
  <c r="JE4" i="47"/>
  <c r="JF4" i="47"/>
  <c r="JG4" i="47"/>
  <c r="JH4" i="47"/>
  <c r="JI4" i="47"/>
  <c r="JJ4" i="47"/>
  <c r="JK4" i="47"/>
  <c r="JL4" i="47"/>
  <c r="JM4" i="47"/>
  <c r="JN4" i="47"/>
  <c r="IU4" i="47"/>
  <c r="IV4" i="47"/>
  <c r="IW4" i="47"/>
  <c r="IX4" i="47"/>
  <c r="IY4" i="47"/>
  <c r="IZ4" i="47"/>
  <c r="JA4" i="47"/>
  <c r="IT4" i="47"/>
  <c r="AD124" i="47"/>
  <c r="AE124" i="47"/>
  <c r="AF124" i="47"/>
  <c r="AD125" i="47"/>
  <c r="AE125" i="47"/>
  <c r="AF125" i="47"/>
  <c r="AD126" i="47"/>
  <c r="AE126" i="47"/>
  <c r="AF126" i="47"/>
  <c r="AD127" i="47"/>
  <c r="AE127" i="47"/>
  <c r="AF127" i="47"/>
  <c r="AD128" i="47"/>
  <c r="AE128" i="47"/>
  <c r="AF128" i="47"/>
  <c r="AD129" i="47"/>
  <c r="AE129" i="47"/>
  <c r="AF129" i="47"/>
  <c r="AD130" i="47"/>
  <c r="AE130" i="47"/>
  <c r="AF130" i="47"/>
  <c r="AD131" i="47"/>
  <c r="AE131" i="47"/>
  <c r="AF131" i="47"/>
  <c r="AD132" i="47"/>
  <c r="AE132" i="47"/>
  <c r="AF132" i="47"/>
  <c r="AD133" i="47"/>
  <c r="AE133" i="47"/>
  <c r="AF133" i="47"/>
  <c r="AD134" i="47"/>
  <c r="AE134" i="47"/>
  <c r="AF134" i="47"/>
  <c r="AD135" i="47"/>
  <c r="AE135" i="47"/>
  <c r="AF135" i="47"/>
  <c r="AD136" i="47"/>
  <c r="AE136" i="47"/>
  <c r="AF136" i="47"/>
  <c r="AD137" i="47"/>
  <c r="AE137" i="47"/>
  <c r="AF137" i="47"/>
  <c r="AD138" i="47"/>
  <c r="AE138" i="47"/>
  <c r="AF138" i="47"/>
  <c r="AJ128" i="47" l="1"/>
  <c r="AH123" i="47"/>
  <c r="AJ129" i="47"/>
  <c r="AH126" i="47"/>
  <c r="AI123" i="47"/>
  <c r="AH137" i="47"/>
  <c r="AJ123" i="47"/>
  <c r="AI129" i="47"/>
  <c r="AJ134" i="47"/>
  <c r="AH136" i="47"/>
  <c r="AI134" i="47"/>
  <c r="AI128" i="47"/>
  <c r="AH135" i="47"/>
  <c r="AH124" i="47"/>
  <c r="AJ133" i="47"/>
  <c r="AJ127" i="47"/>
  <c r="AH134" i="47"/>
  <c r="AH125" i="47"/>
  <c r="AI133" i="47"/>
  <c r="AI127" i="47"/>
  <c r="AH133" i="47"/>
  <c r="AJ138" i="47"/>
  <c r="AJ132" i="47"/>
  <c r="AJ126" i="47"/>
  <c r="AH132" i="47"/>
  <c r="AI138" i="47"/>
  <c r="AI132" i="47"/>
  <c r="AI126" i="47"/>
  <c r="AH131" i="47"/>
  <c r="AJ137" i="47"/>
  <c r="AJ131" i="47"/>
  <c r="AJ125" i="47"/>
  <c r="AH130" i="47"/>
  <c r="AI137" i="47"/>
  <c r="AI131" i="47"/>
  <c r="AI125" i="47"/>
  <c r="AH129" i="47"/>
  <c r="AJ136" i="47"/>
  <c r="AJ130" i="47"/>
  <c r="AJ124" i="47"/>
  <c r="AH128" i="47"/>
  <c r="AI136" i="47"/>
  <c r="AI130" i="47"/>
  <c r="AI124" i="47"/>
  <c r="AH127" i="47"/>
  <c r="AJ135" i="47"/>
  <c r="AH138" i="47"/>
  <c r="AI135" i="47"/>
  <c r="GX62" i="47"/>
  <c r="HB64" i="47" l="1"/>
  <c r="GY65" i="47"/>
  <c r="HB65" i="47" s="1"/>
  <c r="HC64" i="47"/>
  <c r="GZ64" i="47"/>
  <c r="HC63" i="47"/>
  <c r="HB63" i="47"/>
  <c r="GZ63" i="47"/>
  <c r="AT18" i="46"/>
  <c r="HC65" i="47" l="1"/>
  <c r="GZ66" i="47"/>
  <c r="HB66" i="47"/>
  <c r="N145" i="47" l="1"/>
  <c r="N118" i="47"/>
  <c r="AB124" i="47" l="1"/>
  <c r="AB125" i="47"/>
  <c r="AB126" i="47"/>
  <c r="AB127" i="47"/>
  <c r="AB128" i="47"/>
  <c r="AB129" i="47"/>
  <c r="AB130" i="47"/>
  <c r="AB131" i="47"/>
  <c r="AB132" i="47"/>
  <c r="AB133" i="47"/>
  <c r="AB134" i="47"/>
  <c r="AB135" i="47"/>
  <c r="AB136" i="47"/>
  <c r="AB137" i="47"/>
  <c r="AB138" i="47"/>
  <c r="W122" i="47"/>
  <c r="E137" i="47"/>
  <c r="R150" i="47"/>
  <c r="P150" i="47"/>
  <c r="S150" i="47" s="1"/>
  <c r="N150" i="47"/>
  <c r="M150" i="47"/>
  <c r="P122" i="47"/>
  <c r="S122" i="47" s="1"/>
  <c r="M122" i="47"/>
  <c r="AA123" i="47" l="1"/>
  <c r="AB123" i="47" s="1"/>
  <c r="Z123" i="47"/>
  <c r="Z131" i="47"/>
  <c r="Z130" i="47"/>
  <c r="Z129" i="47"/>
  <c r="Z128" i="47"/>
  <c r="Z127" i="47"/>
  <c r="Z126" i="47"/>
  <c r="Z125" i="47"/>
  <c r="Z138" i="47"/>
  <c r="Z137" i="47"/>
  <c r="Z124" i="47"/>
  <c r="Z136" i="47"/>
  <c r="Z133" i="47"/>
  <c r="Z135" i="47"/>
  <c r="Z134" i="47"/>
  <c r="Z132" i="47"/>
  <c r="AA128" i="47"/>
  <c r="AA136" i="47"/>
  <c r="AA124" i="47"/>
  <c r="AA137" i="47"/>
  <c r="AA126" i="47"/>
  <c r="AA127" i="47"/>
  <c r="AA129" i="47"/>
  <c r="AA130" i="47"/>
  <c r="AA131" i="47"/>
  <c r="AA135" i="47"/>
  <c r="AA125" i="47"/>
  <c r="AA138" i="47"/>
  <c r="AA132" i="47"/>
  <c r="AA133" i="47"/>
  <c r="AA134" i="47"/>
  <c r="R132" i="47"/>
  <c r="R133" i="47"/>
  <c r="R134" i="47"/>
  <c r="R138" i="47"/>
  <c r="R143" i="47"/>
  <c r="R144" i="47"/>
  <c r="R145" i="47"/>
  <c r="R146" i="47"/>
  <c r="R147" i="47"/>
  <c r="R148" i="47"/>
  <c r="R131" i="47"/>
  <c r="P136" i="47"/>
  <c r="S136" i="47" s="1"/>
  <c r="P149" i="47"/>
  <c r="S149" i="47" s="1"/>
  <c r="P147" i="47"/>
  <c r="S147" i="47" s="1"/>
  <c r="P146" i="47"/>
  <c r="S146" i="47" s="1"/>
  <c r="P145" i="47"/>
  <c r="S145" i="47" s="1"/>
  <c r="N144" i="47"/>
  <c r="P135" i="47"/>
  <c r="S135" i="47" s="1"/>
  <c r="N135" i="47"/>
  <c r="M135" i="47"/>
  <c r="P134" i="47"/>
  <c r="S134" i="47" s="1"/>
  <c r="N134" i="47"/>
  <c r="M134" i="47"/>
  <c r="U133" i="47"/>
  <c r="P133" i="47"/>
  <c r="N133" i="47"/>
  <c r="M133" i="47"/>
  <c r="U132" i="47"/>
  <c r="P132" i="47"/>
  <c r="S132" i="47" s="1"/>
  <c r="T132" i="47" s="1"/>
  <c r="N132" i="47"/>
  <c r="M132" i="47"/>
  <c r="U131" i="47"/>
  <c r="P131" i="47"/>
  <c r="N131" i="47"/>
  <c r="M131" i="47"/>
  <c r="U143" i="47" l="1"/>
  <c r="S133" i="47"/>
  <c r="T133" i="47" s="1"/>
  <c r="S131" i="47"/>
  <c r="T131" i="47" s="1"/>
  <c r="U148" i="47"/>
  <c r="U147" i="47"/>
  <c r="T149" i="47"/>
  <c r="P144" i="47"/>
  <c r="S144" i="47" s="1"/>
  <c r="Q132" i="47"/>
  <c r="M149" i="47"/>
  <c r="M143" i="47"/>
  <c r="N149" i="47"/>
  <c r="N143" i="47"/>
  <c r="U138" i="47"/>
  <c r="P143" i="47"/>
  <c r="S143" i="47" s="1"/>
  <c r="M138" i="47"/>
  <c r="P138" i="47"/>
  <c r="S138" i="47" s="1"/>
  <c r="N138" i="47"/>
  <c r="M148" i="47"/>
  <c r="Q131" i="47"/>
  <c r="N148" i="47"/>
  <c r="M147" i="47"/>
  <c r="N147" i="47"/>
  <c r="P148" i="47"/>
  <c r="S148" i="47" s="1"/>
  <c r="Q134" i="47"/>
  <c r="M146" i="47"/>
  <c r="M145" i="47"/>
  <c r="N146" i="47"/>
  <c r="Q133" i="47"/>
  <c r="M136" i="47"/>
  <c r="U134" i="47"/>
  <c r="N136" i="47"/>
  <c r="M144" i="47"/>
  <c r="T134" i="47" l="1"/>
  <c r="T146" i="47"/>
  <c r="Q135" i="47"/>
  <c r="U149" i="47"/>
  <c r="Q149" i="47"/>
  <c r="T143" i="47"/>
  <c r="Q143" i="47"/>
  <c r="Q138" i="47"/>
  <c r="T138" i="47"/>
  <c r="T147" i="47"/>
  <c r="Q147" i="47"/>
  <c r="T148" i="47"/>
  <c r="Q148" i="47"/>
  <c r="T135" i="47" l="1"/>
  <c r="U146" i="47"/>
  <c r="Q137" i="47"/>
  <c r="U136" i="47"/>
  <c r="Q146" i="47"/>
  <c r="U135" i="47"/>
  <c r="U137" i="47"/>
  <c r="T137" i="47"/>
  <c r="Q136" i="47"/>
  <c r="T136" i="47"/>
  <c r="T151" i="47"/>
  <c r="U151" i="47"/>
  <c r="Q151" i="47"/>
  <c r="U104" i="47"/>
  <c r="Q153" i="47" l="1"/>
  <c r="T153" i="47"/>
  <c r="U153" i="47"/>
  <c r="T152" i="47"/>
  <c r="Q152" i="47"/>
  <c r="U152" i="47"/>
  <c r="R108" i="47"/>
  <c r="R119" i="47"/>
  <c r="R120" i="47"/>
  <c r="P118" i="47" l="1"/>
  <c r="S118" i="47" s="1"/>
  <c r="N119" i="47" l="1"/>
  <c r="M119" i="47"/>
  <c r="P119" i="47"/>
  <c r="S119" i="47" s="1"/>
  <c r="M120" i="47"/>
  <c r="N120" i="47"/>
  <c r="P120" i="47"/>
  <c r="S120" i="47" s="1"/>
  <c r="AF103" i="47"/>
  <c r="AF104" i="47"/>
  <c r="AF105" i="47"/>
  <c r="AF106" i="47"/>
  <c r="AF107" i="47"/>
  <c r="AF108" i="47"/>
  <c r="AF109" i="47"/>
  <c r="AF110" i="47"/>
  <c r="AF111" i="47"/>
  <c r="AF112" i="47"/>
  <c r="AF113" i="47"/>
  <c r="AF114" i="47"/>
  <c r="AF115" i="47"/>
  <c r="AF116" i="47"/>
  <c r="V105" i="47" l="1"/>
  <c r="V106" i="47"/>
  <c r="V107" i="47"/>
  <c r="V104" i="47"/>
  <c r="W105" i="47"/>
  <c r="V101" i="47" l="1"/>
  <c r="U111" i="47" l="1"/>
  <c r="X66" i="47"/>
  <c r="X50" i="47"/>
  <c r="X44" i="47"/>
  <c r="X45" i="47"/>
  <c r="X46" i="47"/>
  <c r="X47" i="47"/>
  <c r="X48" i="47"/>
  <c r="X49" i="47"/>
  <c r="X51" i="47"/>
  <c r="X52" i="47"/>
  <c r="X53" i="47"/>
  <c r="X54" i="47"/>
  <c r="X55" i="47"/>
  <c r="X56" i="47"/>
  <c r="E85" i="47"/>
  <c r="W75" i="47" s="1"/>
  <c r="E57" i="47"/>
  <c r="W41" i="47" s="1"/>
  <c r="X41" i="47" s="1"/>
  <c r="R105" i="47"/>
  <c r="R106" i="47"/>
  <c r="R107" i="47"/>
  <c r="R110" i="47"/>
  <c r="R111" i="47"/>
  <c r="R115" i="47"/>
  <c r="R116" i="47"/>
  <c r="R117" i="47"/>
  <c r="R118" i="47"/>
  <c r="R121" i="47"/>
  <c r="R104" i="47"/>
  <c r="M105" i="47"/>
  <c r="M106" i="47"/>
  <c r="M107" i="47"/>
  <c r="M108" i="47"/>
  <c r="M109" i="47"/>
  <c r="M114" i="47"/>
  <c r="M115" i="47"/>
  <c r="M116" i="47"/>
  <c r="M117" i="47"/>
  <c r="M118" i="47"/>
  <c r="M121" i="47"/>
  <c r="M104" i="47"/>
  <c r="M110" i="47"/>
  <c r="AE107" i="47" l="1"/>
  <c r="AE113" i="47"/>
  <c r="AE109" i="47"/>
  <c r="AE112" i="47"/>
  <c r="W106" i="47"/>
  <c r="W107" i="47"/>
  <c r="AE116" i="47"/>
  <c r="W104" i="47"/>
  <c r="AE103" i="47"/>
  <c r="AE114" i="47"/>
  <c r="AE104" i="47"/>
  <c r="AE110" i="47"/>
  <c r="AE105" i="47"/>
  <c r="AE111" i="47"/>
  <c r="AE108" i="47"/>
  <c r="AE106" i="47"/>
  <c r="AE115" i="47"/>
  <c r="X108" i="47"/>
  <c r="X110" i="47"/>
  <c r="X99" i="47"/>
  <c r="X111" i="47"/>
  <c r="X100" i="47"/>
  <c r="X112" i="47"/>
  <c r="X104" i="47"/>
  <c r="X106" i="47"/>
  <c r="X109" i="47"/>
  <c r="X101" i="47"/>
  <c r="X113" i="47"/>
  <c r="X102" i="47"/>
  <c r="X98" i="47"/>
  <c r="X103" i="47"/>
  <c r="X105" i="47"/>
  <c r="X107" i="47"/>
  <c r="W80" i="47"/>
  <c r="W69" i="47"/>
  <c r="W74" i="47"/>
  <c r="W73" i="47"/>
  <c r="W52" i="47"/>
  <c r="W72" i="47"/>
  <c r="W53" i="47"/>
  <c r="W68" i="47"/>
  <c r="W42" i="47"/>
  <c r="X42" i="47" s="1"/>
  <c r="W54" i="47"/>
  <c r="W47" i="47"/>
  <c r="W71" i="47"/>
  <c r="W45" i="47"/>
  <c r="W55" i="47"/>
  <c r="W48" i="47"/>
  <c r="W65" i="47"/>
  <c r="X65" i="47" s="1"/>
  <c r="W70" i="47"/>
  <c r="W46" i="47"/>
  <c r="W51" i="47"/>
  <c r="W78" i="47"/>
  <c r="W66" i="47"/>
  <c r="W44" i="47"/>
  <c r="W76" i="47"/>
  <c r="W79" i="47"/>
  <c r="W67" i="47"/>
  <c r="W50" i="47"/>
  <c r="W77" i="47"/>
  <c r="W56" i="47"/>
  <c r="W49" i="47"/>
  <c r="W43" i="47"/>
  <c r="X43" i="47" s="1"/>
  <c r="W101" i="47" l="1"/>
  <c r="U107" i="47"/>
  <c r="P121" i="47"/>
  <c r="S121" i="47" s="1"/>
  <c r="N121" i="47"/>
  <c r="P117" i="47"/>
  <c r="S117" i="47" s="1"/>
  <c r="P115" i="47"/>
  <c r="S115" i="47" s="1"/>
  <c r="N115" i="47"/>
  <c r="P111" i="47"/>
  <c r="S111" i="47" s="1"/>
  <c r="U110" i="47"/>
  <c r="N110" i="47"/>
  <c r="P109" i="47"/>
  <c r="S109" i="47" s="1"/>
  <c r="N109" i="47"/>
  <c r="P108" i="47"/>
  <c r="S108" i="47" s="1"/>
  <c r="N108" i="47"/>
  <c r="P107" i="47"/>
  <c r="S107" i="47" s="1"/>
  <c r="N107" i="47"/>
  <c r="P106" i="47"/>
  <c r="S106" i="47" s="1"/>
  <c r="N106" i="47"/>
  <c r="P105" i="47"/>
  <c r="S105" i="47" s="1"/>
  <c r="U105" i="47"/>
  <c r="N105" i="47"/>
  <c r="P104" i="47"/>
  <c r="S104" i="47" s="1"/>
  <c r="N104" i="47"/>
  <c r="U123" i="47" l="1"/>
  <c r="Q123" i="47"/>
  <c r="T123" i="47"/>
  <c r="T105" i="47"/>
  <c r="P116" i="47"/>
  <c r="S116" i="47" s="1"/>
  <c r="N111" i="47"/>
  <c r="N117" i="47"/>
  <c r="Q104" i="47"/>
  <c r="T106" i="47"/>
  <c r="Q105" i="47"/>
  <c r="Q106" i="47"/>
  <c r="N114" i="47"/>
  <c r="T104" i="47"/>
  <c r="T107" i="47"/>
  <c r="P110" i="47"/>
  <c r="S110" i="47" s="1"/>
  <c r="P114" i="47"/>
  <c r="S114" i="47" s="1"/>
  <c r="U106" i="47"/>
  <c r="N116" i="47"/>
  <c r="Q107" i="47"/>
  <c r="L141" i="46"/>
  <c r="L100" i="46"/>
  <c r="L78" i="46"/>
  <c r="L56" i="46"/>
  <c r="L11" i="46"/>
  <c r="P11" i="46" s="1"/>
  <c r="P32" i="46"/>
  <c r="P33" i="46"/>
  <c r="P34" i="46"/>
  <c r="P40" i="46"/>
  <c r="P41" i="46"/>
  <c r="P43" i="46"/>
  <c r="N32" i="46"/>
  <c r="N33" i="46"/>
  <c r="N34" i="46"/>
  <c r="N40" i="46"/>
  <c r="N41" i="46"/>
  <c r="N43" i="46"/>
  <c r="M32" i="46"/>
  <c r="M33" i="46"/>
  <c r="M34" i="46"/>
  <c r="M40" i="46"/>
  <c r="M41" i="46"/>
  <c r="M43" i="46"/>
  <c r="P5" i="46"/>
  <c r="P6" i="46"/>
  <c r="P18" i="46"/>
  <c r="P19" i="46"/>
  <c r="P21" i="46"/>
  <c r="N5" i="46"/>
  <c r="N6" i="46"/>
  <c r="N18" i="46"/>
  <c r="N19" i="46"/>
  <c r="N21" i="46"/>
  <c r="M5" i="46"/>
  <c r="M6" i="46"/>
  <c r="M18" i="46"/>
  <c r="M19" i="46"/>
  <c r="M21" i="46"/>
  <c r="U124" i="47" l="1"/>
  <c r="Q124" i="47"/>
  <c r="T124" i="47"/>
  <c r="M11" i="46"/>
  <c r="N11" i="46"/>
  <c r="U144" i="47"/>
  <c r="Q144" i="47"/>
  <c r="T144" i="47"/>
  <c r="U119" i="47"/>
  <c r="T119" i="47"/>
  <c r="Q119" i="47"/>
  <c r="U120" i="47"/>
  <c r="Q120" i="47"/>
  <c r="T120" i="47"/>
  <c r="Q111" i="47"/>
  <c r="T111" i="47"/>
  <c r="Q109" i="47"/>
  <c r="T109" i="47"/>
  <c r="U109" i="47"/>
  <c r="T108" i="47"/>
  <c r="U108" i="47"/>
  <c r="Q108" i="47"/>
  <c r="T110" i="47"/>
  <c r="Q110" i="47"/>
  <c r="L144" i="46"/>
  <c r="L143" i="46"/>
  <c r="L116" i="46"/>
  <c r="L105" i="46"/>
  <c r="L104" i="46"/>
  <c r="L103" i="46"/>
  <c r="L106" i="46" s="1"/>
  <c r="L102" i="46"/>
  <c r="L81" i="46"/>
  <c r="L84" i="46" s="1"/>
  <c r="L59" i="46"/>
  <c r="L36" i="46"/>
  <c r="L14" i="46"/>
  <c r="L17" i="46" s="1"/>
  <c r="Q112" i="47" l="1"/>
  <c r="T115" i="47"/>
  <c r="U112" i="47"/>
  <c r="T112" i="47"/>
  <c r="T114" i="47"/>
  <c r="U114" i="47"/>
  <c r="N35" i="46"/>
  <c r="M35" i="46"/>
  <c r="P35" i="46"/>
  <c r="P36" i="46"/>
  <c r="N36" i="46"/>
  <c r="M36" i="46"/>
  <c r="U122" i="47"/>
  <c r="T122" i="47"/>
  <c r="Q122" i="47"/>
  <c r="Q150" i="47"/>
  <c r="T150" i="47"/>
  <c r="U150" i="47"/>
  <c r="T145" i="47"/>
  <c r="Q145" i="47"/>
  <c r="U145" i="47"/>
  <c r="Q114" i="47"/>
  <c r="U115" i="47"/>
  <c r="U121" i="47"/>
  <c r="T121" i="47"/>
  <c r="Q121" i="47"/>
  <c r="P14" i="46"/>
  <c r="M14" i="46"/>
  <c r="N14" i="46"/>
  <c r="N13" i="46"/>
  <c r="P13" i="46"/>
  <c r="S13" i="46" s="1"/>
  <c r="M13" i="46"/>
  <c r="O164" i="48"/>
  <c r="Q115" i="47" l="1"/>
  <c r="T113" i="47"/>
  <c r="U113" i="47"/>
  <c r="Q113" i="47"/>
  <c r="U154" i="47"/>
  <c r="T154" i="47"/>
  <c r="M55" i="48"/>
  <c r="N55" i="48"/>
  <c r="P55" i="48"/>
  <c r="S55" i="48" s="1"/>
  <c r="R55" i="48"/>
  <c r="M87" i="48"/>
  <c r="N87" i="48"/>
  <c r="P87" i="48"/>
  <c r="S87" i="48" s="1"/>
  <c r="R87" i="48"/>
  <c r="M119" i="48"/>
  <c r="N119" i="48"/>
  <c r="P119" i="48"/>
  <c r="S119" i="48" s="1"/>
  <c r="R119" i="48"/>
  <c r="M151" i="48"/>
  <c r="N151" i="48"/>
  <c r="P151" i="48"/>
  <c r="S151" i="48" s="1"/>
  <c r="R151" i="48"/>
  <c r="M181" i="48"/>
  <c r="N181" i="48"/>
  <c r="P181" i="48"/>
  <c r="R181" i="48"/>
  <c r="M242" i="48"/>
  <c r="N242" i="48"/>
  <c r="P242" i="48"/>
  <c r="R242" i="48"/>
  <c r="M273" i="48"/>
  <c r="N273" i="48"/>
  <c r="P273" i="48"/>
  <c r="R273" i="48"/>
  <c r="M23" i="48"/>
  <c r="N23" i="48"/>
  <c r="P23" i="48"/>
  <c r="S23" i="48" s="1"/>
  <c r="R23" i="48"/>
  <c r="S181" i="48" l="1"/>
  <c r="S242" i="48"/>
  <c r="S273" i="48"/>
  <c r="R255" i="48"/>
  <c r="R221" i="48"/>
  <c r="R220" i="48"/>
  <c r="P69" i="44" l="1"/>
  <c r="R69" i="44"/>
  <c r="M69" i="44"/>
  <c r="N69" i="44"/>
  <c r="O69" i="44"/>
  <c r="U69" i="44" s="1"/>
  <c r="P46" i="44"/>
  <c r="R46" i="44"/>
  <c r="M46" i="44"/>
  <c r="N46" i="44"/>
  <c r="O46" i="44"/>
  <c r="U46" i="44" s="1"/>
  <c r="O21" i="44"/>
  <c r="M21" i="44"/>
  <c r="N21" i="44"/>
  <c r="P21" i="44"/>
  <c r="S21" i="44" s="1"/>
  <c r="R21" i="44"/>
  <c r="Q46" i="44" l="1"/>
  <c r="Q69" i="44"/>
  <c r="Q21" i="44"/>
  <c r="S69" i="44"/>
  <c r="T69" i="44" s="1"/>
  <c r="S46" i="44"/>
  <c r="T46" i="44" s="1"/>
  <c r="U21" i="44"/>
  <c r="T21" i="44"/>
  <c r="L257" i="48"/>
  <c r="P257" i="48" s="1"/>
  <c r="S257" i="48" s="1"/>
  <c r="L258" i="48"/>
  <c r="P258" i="48" s="1"/>
  <c r="S258" i="48" s="1"/>
  <c r="R95" i="47" l="1"/>
  <c r="R96" i="47"/>
  <c r="R97" i="47"/>
  <c r="R98" i="47"/>
  <c r="R99" i="47"/>
  <c r="R100" i="47"/>
  <c r="L25" i="46"/>
  <c r="Z23" i="46" l="1"/>
  <c r="Z25" i="46"/>
  <c r="Z27" i="46"/>
  <c r="Z35" i="46"/>
  <c r="Z24" i="46"/>
  <c r="Z26" i="46"/>
  <c r="Z28" i="46"/>
  <c r="Z30" i="46"/>
  <c r="Z32" i="46"/>
  <c r="Z34" i="46"/>
  <c r="Z36" i="46"/>
  <c r="Z38" i="46"/>
  <c r="Z37" i="46"/>
  <c r="Z31" i="46"/>
  <c r="Z29" i="46"/>
  <c r="Z33" i="46"/>
  <c r="P42" i="46"/>
  <c r="M42" i="46"/>
  <c r="N42" i="46"/>
  <c r="M25" i="46"/>
  <c r="P25" i="46"/>
  <c r="N25" i="46"/>
  <c r="M20" i="46"/>
  <c r="P20" i="46"/>
  <c r="N20" i="46"/>
  <c r="L3" i="48"/>
  <c r="J14" i="48" l="1"/>
  <c r="J45" i="48"/>
  <c r="J77" i="48"/>
  <c r="J110" i="48"/>
  <c r="J141" i="48"/>
  <c r="J174" i="48"/>
  <c r="J231" i="48"/>
  <c r="J266" i="48"/>
  <c r="L255" i="48"/>
  <c r="O255" i="48" s="1"/>
  <c r="L220" i="48"/>
  <c r="L163" i="48"/>
  <c r="O163" i="48" s="1"/>
  <c r="L131" i="48"/>
  <c r="L99" i="48"/>
  <c r="L70" i="48"/>
  <c r="L67" i="48"/>
  <c r="O67" i="48" s="1"/>
  <c r="L35" i="48"/>
  <c r="O35" i="48" s="1"/>
  <c r="O189" i="48"/>
  <c r="U189" i="48" s="1"/>
  <c r="M189" i="48"/>
  <c r="N189" i="48"/>
  <c r="P189" i="48"/>
  <c r="S189" i="48" s="1"/>
  <c r="R189" i="48"/>
  <c r="O159" i="48"/>
  <c r="U159" i="48" s="1"/>
  <c r="M159" i="48"/>
  <c r="N159" i="48"/>
  <c r="P159" i="48"/>
  <c r="R159" i="48"/>
  <c r="O127" i="48"/>
  <c r="U127" i="48" s="1"/>
  <c r="M127" i="48"/>
  <c r="N127" i="48"/>
  <c r="P127" i="48"/>
  <c r="S127" i="48" s="1"/>
  <c r="R127" i="48"/>
  <c r="O95" i="48"/>
  <c r="U95" i="48" s="1"/>
  <c r="M95" i="48"/>
  <c r="N95" i="48"/>
  <c r="P95" i="48"/>
  <c r="S95" i="48" s="1"/>
  <c r="R95" i="48"/>
  <c r="R63" i="48"/>
  <c r="O63" i="48"/>
  <c r="M63" i="48"/>
  <c r="N63" i="48"/>
  <c r="P63" i="48"/>
  <c r="S63" i="48" s="1"/>
  <c r="O31" i="48"/>
  <c r="M31" i="48"/>
  <c r="N31" i="48"/>
  <c r="P31" i="48"/>
  <c r="S31" i="48" s="1"/>
  <c r="R31" i="48"/>
  <c r="O30" i="48"/>
  <c r="Q159" i="48" l="1"/>
  <c r="S159" i="48"/>
  <c r="T95" i="48"/>
  <c r="T189" i="48"/>
  <c r="T127" i="48"/>
  <c r="Q189" i="48"/>
  <c r="T159" i="48"/>
  <c r="Q127" i="48"/>
  <c r="Q95" i="48"/>
  <c r="Q63" i="48"/>
  <c r="U63" i="48"/>
  <c r="T63" i="48"/>
  <c r="Q31" i="48"/>
  <c r="U31" i="48"/>
  <c r="T31" i="48"/>
  <c r="O20" i="46" l="1"/>
  <c r="U20" i="46" s="1"/>
  <c r="O42" i="46"/>
  <c r="U42" i="46" s="1"/>
  <c r="O65" i="46"/>
  <c r="O87" i="46"/>
  <c r="O109" i="46"/>
  <c r="O150" i="46"/>
  <c r="L3" i="46"/>
  <c r="O148" i="46"/>
  <c r="O149" i="46" s="1"/>
  <c r="O107" i="46"/>
  <c r="O108" i="46" s="1"/>
  <c r="O85" i="46"/>
  <c r="O86" i="46" s="1"/>
  <c r="O63" i="46"/>
  <c r="O64" i="46" s="1"/>
  <c r="O40" i="46"/>
  <c r="O18" i="46"/>
  <c r="L146" i="46"/>
  <c r="L145" i="46"/>
  <c r="L83" i="46"/>
  <c r="L82" i="46"/>
  <c r="L80" i="46"/>
  <c r="L61" i="46"/>
  <c r="L60" i="46"/>
  <c r="L58" i="46"/>
  <c r="L38" i="46"/>
  <c r="L37" i="46"/>
  <c r="L15" i="46"/>
  <c r="L16" i="46"/>
  <c r="O13" i="46"/>
  <c r="O17" i="46"/>
  <c r="L142" i="46"/>
  <c r="L101" i="46"/>
  <c r="L79" i="46"/>
  <c r="L57" i="46"/>
  <c r="L12" i="46"/>
  <c r="S33" i="46"/>
  <c r="R33" i="46"/>
  <c r="L30" i="46"/>
  <c r="U13" i="46" l="1"/>
  <c r="O16" i="46"/>
  <c r="Y37" i="46"/>
  <c r="Y27" i="46"/>
  <c r="Y23" i="46"/>
  <c r="Y25" i="46"/>
  <c r="Y24" i="46"/>
  <c r="Y26" i="46"/>
  <c r="Y28" i="46"/>
  <c r="Y30" i="46"/>
  <c r="Y32" i="46"/>
  <c r="Y34" i="46"/>
  <c r="Y36" i="46"/>
  <c r="Y38" i="46"/>
  <c r="Y33" i="46"/>
  <c r="Y35" i="46"/>
  <c r="Y29" i="46"/>
  <c r="Y31" i="46"/>
  <c r="AN3" i="46"/>
  <c r="AN13" i="46"/>
  <c r="AN5" i="46"/>
  <c r="AN15" i="46"/>
  <c r="AN4" i="46"/>
  <c r="AN6" i="46"/>
  <c r="AN8" i="46"/>
  <c r="AN10" i="46"/>
  <c r="AN12" i="46"/>
  <c r="AN14" i="46"/>
  <c r="AN16" i="46"/>
  <c r="AN18" i="46"/>
  <c r="AN17" i="46"/>
  <c r="AN9" i="46"/>
  <c r="AN7" i="46"/>
  <c r="AN11" i="46"/>
  <c r="P37" i="46"/>
  <c r="M37" i="46"/>
  <c r="N37" i="46"/>
  <c r="P30" i="46"/>
  <c r="N30" i="46"/>
  <c r="M30" i="46"/>
  <c r="M38" i="46"/>
  <c r="P38" i="46"/>
  <c r="N38" i="46"/>
  <c r="N3" i="46"/>
  <c r="M3" i="46"/>
  <c r="P3" i="46"/>
  <c r="P12" i="46"/>
  <c r="N12" i="46"/>
  <c r="M12" i="46"/>
  <c r="N15" i="46"/>
  <c r="P15" i="46"/>
  <c r="M15" i="46"/>
  <c r="M16" i="46"/>
  <c r="N16" i="46"/>
  <c r="P16" i="46"/>
  <c r="O19" i="46"/>
  <c r="U19" i="46" s="1"/>
  <c r="U18" i="46"/>
  <c r="O41" i="46"/>
  <c r="U41" i="46" s="1"/>
  <c r="U40" i="46"/>
  <c r="O31" i="46"/>
  <c r="O32" i="46" s="1"/>
  <c r="L8" i="46"/>
  <c r="L7" i="46"/>
  <c r="L4" i="46"/>
  <c r="O34" i="46" l="1"/>
  <c r="O33" i="46"/>
  <c r="AO3" i="46"/>
  <c r="AO4" i="46"/>
  <c r="AO6" i="46"/>
  <c r="AO8" i="46"/>
  <c r="AO10" i="46"/>
  <c r="AO12" i="46"/>
  <c r="AO14" i="46"/>
  <c r="AO16" i="46"/>
  <c r="AO18" i="46"/>
  <c r="AO5" i="46"/>
  <c r="AO7" i="46"/>
  <c r="AO9" i="46"/>
  <c r="AO11" i="46"/>
  <c r="AO13" i="46"/>
  <c r="AO15" i="46"/>
  <c r="AO17" i="46"/>
  <c r="AR5" i="46"/>
  <c r="AR7" i="46"/>
  <c r="AR9" i="46"/>
  <c r="AR11" i="46"/>
  <c r="AR13" i="46"/>
  <c r="AR15" i="46"/>
  <c r="AR17" i="46"/>
  <c r="AR4" i="46"/>
  <c r="AR6" i="46"/>
  <c r="AR8" i="46"/>
  <c r="AR10" i="46"/>
  <c r="AR12" i="46"/>
  <c r="AR14" i="46"/>
  <c r="AR16" i="46"/>
  <c r="AR18" i="46"/>
  <c r="AR3" i="46"/>
  <c r="AM3" i="46"/>
  <c r="AM4" i="46"/>
  <c r="AM6" i="46"/>
  <c r="AM8" i="46"/>
  <c r="AM10" i="46"/>
  <c r="AM12" i="46"/>
  <c r="AM14" i="46"/>
  <c r="AM16" i="46"/>
  <c r="AM18" i="46"/>
  <c r="AM5" i="46"/>
  <c r="AM7" i="46"/>
  <c r="AM9" i="46"/>
  <c r="AM11" i="46"/>
  <c r="AM13" i="46"/>
  <c r="AM15" i="46"/>
  <c r="AM17" i="46"/>
  <c r="AM21" i="46"/>
  <c r="N39" i="46"/>
  <c r="M39" i="46"/>
  <c r="P39" i="46"/>
  <c r="N4" i="46"/>
  <c r="M4" i="46"/>
  <c r="P4" i="46"/>
  <c r="N7" i="46"/>
  <c r="M7" i="46"/>
  <c r="P7" i="46"/>
  <c r="P8" i="46"/>
  <c r="N8" i="46"/>
  <c r="M8" i="46"/>
  <c r="P17" i="46"/>
  <c r="M17" i="46"/>
  <c r="N17" i="46"/>
  <c r="U17" i="46"/>
  <c r="O30" i="46"/>
  <c r="Y210" i="48"/>
  <c r="Z209" i="48"/>
  <c r="Y209" i="48"/>
  <c r="X209" i="48"/>
  <c r="W210" i="48"/>
  <c r="X210" i="48"/>
  <c r="Z210" i="48"/>
  <c r="W211" i="48"/>
  <c r="X211" i="48"/>
  <c r="Y211" i="48"/>
  <c r="Z211" i="48"/>
  <c r="W212" i="48"/>
  <c r="X212" i="48"/>
  <c r="Y212" i="48"/>
  <c r="Z212" i="48"/>
  <c r="W213" i="48"/>
  <c r="X213" i="48"/>
  <c r="Y213" i="48"/>
  <c r="Z213" i="48"/>
  <c r="W214" i="48"/>
  <c r="X214" i="48"/>
  <c r="Y214" i="48"/>
  <c r="Z214" i="48"/>
  <c r="W215" i="48"/>
  <c r="X215" i="48"/>
  <c r="Y215" i="48"/>
  <c r="Z215" i="48"/>
  <c r="W216" i="48"/>
  <c r="X216" i="48"/>
  <c r="Y216" i="48"/>
  <c r="Z216" i="48"/>
  <c r="W217" i="48"/>
  <c r="X217" i="48"/>
  <c r="Y217" i="48"/>
  <c r="Z217" i="48"/>
  <c r="W218" i="48"/>
  <c r="X218" i="48"/>
  <c r="Y218" i="48"/>
  <c r="Z218" i="48"/>
  <c r="W219" i="48"/>
  <c r="X219" i="48"/>
  <c r="Y219" i="48"/>
  <c r="Z219" i="48"/>
  <c r="W220" i="48"/>
  <c r="X220" i="48"/>
  <c r="Y220" i="48"/>
  <c r="Z220" i="48"/>
  <c r="W221" i="48"/>
  <c r="X221" i="48"/>
  <c r="Y221" i="48"/>
  <c r="Z221" i="48"/>
  <c r="W222" i="48"/>
  <c r="X222" i="48"/>
  <c r="Y222" i="48"/>
  <c r="Z222" i="48"/>
  <c r="W223" i="48"/>
  <c r="X223" i="48"/>
  <c r="Y223" i="48"/>
  <c r="Z223" i="48"/>
  <c r="W224" i="48"/>
  <c r="X224" i="48"/>
  <c r="Y224" i="48"/>
  <c r="Z224" i="48"/>
  <c r="U30" i="46" l="1"/>
  <c r="O44" i="46"/>
  <c r="U34" i="46"/>
  <c r="O233" i="48"/>
  <c r="O8" i="46"/>
  <c r="U33" i="46"/>
  <c r="U32" i="46"/>
  <c r="U8" i="46"/>
  <c r="AG208" i="48"/>
  <c r="AD208" i="48" s="1"/>
  <c r="AG209" i="48"/>
  <c r="AD209" i="48" s="1"/>
  <c r="AG210" i="48"/>
  <c r="AD210" i="48" s="1"/>
  <c r="AG211" i="48"/>
  <c r="AD211" i="48" s="1"/>
  <c r="AG212" i="48"/>
  <c r="AD212" i="48" s="1"/>
  <c r="AG213" i="48"/>
  <c r="AD213" i="48" s="1"/>
  <c r="AG214" i="48"/>
  <c r="AD214" i="48" s="1"/>
  <c r="AG215" i="48"/>
  <c r="AD215" i="48" s="1"/>
  <c r="AG216" i="48"/>
  <c r="AD216" i="48" s="1"/>
  <c r="AG217" i="48"/>
  <c r="AD217" i="48" s="1"/>
  <c r="AG218" i="48"/>
  <c r="AD218" i="48" s="1"/>
  <c r="AG219" i="48"/>
  <c r="AD219" i="48" s="1"/>
  <c r="AG220" i="48"/>
  <c r="AD220" i="48" s="1"/>
  <c r="AG221" i="48"/>
  <c r="AD221" i="48" s="1"/>
  <c r="AG222" i="48"/>
  <c r="AD222" i="48" s="1"/>
  <c r="AG207" i="48"/>
  <c r="AD207" i="48" s="1"/>
  <c r="AE207" i="48"/>
  <c r="AC207" i="48"/>
  <c r="AG240" i="48"/>
  <c r="AD240" i="48" s="1"/>
  <c r="AG241" i="48"/>
  <c r="AG242" i="48"/>
  <c r="AG243" i="48"/>
  <c r="AG244" i="48"/>
  <c r="AG245" i="48"/>
  <c r="AG246" i="48"/>
  <c r="AG247" i="48"/>
  <c r="AG248" i="48"/>
  <c r="AG249" i="48"/>
  <c r="AG250" i="48"/>
  <c r="AG251" i="48"/>
  <c r="AG252" i="48"/>
  <c r="AG253" i="48"/>
  <c r="AG254" i="48"/>
  <c r="AG255" i="48"/>
  <c r="E265" i="48"/>
  <c r="U44" i="46" l="1"/>
  <c r="Q44" i="46"/>
  <c r="T44" i="46"/>
  <c r="AE241" i="48"/>
  <c r="AE242" i="48"/>
  <c r="AE243" i="48"/>
  <c r="AE244" i="48"/>
  <c r="AE245" i="48"/>
  <c r="AE246" i="48"/>
  <c r="AE247" i="48"/>
  <c r="AE248" i="48"/>
  <c r="AE249" i="48"/>
  <c r="AE250" i="48"/>
  <c r="AE251" i="48"/>
  <c r="AE252" i="48"/>
  <c r="AE253" i="48"/>
  <c r="AE254" i="48"/>
  <c r="AE255" i="48"/>
  <c r="AE240" i="48"/>
  <c r="O259" i="48"/>
  <c r="O257" i="48" l="1"/>
  <c r="W5" i="48" l="1"/>
  <c r="X5" i="48"/>
  <c r="Y5" i="48"/>
  <c r="Z5" i="48"/>
  <c r="W6" i="48"/>
  <c r="X6" i="48"/>
  <c r="Y6" i="48"/>
  <c r="Z6" i="48"/>
  <c r="W7" i="48"/>
  <c r="X7" i="48"/>
  <c r="Y7" i="48"/>
  <c r="Z7" i="48"/>
  <c r="W8" i="48"/>
  <c r="X8" i="48"/>
  <c r="Y8" i="48"/>
  <c r="Z8" i="48"/>
  <c r="W9" i="48"/>
  <c r="X9" i="48"/>
  <c r="Y9" i="48"/>
  <c r="Z9" i="48"/>
  <c r="W10" i="48"/>
  <c r="X10" i="48"/>
  <c r="Y10" i="48"/>
  <c r="Z10" i="48"/>
  <c r="W11" i="48"/>
  <c r="X11" i="48"/>
  <c r="Y11" i="48"/>
  <c r="Z11" i="48"/>
  <c r="W12" i="48"/>
  <c r="X12" i="48"/>
  <c r="Y12" i="48"/>
  <c r="Z12" i="48"/>
  <c r="W13" i="48"/>
  <c r="X13" i="48"/>
  <c r="Y13" i="48"/>
  <c r="Z13" i="48"/>
  <c r="W14" i="48"/>
  <c r="X14" i="48"/>
  <c r="Y14" i="48"/>
  <c r="Z14" i="48"/>
  <c r="W15" i="48"/>
  <c r="X15" i="48"/>
  <c r="Y15" i="48"/>
  <c r="Z15" i="48"/>
  <c r="W16" i="48"/>
  <c r="X16" i="48"/>
  <c r="Y16" i="48"/>
  <c r="Z16" i="48"/>
  <c r="W17" i="48"/>
  <c r="X17" i="48"/>
  <c r="Y17" i="48"/>
  <c r="Z17" i="48"/>
  <c r="W18" i="48"/>
  <c r="Y18" i="48"/>
  <c r="Z18" i="48"/>
  <c r="W19" i="48"/>
  <c r="X19" i="48"/>
  <c r="Y19" i="48"/>
  <c r="Z19" i="48"/>
  <c r="Z4" i="48"/>
  <c r="Y4" i="48"/>
  <c r="X4" i="48"/>
  <c r="W4" i="48"/>
  <c r="M14" i="48"/>
  <c r="N14" i="48"/>
  <c r="P14" i="48"/>
  <c r="S14" i="48" s="1"/>
  <c r="R14" i="48"/>
  <c r="W21" i="48"/>
  <c r="X36" i="48"/>
  <c r="W36" i="48"/>
  <c r="Y36" i="48"/>
  <c r="Z36" i="48"/>
  <c r="W37" i="48"/>
  <c r="X37" i="48"/>
  <c r="Y37" i="48"/>
  <c r="Z37" i="48"/>
  <c r="W38" i="48"/>
  <c r="X38" i="48"/>
  <c r="Y38" i="48"/>
  <c r="Z38" i="48"/>
  <c r="W39" i="48"/>
  <c r="X39" i="48"/>
  <c r="Y39" i="48"/>
  <c r="Z39" i="48"/>
  <c r="W40" i="48"/>
  <c r="X40" i="48"/>
  <c r="Y40" i="48"/>
  <c r="Z40" i="48"/>
  <c r="W41" i="48"/>
  <c r="X41" i="48"/>
  <c r="Y41" i="48"/>
  <c r="Z41" i="48"/>
  <c r="W42" i="48"/>
  <c r="X42" i="48"/>
  <c r="Y42" i="48"/>
  <c r="Z42" i="48"/>
  <c r="W43" i="48"/>
  <c r="X43" i="48"/>
  <c r="Y43" i="48"/>
  <c r="Z43" i="48"/>
  <c r="W44" i="48"/>
  <c r="X44" i="48"/>
  <c r="Y44" i="48"/>
  <c r="Z44" i="48"/>
  <c r="W45" i="48"/>
  <c r="X45" i="48"/>
  <c r="Y45" i="48"/>
  <c r="Z45" i="48"/>
  <c r="W46" i="48"/>
  <c r="X46" i="48"/>
  <c r="Y46" i="48"/>
  <c r="Z46" i="48"/>
  <c r="W47" i="48"/>
  <c r="X47" i="48"/>
  <c r="Y47" i="48"/>
  <c r="Z47" i="48"/>
  <c r="W48" i="48"/>
  <c r="X48" i="48"/>
  <c r="Y48" i="48"/>
  <c r="Z48" i="48"/>
  <c r="W49" i="48"/>
  <c r="X49" i="48"/>
  <c r="Y49" i="48"/>
  <c r="Z49" i="48"/>
  <c r="W50" i="48"/>
  <c r="X50" i="48"/>
  <c r="Y50" i="48"/>
  <c r="Z50" i="48"/>
  <c r="M46" i="48"/>
  <c r="N46" i="48"/>
  <c r="P46" i="48"/>
  <c r="S46" i="48" s="1"/>
  <c r="R46" i="48"/>
  <c r="M47" i="48"/>
  <c r="N47" i="48"/>
  <c r="P47" i="48"/>
  <c r="S47" i="48" s="1"/>
  <c r="R47" i="48"/>
  <c r="W114" i="48"/>
  <c r="Z96" i="48"/>
  <c r="W97" i="48"/>
  <c r="X97" i="48"/>
  <c r="Y97" i="48"/>
  <c r="Z97" i="48"/>
  <c r="W98" i="48"/>
  <c r="X98" i="48"/>
  <c r="Y98" i="48"/>
  <c r="Z98" i="48"/>
  <c r="W99" i="48"/>
  <c r="X99" i="48"/>
  <c r="Y99" i="48"/>
  <c r="Z99" i="48"/>
  <c r="W100" i="48"/>
  <c r="X100" i="48"/>
  <c r="Y100" i="48"/>
  <c r="Z100" i="48"/>
  <c r="W101" i="48"/>
  <c r="X101" i="48"/>
  <c r="Y101" i="48"/>
  <c r="Z101" i="48"/>
  <c r="W102" i="48"/>
  <c r="X102" i="48"/>
  <c r="Y102" i="48"/>
  <c r="Z102" i="48"/>
  <c r="W103" i="48"/>
  <c r="X103" i="48"/>
  <c r="Y103" i="48"/>
  <c r="Z103" i="48"/>
  <c r="W104" i="48"/>
  <c r="X104" i="48"/>
  <c r="Y104" i="48"/>
  <c r="Z104" i="48"/>
  <c r="W105" i="48"/>
  <c r="X105" i="48"/>
  <c r="Y105" i="48"/>
  <c r="Z105" i="48"/>
  <c r="W106" i="48"/>
  <c r="X106" i="48"/>
  <c r="Y106" i="48"/>
  <c r="Z106" i="48"/>
  <c r="W107" i="48"/>
  <c r="X107" i="48"/>
  <c r="Y107" i="48"/>
  <c r="Z107" i="48"/>
  <c r="W108" i="48"/>
  <c r="X108" i="48"/>
  <c r="Y108" i="48"/>
  <c r="Z108" i="48"/>
  <c r="W109" i="48"/>
  <c r="X109" i="48"/>
  <c r="Y109" i="48"/>
  <c r="Z109" i="48"/>
  <c r="W110" i="48"/>
  <c r="X110" i="48"/>
  <c r="Y110" i="48"/>
  <c r="Z110" i="48"/>
  <c r="W111" i="48"/>
  <c r="X111" i="48"/>
  <c r="Y111" i="48"/>
  <c r="Z111" i="48"/>
  <c r="GU64" i="48"/>
  <c r="GV64" i="48"/>
  <c r="GW64" i="48"/>
  <c r="GX64" i="48"/>
  <c r="GY64" i="48"/>
  <c r="GZ64" i="48"/>
  <c r="HA64" i="48"/>
  <c r="HB64" i="48"/>
  <c r="HC64" i="48"/>
  <c r="HD64" i="48"/>
  <c r="HE64" i="48"/>
  <c r="HF64" i="48"/>
  <c r="GU58" i="48"/>
  <c r="GV58" i="48"/>
  <c r="GW58" i="48"/>
  <c r="GX58" i="48"/>
  <c r="GY58" i="48"/>
  <c r="X65" i="48" s="1"/>
  <c r="GZ58" i="48"/>
  <c r="HA58" i="48"/>
  <c r="HB58" i="48"/>
  <c r="HC58" i="48"/>
  <c r="HD58" i="48"/>
  <c r="HE58" i="48"/>
  <c r="HF58" i="48"/>
  <c r="GF70" i="48"/>
  <c r="GG70" i="48"/>
  <c r="GH70" i="48"/>
  <c r="GI70" i="48"/>
  <c r="GJ70" i="48"/>
  <c r="GK70" i="48"/>
  <c r="GL70" i="48"/>
  <c r="GM70" i="48"/>
  <c r="GN70" i="48"/>
  <c r="GO70" i="48"/>
  <c r="GP70" i="48"/>
  <c r="GQ70" i="48"/>
  <c r="GF64" i="48"/>
  <c r="GG64" i="48"/>
  <c r="GH64" i="48"/>
  <c r="GI64" i="48"/>
  <c r="GJ64" i="48"/>
  <c r="GK64" i="48"/>
  <c r="GL64" i="48"/>
  <c r="GM64" i="48"/>
  <c r="GN64" i="48"/>
  <c r="GO64" i="48"/>
  <c r="GP64" i="48"/>
  <c r="GQ64" i="48"/>
  <c r="GF58" i="48"/>
  <c r="GG58" i="48"/>
  <c r="GH58" i="48"/>
  <c r="GI58" i="48"/>
  <c r="GJ58" i="48"/>
  <c r="GK58" i="48"/>
  <c r="GL58" i="48"/>
  <c r="GM58" i="48"/>
  <c r="GN58" i="48"/>
  <c r="GO58" i="48"/>
  <c r="GP58" i="48"/>
  <c r="GQ58" i="48"/>
  <c r="FQ70" i="48"/>
  <c r="FR70" i="48"/>
  <c r="FS70" i="48"/>
  <c r="FT70" i="48"/>
  <c r="FU70" i="48"/>
  <c r="FV70" i="48"/>
  <c r="FW70" i="48"/>
  <c r="FX70" i="48"/>
  <c r="FY70" i="48"/>
  <c r="FZ70" i="48"/>
  <c r="GA70" i="48"/>
  <c r="GB70" i="48"/>
  <c r="FQ64" i="48"/>
  <c r="FR64" i="48"/>
  <c r="FS64" i="48"/>
  <c r="FT64" i="48"/>
  <c r="FU64" i="48"/>
  <c r="FV64" i="48"/>
  <c r="FW64" i="48"/>
  <c r="FX64" i="48"/>
  <c r="FY64" i="48"/>
  <c r="FZ64" i="48"/>
  <c r="GA64" i="48"/>
  <c r="GB64" i="48"/>
  <c r="FQ58" i="48"/>
  <c r="FR58" i="48"/>
  <c r="FS58" i="48"/>
  <c r="FT58" i="48"/>
  <c r="FU58" i="48"/>
  <c r="FV58" i="48"/>
  <c r="FW58" i="48"/>
  <c r="FX58" i="48"/>
  <c r="FY58" i="48"/>
  <c r="FZ58" i="48"/>
  <c r="GA58" i="48"/>
  <c r="GB58" i="48"/>
  <c r="FB70" i="48"/>
  <c r="FC70" i="48"/>
  <c r="FD70" i="48"/>
  <c r="FE70" i="48"/>
  <c r="FF70" i="48"/>
  <c r="FG70" i="48"/>
  <c r="FH70" i="48"/>
  <c r="FI70" i="48"/>
  <c r="FJ70" i="48"/>
  <c r="FK70" i="48"/>
  <c r="FL70" i="48"/>
  <c r="FM70" i="48"/>
  <c r="FB64" i="48"/>
  <c r="FC64" i="48"/>
  <c r="FD64" i="48"/>
  <c r="FE64" i="48"/>
  <c r="FF64" i="48"/>
  <c r="FG64" i="48"/>
  <c r="FH64" i="48"/>
  <c r="FI64" i="48"/>
  <c r="FJ64" i="48"/>
  <c r="FK64" i="48"/>
  <c r="FL64" i="48"/>
  <c r="FM64" i="48"/>
  <c r="EM70" i="48"/>
  <c r="EN70" i="48"/>
  <c r="EO70" i="48"/>
  <c r="EP70" i="48"/>
  <c r="EQ70" i="48"/>
  <c r="ER70" i="48"/>
  <c r="ES70" i="48"/>
  <c r="ET70" i="48"/>
  <c r="EU70" i="48"/>
  <c r="EV70" i="48"/>
  <c r="EW70" i="48"/>
  <c r="EX70" i="48"/>
  <c r="EM64" i="48"/>
  <c r="EN64" i="48"/>
  <c r="EO64" i="48"/>
  <c r="EP64" i="48"/>
  <c r="EQ64" i="48"/>
  <c r="ER64" i="48"/>
  <c r="ES64" i="48"/>
  <c r="ET64" i="48"/>
  <c r="EU64" i="48"/>
  <c r="EV64" i="48"/>
  <c r="EW64" i="48"/>
  <c r="EX64" i="48"/>
  <c r="FB58" i="48"/>
  <c r="FC58" i="48"/>
  <c r="FD58" i="48"/>
  <c r="FE58" i="48"/>
  <c r="FF58" i="48"/>
  <c r="FG58" i="48"/>
  <c r="FH58" i="48"/>
  <c r="FI58" i="48"/>
  <c r="FJ58" i="48"/>
  <c r="FK58" i="48"/>
  <c r="FL58" i="48"/>
  <c r="FM58" i="48"/>
  <c r="EM58" i="48"/>
  <c r="EN58" i="48"/>
  <c r="EO58" i="48"/>
  <c r="EP58" i="48"/>
  <c r="EQ58" i="48"/>
  <c r="ER58" i="48"/>
  <c r="ES58" i="48"/>
  <c r="ET58" i="48"/>
  <c r="EU58" i="48"/>
  <c r="EV58" i="48"/>
  <c r="EW58" i="48"/>
  <c r="EX58" i="48"/>
  <c r="GU37" i="48"/>
  <c r="GV37" i="48"/>
  <c r="GW37" i="48"/>
  <c r="GX37" i="48"/>
  <c r="GY37" i="48"/>
  <c r="GZ37" i="48"/>
  <c r="HA37" i="48"/>
  <c r="HB37" i="48"/>
  <c r="HC37" i="48"/>
  <c r="HD37" i="48"/>
  <c r="HE37" i="48"/>
  <c r="HF37" i="48"/>
  <c r="GU31" i="48"/>
  <c r="GV31" i="48"/>
  <c r="GW31" i="48"/>
  <c r="GX31" i="48"/>
  <c r="GY31" i="48"/>
  <c r="X35" i="48" s="1"/>
  <c r="GZ31" i="48"/>
  <c r="HA31" i="48"/>
  <c r="HB31" i="48"/>
  <c r="HC31" i="48"/>
  <c r="HD31" i="48"/>
  <c r="HE31" i="48"/>
  <c r="HF31" i="48"/>
  <c r="GF43" i="48"/>
  <c r="GG43" i="48"/>
  <c r="GH43" i="48"/>
  <c r="GI43" i="48"/>
  <c r="GJ43" i="48"/>
  <c r="GK43" i="48"/>
  <c r="GL43" i="48"/>
  <c r="GM43" i="48"/>
  <c r="GN43" i="48"/>
  <c r="GO43" i="48"/>
  <c r="GP43" i="48"/>
  <c r="GQ43" i="48"/>
  <c r="GF37" i="48"/>
  <c r="GG37" i="48"/>
  <c r="GH37" i="48"/>
  <c r="GI37" i="48"/>
  <c r="GJ37" i="48"/>
  <c r="GK37" i="48"/>
  <c r="GL37" i="48"/>
  <c r="GM37" i="48"/>
  <c r="GN37" i="48"/>
  <c r="GO37" i="48"/>
  <c r="GP37" i="48"/>
  <c r="GQ37" i="48"/>
  <c r="GF31" i="48"/>
  <c r="GG31" i="48"/>
  <c r="GH31" i="48"/>
  <c r="GI31" i="48"/>
  <c r="GJ31" i="48"/>
  <c r="GK31" i="48"/>
  <c r="GL31" i="48"/>
  <c r="GM31" i="48"/>
  <c r="GN31" i="48"/>
  <c r="GO31" i="48"/>
  <c r="GP31" i="48"/>
  <c r="GQ31" i="48"/>
  <c r="FQ43" i="48"/>
  <c r="FR43" i="48"/>
  <c r="FS43" i="48"/>
  <c r="FT43" i="48"/>
  <c r="FU43" i="48"/>
  <c r="FV43" i="48"/>
  <c r="FW43" i="48"/>
  <c r="FX43" i="48"/>
  <c r="FY43" i="48"/>
  <c r="FZ43" i="48"/>
  <c r="GA43" i="48"/>
  <c r="GB43" i="48"/>
  <c r="FQ37" i="48"/>
  <c r="FR37" i="48"/>
  <c r="FS37" i="48"/>
  <c r="FT37" i="48"/>
  <c r="FU37" i="48"/>
  <c r="FV37" i="48"/>
  <c r="FW37" i="48"/>
  <c r="FX37" i="48"/>
  <c r="FY37" i="48"/>
  <c r="FZ37" i="48"/>
  <c r="GA37" i="48"/>
  <c r="GB37" i="48"/>
  <c r="FB37" i="48"/>
  <c r="FC37" i="48"/>
  <c r="FD37" i="48"/>
  <c r="FE37" i="48"/>
  <c r="FF37" i="48"/>
  <c r="FG37" i="48"/>
  <c r="FH37" i="48"/>
  <c r="FI37" i="48"/>
  <c r="FJ37" i="48"/>
  <c r="FK37" i="48"/>
  <c r="FL37" i="48"/>
  <c r="FM37" i="48"/>
  <c r="FB43" i="48"/>
  <c r="FC43" i="48"/>
  <c r="FD43" i="48"/>
  <c r="FE43" i="48"/>
  <c r="FF43" i="48"/>
  <c r="FG43" i="48"/>
  <c r="FH43" i="48"/>
  <c r="FI43" i="48"/>
  <c r="FJ43" i="48"/>
  <c r="FK43" i="48"/>
  <c r="FL43" i="48"/>
  <c r="FM43" i="48"/>
  <c r="EM43" i="48"/>
  <c r="EN43" i="48"/>
  <c r="EO43" i="48"/>
  <c r="EP43" i="48"/>
  <c r="EQ43" i="48"/>
  <c r="ER43" i="48"/>
  <c r="ES43" i="48"/>
  <c r="ET43" i="48"/>
  <c r="EU43" i="48"/>
  <c r="EV43" i="48"/>
  <c r="EW43" i="48"/>
  <c r="EX43" i="48"/>
  <c r="EM37" i="48"/>
  <c r="EN37" i="48"/>
  <c r="EO37" i="48"/>
  <c r="EP37" i="48"/>
  <c r="EQ37" i="48"/>
  <c r="ER37" i="48"/>
  <c r="ES37" i="48"/>
  <c r="ET37" i="48"/>
  <c r="EU37" i="48"/>
  <c r="EV37" i="48"/>
  <c r="EW37" i="48"/>
  <c r="EX37" i="48"/>
  <c r="FQ31" i="48"/>
  <c r="FR31" i="48"/>
  <c r="FS31" i="48"/>
  <c r="FT31" i="48"/>
  <c r="FU31" i="48"/>
  <c r="FV31" i="48"/>
  <c r="FW31" i="48"/>
  <c r="FX31" i="48"/>
  <c r="FY31" i="48"/>
  <c r="FZ31" i="48"/>
  <c r="GA31" i="48"/>
  <c r="GB31" i="48"/>
  <c r="FB31" i="48"/>
  <c r="FC31" i="48"/>
  <c r="FD31" i="48"/>
  <c r="FE31" i="48"/>
  <c r="FF31" i="48"/>
  <c r="FG31" i="48"/>
  <c r="FH31" i="48"/>
  <c r="FI31" i="48"/>
  <c r="FJ31" i="48"/>
  <c r="FK31" i="48"/>
  <c r="FL31" i="48"/>
  <c r="FM31" i="48"/>
  <c r="EM31" i="48"/>
  <c r="EN31" i="48"/>
  <c r="EO31" i="48"/>
  <c r="EP31" i="48"/>
  <c r="EQ31" i="48"/>
  <c r="ER31" i="48"/>
  <c r="ES31" i="48"/>
  <c r="ET31" i="48"/>
  <c r="EU31" i="48"/>
  <c r="EV31" i="48"/>
  <c r="EW31" i="48"/>
  <c r="EX31" i="48"/>
  <c r="L38" i="48"/>
  <c r="L37" i="48"/>
  <c r="AB207" i="48"/>
  <c r="M78" i="48"/>
  <c r="N78" i="48"/>
  <c r="P78" i="48"/>
  <c r="S78" i="48" s="1"/>
  <c r="R78" i="48"/>
  <c r="O14" i="48" l="1"/>
  <c r="O17" i="48"/>
  <c r="U14" i="48"/>
  <c r="O78" i="48"/>
  <c r="T78" i="48" s="1"/>
  <c r="O110" i="48"/>
  <c r="Q14" i="48"/>
  <c r="O15" i="48"/>
  <c r="O16" i="48"/>
  <c r="T14" i="48"/>
  <c r="O46" i="48"/>
  <c r="Q46" i="48" s="1"/>
  <c r="O112" i="48"/>
  <c r="O113" i="48"/>
  <c r="M110" i="48"/>
  <c r="N110" i="48"/>
  <c r="P110" i="48"/>
  <c r="S110" i="48" s="1"/>
  <c r="R110" i="48"/>
  <c r="M142" i="48"/>
  <c r="N142" i="48"/>
  <c r="P142" i="48"/>
  <c r="S142" i="48" s="1"/>
  <c r="R142" i="48"/>
  <c r="FN118" i="48"/>
  <c r="FO118" i="48"/>
  <c r="FP118" i="48"/>
  <c r="FQ118" i="48"/>
  <c r="FR118" i="48"/>
  <c r="FS118" i="48"/>
  <c r="FT118" i="48"/>
  <c r="FU118" i="48"/>
  <c r="FV118" i="48"/>
  <c r="FW118" i="48"/>
  <c r="FX118" i="48"/>
  <c r="FY118" i="48"/>
  <c r="FZ118" i="48"/>
  <c r="GA118" i="48"/>
  <c r="GB118" i="48"/>
  <c r="GC118" i="48"/>
  <c r="GD118" i="48"/>
  <c r="GE118" i="48"/>
  <c r="GF118" i="48"/>
  <c r="GG118" i="48"/>
  <c r="GH118" i="48"/>
  <c r="GI118" i="48"/>
  <c r="FM118" i="48"/>
  <c r="FN112" i="48"/>
  <c r="FO112" i="48"/>
  <c r="FP112" i="48"/>
  <c r="FQ112" i="48"/>
  <c r="FR112" i="48"/>
  <c r="FS112" i="48"/>
  <c r="FT112" i="48"/>
  <c r="FU112" i="48"/>
  <c r="FV112" i="48"/>
  <c r="FW112" i="48"/>
  <c r="FX112" i="48"/>
  <c r="FY112" i="48"/>
  <c r="FZ112" i="48"/>
  <c r="GA112" i="48"/>
  <c r="GB112" i="48"/>
  <c r="GC112" i="48"/>
  <c r="GD112" i="48"/>
  <c r="GE112" i="48"/>
  <c r="GF112" i="48"/>
  <c r="GG112" i="48"/>
  <c r="GH112" i="48"/>
  <c r="GI112" i="48"/>
  <c r="EO114" i="48"/>
  <c r="EN118" i="48"/>
  <c r="EO118" i="48"/>
  <c r="EP118" i="48"/>
  <c r="EQ118" i="48"/>
  <c r="ER118" i="48"/>
  <c r="ES118" i="48"/>
  <c r="ET118" i="48"/>
  <c r="EU118" i="48"/>
  <c r="EV118" i="48"/>
  <c r="EW118" i="48"/>
  <c r="EX118" i="48"/>
  <c r="EY118" i="48"/>
  <c r="EZ118" i="48"/>
  <c r="FA118" i="48"/>
  <c r="FB118" i="48"/>
  <c r="FC118" i="48"/>
  <c r="FD118" i="48"/>
  <c r="FE118" i="48"/>
  <c r="FF118" i="48"/>
  <c r="FG118" i="48"/>
  <c r="FH118" i="48"/>
  <c r="FI118" i="48"/>
  <c r="EM118" i="48"/>
  <c r="EN112" i="48"/>
  <c r="EO112" i="48"/>
  <c r="EP112" i="48"/>
  <c r="EQ112" i="48"/>
  <c r="ER112" i="48"/>
  <c r="ES112" i="48"/>
  <c r="ET112" i="48"/>
  <c r="EU112" i="48"/>
  <c r="EV112" i="48"/>
  <c r="EW112" i="48"/>
  <c r="EX112" i="48"/>
  <c r="EY112" i="48"/>
  <c r="EZ112" i="48"/>
  <c r="FA112" i="48"/>
  <c r="FB112" i="48"/>
  <c r="FC112" i="48"/>
  <c r="FD112" i="48"/>
  <c r="FE112" i="48"/>
  <c r="FF112" i="48"/>
  <c r="FG112" i="48"/>
  <c r="FH112" i="48"/>
  <c r="FI112" i="48"/>
  <c r="W155" i="48"/>
  <c r="X155" i="48"/>
  <c r="Y155" i="48"/>
  <c r="Z155" i="48"/>
  <c r="W156" i="48"/>
  <c r="X156" i="48"/>
  <c r="Y156" i="48"/>
  <c r="Z156" i="48"/>
  <c r="W157" i="48"/>
  <c r="X157" i="48"/>
  <c r="Y157" i="48"/>
  <c r="Z157" i="48"/>
  <c r="W158" i="48"/>
  <c r="X158" i="48"/>
  <c r="Y158" i="48"/>
  <c r="Z158" i="48"/>
  <c r="W159" i="48"/>
  <c r="X159" i="48"/>
  <c r="Y159" i="48"/>
  <c r="Z159" i="48"/>
  <c r="W160" i="48"/>
  <c r="X160" i="48"/>
  <c r="Y160" i="48"/>
  <c r="Z160" i="48"/>
  <c r="W161" i="48"/>
  <c r="X161" i="48"/>
  <c r="Y161" i="48"/>
  <c r="Z161" i="48"/>
  <c r="W162" i="48"/>
  <c r="X162" i="48"/>
  <c r="Y162" i="48"/>
  <c r="Z162" i="48"/>
  <c r="W163" i="48"/>
  <c r="X163" i="48"/>
  <c r="Y163" i="48"/>
  <c r="Z163" i="48"/>
  <c r="W164" i="48"/>
  <c r="X164" i="48"/>
  <c r="Y164" i="48"/>
  <c r="Z164" i="48"/>
  <c r="W165" i="48"/>
  <c r="X165" i="48"/>
  <c r="Y165" i="48"/>
  <c r="Z165" i="48"/>
  <c r="W166" i="48"/>
  <c r="X166" i="48"/>
  <c r="Y166" i="48"/>
  <c r="Z166" i="48"/>
  <c r="W167" i="48"/>
  <c r="X167" i="48"/>
  <c r="Y167" i="48"/>
  <c r="Z167" i="48"/>
  <c r="W168" i="48"/>
  <c r="X168" i="48"/>
  <c r="Y168" i="48"/>
  <c r="Z168" i="48"/>
  <c r="W169" i="48"/>
  <c r="X169" i="48"/>
  <c r="Y169" i="48"/>
  <c r="Z169" i="48"/>
  <c r="X154" i="48"/>
  <c r="M172" i="48"/>
  <c r="N172" i="48"/>
  <c r="P172" i="48"/>
  <c r="R172" i="48"/>
  <c r="EM141" i="48"/>
  <c r="EM140" i="48"/>
  <c r="M264" i="48"/>
  <c r="N264" i="48"/>
  <c r="P264" i="48"/>
  <c r="S264" i="48" s="1"/>
  <c r="R264" i="48"/>
  <c r="M233" i="48"/>
  <c r="N233" i="48"/>
  <c r="P233" i="48"/>
  <c r="S233" i="48" s="1"/>
  <c r="R233" i="48"/>
  <c r="U142" i="48" l="1"/>
  <c r="U46" i="48"/>
  <c r="T46" i="48"/>
  <c r="U78" i="48"/>
  <c r="Q78" i="48"/>
  <c r="Q233" i="48"/>
  <c r="U110" i="48"/>
  <c r="T110" i="48"/>
  <c r="Q264" i="48"/>
  <c r="O172" i="48"/>
  <c r="U172" i="48" s="1"/>
  <c r="S172" i="48"/>
  <c r="AJ21" i="48"/>
  <c r="Q142" i="48" l="1"/>
  <c r="T142" i="48"/>
  <c r="U264" i="48"/>
  <c r="U233" i="48"/>
  <c r="T233" i="48"/>
  <c r="Q110" i="48"/>
  <c r="T264" i="48"/>
  <c r="T172" i="48"/>
  <c r="Q172" i="48"/>
  <c r="L71" i="48" l="1"/>
  <c r="L72" i="48" s="1"/>
  <c r="L39" i="48"/>
  <c r="W22" i="47"/>
  <c r="M100" i="47"/>
  <c r="N100" i="47"/>
  <c r="P100" i="47"/>
  <c r="M73" i="47"/>
  <c r="N73" i="47"/>
  <c r="P73" i="47"/>
  <c r="S73" i="47" s="1"/>
  <c r="R73" i="47"/>
  <c r="M151" i="46"/>
  <c r="N151" i="46"/>
  <c r="P151" i="46"/>
  <c r="R151" i="46"/>
  <c r="M123" i="46"/>
  <c r="N123" i="46"/>
  <c r="P123" i="46"/>
  <c r="S123" i="46" s="1"/>
  <c r="R123" i="46"/>
  <c r="M110" i="46"/>
  <c r="N110" i="46"/>
  <c r="P110" i="46"/>
  <c r="S110" i="46" s="1"/>
  <c r="R110" i="46"/>
  <c r="M88" i="46"/>
  <c r="N88" i="46"/>
  <c r="P88" i="46"/>
  <c r="S88" i="46" s="1"/>
  <c r="R88" i="46"/>
  <c r="R66" i="46"/>
  <c r="M66" i="46"/>
  <c r="N66" i="46"/>
  <c r="P66" i="46"/>
  <c r="R43" i="46"/>
  <c r="R21" i="46"/>
  <c r="L133" i="46"/>
  <c r="L138" i="46"/>
  <c r="L137" i="46"/>
  <c r="L136" i="46"/>
  <c r="L135" i="46"/>
  <c r="L134" i="46"/>
  <c r="Y134" i="46" l="1"/>
  <c r="Y136" i="46"/>
  <c r="Y126" i="46"/>
  <c r="Y130" i="46"/>
  <c r="Y140" i="46"/>
  <c r="Y127" i="46"/>
  <c r="Y129" i="46"/>
  <c r="Y131" i="46"/>
  <c r="Y133" i="46"/>
  <c r="Y135" i="46"/>
  <c r="Y137" i="46"/>
  <c r="Y139" i="46"/>
  <c r="Y141" i="46"/>
  <c r="Y132" i="46"/>
  <c r="Y138" i="46"/>
  <c r="Y128" i="46"/>
  <c r="AA126" i="46"/>
  <c r="AA136" i="46"/>
  <c r="AA129" i="46"/>
  <c r="AA135" i="46"/>
  <c r="AA132" i="46"/>
  <c r="AA140" i="46"/>
  <c r="AA133" i="46"/>
  <c r="AA139" i="46"/>
  <c r="AA134" i="46"/>
  <c r="AA131" i="46"/>
  <c r="AA137" i="46"/>
  <c r="AA141" i="46"/>
  <c r="AA130" i="46"/>
  <c r="AA138" i="46"/>
  <c r="AA127" i="46"/>
  <c r="AA128" i="46"/>
  <c r="Z136" i="46"/>
  <c r="Z126" i="46"/>
  <c r="Z131" i="46"/>
  <c r="Z135" i="46"/>
  <c r="Z137" i="46"/>
  <c r="Z132" i="46"/>
  <c r="Z129" i="46"/>
  <c r="Z141" i="46"/>
  <c r="Z134" i="46"/>
  <c r="Z140" i="46"/>
  <c r="Z133" i="46"/>
  <c r="Z139" i="46"/>
  <c r="Z130" i="46"/>
  <c r="Z138" i="46"/>
  <c r="Z127" i="46"/>
  <c r="Z128" i="46"/>
  <c r="AB128" i="46"/>
  <c r="AB130" i="46"/>
  <c r="AB132" i="46"/>
  <c r="AB134" i="46"/>
  <c r="AB136" i="46"/>
  <c r="AB138" i="46"/>
  <c r="AB140" i="46"/>
  <c r="AB133" i="46"/>
  <c r="AB141" i="46"/>
  <c r="AB126" i="46"/>
  <c r="AB131" i="46"/>
  <c r="AB137" i="46"/>
  <c r="AB129" i="46"/>
  <c r="AB135" i="46"/>
  <c r="AB139" i="46"/>
  <c r="AB127" i="46"/>
  <c r="AC141" i="46"/>
  <c r="AC128" i="46"/>
  <c r="AC130" i="46"/>
  <c r="AC132" i="46"/>
  <c r="AC134" i="46"/>
  <c r="AC136" i="46"/>
  <c r="AC138" i="46"/>
  <c r="AC140" i="46"/>
  <c r="AC131" i="46"/>
  <c r="AC135" i="46"/>
  <c r="AC126" i="46"/>
  <c r="AC133" i="46"/>
  <c r="AC139" i="46"/>
  <c r="AC129" i="46"/>
  <c r="AC137" i="46"/>
  <c r="AC127" i="46"/>
  <c r="AD137" i="46"/>
  <c r="AD126" i="46"/>
  <c r="AD133" i="46"/>
  <c r="AD139" i="46"/>
  <c r="AD128" i="46"/>
  <c r="AD130" i="46"/>
  <c r="AD132" i="46"/>
  <c r="AD134" i="46"/>
  <c r="AD136" i="46"/>
  <c r="AD138" i="46"/>
  <c r="AD140" i="46"/>
  <c r="AD131" i="46"/>
  <c r="AD129" i="46"/>
  <c r="AD135" i="46"/>
  <c r="AD141" i="46"/>
  <c r="AD127" i="46"/>
  <c r="S100" i="47"/>
  <c r="S151" i="46"/>
  <c r="S66" i="46"/>
  <c r="O139" i="46"/>
  <c r="S43" i="46"/>
  <c r="S21" i="46"/>
  <c r="L97" i="46"/>
  <c r="L96" i="46"/>
  <c r="L95" i="46"/>
  <c r="L94" i="46"/>
  <c r="L93" i="46"/>
  <c r="L92" i="46"/>
  <c r="L75" i="46"/>
  <c r="L74" i="46"/>
  <c r="L73" i="46"/>
  <c r="L72" i="46"/>
  <c r="L71" i="46"/>
  <c r="L70" i="46"/>
  <c r="L53" i="46"/>
  <c r="L52" i="46"/>
  <c r="L51" i="46"/>
  <c r="L50" i="46"/>
  <c r="L49" i="46"/>
  <c r="L48" i="46"/>
  <c r="Z68" i="46" l="1"/>
  <c r="Z66" i="46"/>
  <c r="Z76" i="46"/>
  <c r="Z72" i="46"/>
  <c r="Z67" i="46"/>
  <c r="Z69" i="46"/>
  <c r="Z71" i="46"/>
  <c r="Z73" i="46"/>
  <c r="Z75" i="46"/>
  <c r="Z77" i="46"/>
  <c r="Z79" i="46"/>
  <c r="Z81" i="46"/>
  <c r="Z74" i="46"/>
  <c r="Z70" i="46"/>
  <c r="Z78" i="46"/>
  <c r="Z80" i="46"/>
  <c r="AC68" i="46"/>
  <c r="AC70" i="46"/>
  <c r="AC72" i="46"/>
  <c r="AC74" i="46"/>
  <c r="AC76" i="46"/>
  <c r="AC78" i="46"/>
  <c r="AC80" i="46"/>
  <c r="AC81" i="46"/>
  <c r="AC66" i="46"/>
  <c r="AC67" i="46"/>
  <c r="AC69" i="46"/>
  <c r="AC71" i="46"/>
  <c r="AC73" i="46"/>
  <c r="AC75" i="46"/>
  <c r="AC77" i="46"/>
  <c r="AC79" i="46"/>
  <c r="AB68" i="46"/>
  <c r="AB70" i="46"/>
  <c r="AB72" i="46"/>
  <c r="AB74" i="46"/>
  <c r="AB76" i="46"/>
  <c r="AB78" i="46"/>
  <c r="AB80" i="46"/>
  <c r="AB67" i="46"/>
  <c r="AB69" i="46"/>
  <c r="AB71" i="46"/>
  <c r="AB73" i="46"/>
  <c r="AB75" i="46"/>
  <c r="AB77" i="46"/>
  <c r="AB79" i="46"/>
  <c r="AB81" i="46"/>
  <c r="AB66" i="46"/>
  <c r="AD79" i="46"/>
  <c r="AD81" i="46"/>
  <c r="AD68" i="46"/>
  <c r="AD70" i="46"/>
  <c r="AD72" i="46"/>
  <c r="AD74" i="46"/>
  <c r="AD76" i="46"/>
  <c r="AD78" i="46"/>
  <c r="AD80" i="46"/>
  <c r="AD66" i="46"/>
  <c r="AD67" i="46"/>
  <c r="AD69" i="46"/>
  <c r="AD71" i="46"/>
  <c r="AD73" i="46"/>
  <c r="AD75" i="46"/>
  <c r="AD77" i="46"/>
  <c r="AA66" i="46"/>
  <c r="AA67" i="46"/>
  <c r="AA69" i="46"/>
  <c r="AA71" i="46"/>
  <c r="AA73" i="46"/>
  <c r="AA75" i="46"/>
  <c r="AA77" i="46"/>
  <c r="AA79" i="46"/>
  <c r="AA81" i="46"/>
  <c r="AA68" i="46"/>
  <c r="AA70" i="46"/>
  <c r="AA72" i="46"/>
  <c r="AA74" i="46"/>
  <c r="AA76" i="46"/>
  <c r="AA78" i="46"/>
  <c r="AA80" i="46"/>
  <c r="Y66" i="46"/>
  <c r="Y67" i="46"/>
  <c r="Y69" i="46"/>
  <c r="Y71" i="46"/>
  <c r="Y73" i="46"/>
  <c r="Y75" i="46"/>
  <c r="Y77" i="46"/>
  <c r="Y79" i="46"/>
  <c r="Y81" i="46"/>
  <c r="Y68" i="46"/>
  <c r="Y70" i="46"/>
  <c r="Y72" i="46"/>
  <c r="Y74" i="46"/>
  <c r="Y76" i="46"/>
  <c r="Y78" i="46"/>
  <c r="Y80" i="46"/>
  <c r="O138" i="46"/>
  <c r="O142" i="46"/>
  <c r="O98" i="46"/>
  <c r="O101" i="46" l="1"/>
  <c r="O99" i="46"/>
  <c r="O9" i="46"/>
  <c r="O11" i="46" s="1"/>
  <c r="O75" i="46"/>
  <c r="O70" i="46"/>
  <c r="O73" i="46"/>
  <c r="O71" i="46"/>
  <c r="O74" i="46"/>
  <c r="O72" i="46"/>
  <c r="O10" i="46" l="1"/>
  <c r="O12" i="46"/>
  <c r="U12" i="46" s="1"/>
  <c r="O7" i="46"/>
  <c r="L31" i="46"/>
  <c r="L28" i="46"/>
  <c r="L27" i="46"/>
  <c r="L26" i="46"/>
  <c r="L29" i="46"/>
  <c r="AA23" i="46" l="1"/>
  <c r="AA31" i="46"/>
  <c r="AA29" i="46"/>
  <c r="AA35" i="46"/>
  <c r="AA27" i="46"/>
  <c r="AA24" i="46"/>
  <c r="AA26" i="46"/>
  <c r="AA28" i="46"/>
  <c r="AA30" i="46"/>
  <c r="AA32" i="46"/>
  <c r="AA34" i="46"/>
  <c r="AA36" i="46"/>
  <c r="AA38" i="46"/>
  <c r="AA25" i="46"/>
  <c r="AA33" i="46"/>
  <c r="AA37" i="46"/>
  <c r="AD25" i="46"/>
  <c r="AD27" i="46"/>
  <c r="AD29" i="46"/>
  <c r="AD31" i="46"/>
  <c r="AD33" i="46"/>
  <c r="AD35" i="46"/>
  <c r="AD37" i="46"/>
  <c r="AD38" i="46"/>
  <c r="AD36" i="46"/>
  <c r="AD24" i="46"/>
  <c r="AD26" i="46"/>
  <c r="AD28" i="46"/>
  <c r="AD30" i="46"/>
  <c r="AD32" i="46"/>
  <c r="AD34" i="46"/>
  <c r="AD23" i="46"/>
  <c r="AB25" i="46"/>
  <c r="AB27" i="46"/>
  <c r="AB29" i="46"/>
  <c r="AB31" i="46"/>
  <c r="AB33" i="46"/>
  <c r="AB35" i="46"/>
  <c r="AB37" i="46"/>
  <c r="AB24" i="46"/>
  <c r="AB26" i="46"/>
  <c r="AB28" i="46"/>
  <c r="AB30" i="46"/>
  <c r="AB32" i="46"/>
  <c r="AB34" i="46"/>
  <c r="AB36" i="46"/>
  <c r="AB38" i="46"/>
  <c r="AB23" i="46"/>
  <c r="AC25" i="46"/>
  <c r="AC27" i="46"/>
  <c r="AC29" i="46"/>
  <c r="AC31" i="46"/>
  <c r="AC33" i="46"/>
  <c r="AC35" i="46"/>
  <c r="AC37" i="46"/>
  <c r="AC36" i="46"/>
  <c r="AC32" i="46"/>
  <c r="AC38" i="46"/>
  <c r="AC24" i="46"/>
  <c r="AC26" i="46"/>
  <c r="AC28" i="46"/>
  <c r="AC30" i="46"/>
  <c r="AC34" i="46"/>
  <c r="AC23" i="46"/>
  <c r="M31" i="46"/>
  <c r="N31" i="46"/>
  <c r="P31" i="46"/>
  <c r="S31" i="46" s="1"/>
  <c r="U31" i="46"/>
  <c r="M26" i="46"/>
  <c r="N26" i="46"/>
  <c r="P26" i="46"/>
  <c r="M29" i="46"/>
  <c r="N29" i="46"/>
  <c r="P29" i="46"/>
  <c r="M27" i="46"/>
  <c r="P27" i="46"/>
  <c r="N27" i="46"/>
  <c r="N28" i="46"/>
  <c r="M28" i="46"/>
  <c r="P28" i="46"/>
  <c r="O4" i="46" l="1"/>
  <c r="U4" i="46" s="1"/>
  <c r="O3" i="46"/>
  <c r="U3" i="46" s="1"/>
  <c r="O6" i="46"/>
  <c r="U6" i="46" s="1"/>
  <c r="O5" i="46"/>
  <c r="U5" i="46"/>
  <c r="AP194" i="48"/>
  <c r="AB181" i="48"/>
  <c r="AB182" i="48"/>
  <c r="AB183" i="48"/>
  <c r="AB184" i="48"/>
  <c r="AB185" i="48"/>
  <c r="AB186" i="48"/>
  <c r="AB187" i="48"/>
  <c r="AB188" i="48"/>
  <c r="AB189" i="48"/>
  <c r="AB190" i="48"/>
  <c r="AB191" i="48"/>
  <c r="AB192" i="48"/>
  <c r="AB193" i="48"/>
  <c r="AB194" i="48"/>
  <c r="AB195" i="48"/>
  <c r="AB180" i="48"/>
  <c r="AK193" i="48"/>
  <c r="EN140" i="48"/>
  <c r="EW140" i="48"/>
  <c r="EU140" i="48"/>
  <c r="P278" i="48" l="1"/>
  <c r="S278" i="48" s="1"/>
  <c r="R278" i="48"/>
  <c r="M278" i="48"/>
  <c r="N278" i="48"/>
  <c r="O278" i="48"/>
  <c r="U278" i="48" s="1"/>
  <c r="P249" i="48"/>
  <c r="S249" i="48" s="1"/>
  <c r="R249" i="48"/>
  <c r="M249" i="48"/>
  <c r="N249" i="48"/>
  <c r="O249" i="48"/>
  <c r="U249" i="48" s="1"/>
  <c r="O247" i="48"/>
  <c r="U247" i="48" s="1"/>
  <c r="M247" i="48"/>
  <c r="N247" i="48"/>
  <c r="P247" i="48"/>
  <c r="S247" i="48" s="1"/>
  <c r="R247" i="48"/>
  <c r="R228" i="48"/>
  <c r="R224" i="48"/>
  <c r="R225" i="48"/>
  <c r="E230" i="48"/>
  <c r="T247" i="48" l="1"/>
  <c r="Q278" i="48"/>
  <c r="Q249" i="48"/>
  <c r="P228" i="48"/>
  <c r="S228" i="48" s="1"/>
  <c r="N228" i="48"/>
  <c r="T278" i="48"/>
  <c r="T249" i="48"/>
  <c r="Q247" i="48"/>
  <c r="M228" i="48"/>
  <c r="P225" i="48"/>
  <c r="S225" i="48" s="1"/>
  <c r="N225" i="48"/>
  <c r="M225" i="48"/>
  <c r="P224" i="48"/>
  <c r="S224" i="48" s="1"/>
  <c r="N224" i="48"/>
  <c r="M224" i="48"/>
  <c r="O186" i="48"/>
  <c r="M186" i="48"/>
  <c r="N186" i="48"/>
  <c r="P186" i="48"/>
  <c r="S186" i="48" s="1"/>
  <c r="R186" i="48"/>
  <c r="Q186" i="48" l="1"/>
  <c r="U186" i="48"/>
  <c r="T186" i="48"/>
  <c r="O156" i="48"/>
  <c r="U156" i="48" s="1"/>
  <c r="M156" i="48"/>
  <c r="N156" i="48"/>
  <c r="P156" i="48"/>
  <c r="S156" i="48" s="1"/>
  <c r="R156" i="48"/>
  <c r="Q156" i="48" l="1"/>
  <c r="T156" i="48"/>
  <c r="E173" i="48" l="1"/>
  <c r="L188" i="48" l="1"/>
  <c r="AO164" i="48"/>
  <c r="AO165" i="48"/>
  <c r="AO166" i="48"/>
  <c r="AO152" i="48"/>
  <c r="AA152" i="48" s="1"/>
  <c r="AO160" i="48"/>
  <c r="AA160" i="48" s="1"/>
  <c r="AO153" i="48"/>
  <c r="AA153" i="48" s="1"/>
  <c r="AO159" i="48"/>
  <c r="AA159" i="48" s="1"/>
  <c r="AO154" i="48"/>
  <c r="AA154" i="48" s="1"/>
  <c r="AO158" i="48"/>
  <c r="AA158" i="48" s="1"/>
  <c r="AO162" i="48"/>
  <c r="AA162" i="48" s="1"/>
  <c r="AO155" i="48"/>
  <c r="AA155" i="48" s="1"/>
  <c r="AO167" i="48"/>
  <c r="AO161" i="48"/>
  <c r="AO156" i="48"/>
  <c r="AA156" i="48" s="1"/>
  <c r="AB152" i="48"/>
  <c r="AO163" i="48"/>
  <c r="AA163" i="48" s="1"/>
  <c r="AO157" i="48"/>
  <c r="AA157" i="48" s="1"/>
  <c r="AB167" i="48"/>
  <c r="AB164" i="48"/>
  <c r="AB165" i="48"/>
  <c r="AB154" i="48"/>
  <c r="AB166" i="48"/>
  <c r="AB155" i="48"/>
  <c r="AB156" i="48"/>
  <c r="AB157" i="48"/>
  <c r="AB160" i="48"/>
  <c r="AB162" i="48"/>
  <c r="AB153" i="48"/>
  <c r="AB158" i="48"/>
  <c r="AB163" i="48"/>
  <c r="AB159" i="48"/>
  <c r="AB161" i="48"/>
  <c r="L169" i="48"/>
  <c r="AA161" i="48"/>
  <c r="AA164" i="48"/>
  <c r="AA165" i="48"/>
  <c r="AA166" i="48"/>
  <c r="AA167" i="48"/>
  <c r="E140" i="48"/>
  <c r="L134" i="48"/>
  <c r="O169" i="48" l="1"/>
  <c r="O165" i="48"/>
  <c r="AO122" i="48"/>
  <c r="AA122" i="48" s="1"/>
  <c r="AO131" i="48"/>
  <c r="AB128" i="48"/>
  <c r="AB123" i="48"/>
  <c r="AO132" i="48"/>
  <c r="AB129" i="48"/>
  <c r="AB122" i="48"/>
  <c r="AO133" i="48"/>
  <c r="AA133" i="48" s="1"/>
  <c r="AB130" i="48"/>
  <c r="AO136" i="48"/>
  <c r="AA136" i="48" s="1"/>
  <c r="AO134" i="48"/>
  <c r="AA134" i="48" s="1"/>
  <c r="AB131" i="48"/>
  <c r="AO123" i="48"/>
  <c r="AA123" i="48" s="1"/>
  <c r="AO135" i="48"/>
  <c r="AA135" i="48" s="1"/>
  <c r="AB132" i="48"/>
  <c r="AO124" i="48"/>
  <c r="AA124" i="48" s="1"/>
  <c r="AO137" i="48"/>
  <c r="AA137" i="48" s="1"/>
  <c r="AB133" i="48"/>
  <c r="AO125" i="48"/>
  <c r="AA125" i="48" s="1"/>
  <c r="AB136" i="48"/>
  <c r="AB134" i="48"/>
  <c r="AO130" i="48"/>
  <c r="AA130" i="48" s="1"/>
  <c r="AO126" i="48"/>
  <c r="AA126" i="48" s="1"/>
  <c r="AB135" i="48"/>
  <c r="AB137" i="48"/>
  <c r="AB127" i="48"/>
  <c r="AO127" i="48"/>
  <c r="AA127" i="48" s="1"/>
  <c r="AB124" i="48"/>
  <c r="AO128" i="48"/>
  <c r="AA128" i="48" s="1"/>
  <c r="AB125" i="48"/>
  <c r="AO129" i="48"/>
  <c r="AA129" i="48" s="1"/>
  <c r="AB126" i="48"/>
  <c r="L140" i="48"/>
  <c r="L158" i="48"/>
  <c r="AA131" i="48"/>
  <c r="AA132" i="48"/>
  <c r="R135" i="48"/>
  <c r="R136" i="48"/>
  <c r="N135" i="48"/>
  <c r="L133" i="48"/>
  <c r="M135" i="48" l="1"/>
  <c r="P135" i="48"/>
  <c r="S135" i="48" s="1"/>
  <c r="L97" i="48"/>
  <c r="O124" i="48"/>
  <c r="U124" i="48" s="1"/>
  <c r="M124" i="48"/>
  <c r="N124" i="48"/>
  <c r="P124" i="48"/>
  <c r="S124" i="48" s="1"/>
  <c r="R124" i="48"/>
  <c r="R106" i="48"/>
  <c r="E109" i="48"/>
  <c r="E76" i="48"/>
  <c r="L76" i="48" s="1"/>
  <c r="P75" i="48"/>
  <c r="S75" i="48" s="1"/>
  <c r="R75" i="48"/>
  <c r="M75" i="48"/>
  <c r="N75" i="48"/>
  <c r="E44" i="48"/>
  <c r="L62" i="48" s="1"/>
  <c r="O92" i="48"/>
  <c r="U92" i="48" s="1"/>
  <c r="R92" i="48"/>
  <c r="P92" i="48"/>
  <c r="S92" i="48" s="1"/>
  <c r="N92" i="48"/>
  <c r="M92" i="48"/>
  <c r="R71" i="48"/>
  <c r="R72" i="48"/>
  <c r="L69" i="48"/>
  <c r="AO105" i="48" l="1"/>
  <c r="AO106" i="48"/>
  <c r="AA106" i="48" s="1"/>
  <c r="AO95" i="48"/>
  <c r="AA95" i="48" s="1"/>
  <c r="AO107" i="48"/>
  <c r="AO96" i="48"/>
  <c r="AO108" i="48"/>
  <c r="AA108" i="48" s="1"/>
  <c r="AO97" i="48"/>
  <c r="AA97" i="48" s="1"/>
  <c r="AO109" i="48"/>
  <c r="AA109" i="48" s="1"/>
  <c r="AO104" i="48"/>
  <c r="AA104" i="48" s="1"/>
  <c r="AO98" i="48"/>
  <c r="AA98" i="48" s="1"/>
  <c r="AO94" i="48"/>
  <c r="AA94" i="48" s="1"/>
  <c r="AB94" i="48"/>
  <c r="AO99" i="48"/>
  <c r="AA99" i="48" s="1"/>
  <c r="AO100" i="48"/>
  <c r="AA100" i="48" s="1"/>
  <c r="AO101" i="48"/>
  <c r="AB96" i="48"/>
  <c r="AO102" i="48"/>
  <c r="AA102" i="48" s="1"/>
  <c r="AB95" i="48"/>
  <c r="AO103" i="48"/>
  <c r="AA103" i="48" s="1"/>
  <c r="L44" i="48"/>
  <c r="L94" i="48"/>
  <c r="L108" i="48"/>
  <c r="L126" i="48"/>
  <c r="T124" i="48"/>
  <c r="AB107" i="48"/>
  <c r="AB108" i="48"/>
  <c r="AA107" i="48"/>
  <c r="AB100" i="48"/>
  <c r="AA96" i="48"/>
  <c r="AB101" i="48"/>
  <c r="AB103" i="48"/>
  <c r="AB104" i="48"/>
  <c r="AB97" i="48"/>
  <c r="AB102" i="48"/>
  <c r="AB105" i="48"/>
  <c r="AB98" i="48"/>
  <c r="AA101" i="48"/>
  <c r="AB106" i="48"/>
  <c r="AB109" i="48"/>
  <c r="AA105" i="48"/>
  <c r="AB99" i="48"/>
  <c r="BG69" i="48"/>
  <c r="AA69" i="48" s="1"/>
  <c r="AB70" i="48"/>
  <c r="BG70" i="48"/>
  <c r="AA70" i="48" s="1"/>
  <c r="AB71" i="48"/>
  <c r="BG71" i="48"/>
  <c r="AA71" i="48" s="1"/>
  <c r="AB72" i="48"/>
  <c r="BG67" i="48"/>
  <c r="AA67" i="48" s="1"/>
  <c r="AB69" i="48"/>
  <c r="BG72" i="48"/>
  <c r="AA72" i="48" s="1"/>
  <c r="AB73" i="48"/>
  <c r="BG73" i="48"/>
  <c r="AA73" i="48" s="1"/>
  <c r="AB74" i="48"/>
  <c r="BG75" i="48"/>
  <c r="AA75" i="48" s="1"/>
  <c r="AB76" i="48"/>
  <c r="AB77" i="48"/>
  <c r="BG74" i="48"/>
  <c r="AB75" i="48"/>
  <c r="AB64" i="48"/>
  <c r="BG76" i="48"/>
  <c r="AA76" i="48" s="1"/>
  <c r="AB65" i="48"/>
  <c r="BG68" i="48"/>
  <c r="AA68" i="48" s="1"/>
  <c r="BG64" i="48"/>
  <c r="AA64" i="48" s="1"/>
  <c r="AB68" i="48"/>
  <c r="BG65" i="48"/>
  <c r="AA65" i="48" s="1"/>
  <c r="BG77" i="48"/>
  <c r="AA77" i="48" s="1"/>
  <c r="AB66" i="48"/>
  <c r="AB78" i="48"/>
  <c r="BG66" i="48"/>
  <c r="AA66" i="48" s="1"/>
  <c r="BG78" i="48"/>
  <c r="AA78" i="48" s="1"/>
  <c r="AB67" i="48"/>
  <c r="AB63" i="48"/>
  <c r="BG63" i="48"/>
  <c r="AA63" i="48" s="1"/>
  <c r="BG35" i="48"/>
  <c r="AB41" i="48"/>
  <c r="BG36" i="48"/>
  <c r="BG37" i="48"/>
  <c r="BG38" i="48"/>
  <c r="BG39" i="48"/>
  <c r="BG40" i="48"/>
  <c r="AB34" i="48"/>
  <c r="AB46" i="48"/>
  <c r="AB44" i="48"/>
  <c r="AB33" i="48"/>
  <c r="BG41" i="48"/>
  <c r="AB35" i="48"/>
  <c r="AB47" i="48"/>
  <c r="BG32" i="48"/>
  <c r="AB43" i="48"/>
  <c r="BG45" i="48"/>
  <c r="BG42" i="48"/>
  <c r="AB36" i="48"/>
  <c r="AB48" i="48"/>
  <c r="BG31" i="48"/>
  <c r="BG43" i="48"/>
  <c r="AB37" i="48"/>
  <c r="BG44" i="48"/>
  <c r="AB38" i="48"/>
  <c r="AB45" i="48"/>
  <c r="BG33" i="48"/>
  <c r="BG30" i="48"/>
  <c r="AB39" i="48"/>
  <c r="BG34" i="48"/>
  <c r="AB40" i="48"/>
  <c r="AB42" i="48"/>
  <c r="P71" i="48"/>
  <c r="S71" i="48" s="1"/>
  <c r="AA74" i="48"/>
  <c r="M136" i="48"/>
  <c r="N136" i="48"/>
  <c r="P136" i="48"/>
  <c r="S136" i="48" s="1"/>
  <c r="N71" i="48"/>
  <c r="M71" i="48"/>
  <c r="Q124" i="48"/>
  <c r="P72" i="48"/>
  <c r="S72" i="48" s="1"/>
  <c r="T92" i="48"/>
  <c r="Q92" i="48"/>
  <c r="O108" i="48" l="1"/>
  <c r="O101" i="48"/>
  <c r="O69" i="48"/>
  <c r="O70" i="48" s="1"/>
  <c r="O71" i="48" s="1"/>
  <c r="O72" i="48" s="1"/>
  <c r="O37" i="48"/>
  <c r="O76" i="48"/>
  <c r="N72" i="48"/>
  <c r="M72" i="48"/>
  <c r="O41" i="48" l="1"/>
  <c r="O74" i="48"/>
  <c r="O77" i="48"/>
  <c r="O75" i="48"/>
  <c r="T75" i="48" s="1"/>
  <c r="U75" i="48"/>
  <c r="AF207" i="48"/>
  <c r="AF208" i="48"/>
  <c r="AF209" i="48"/>
  <c r="AF210" i="48"/>
  <c r="AF211" i="48"/>
  <c r="AF212" i="48"/>
  <c r="AF213" i="48"/>
  <c r="AF214" i="48"/>
  <c r="AF215" i="48"/>
  <c r="AF216" i="48"/>
  <c r="AF217" i="48"/>
  <c r="AF218" i="48"/>
  <c r="AF219" i="48"/>
  <c r="AF220" i="48"/>
  <c r="AF221" i="48"/>
  <c r="AF222" i="48"/>
  <c r="R43" i="48"/>
  <c r="O60" i="48"/>
  <c r="U60" i="48" s="1"/>
  <c r="M39" i="48"/>
  <c r="N39" i="48"/>
  <c r="P39" i="48"/>
  <c r="S39" i="48" s="1"/>
  <c r="R40" i="48"/>
  <c r="L40" i="48"/>
  <c r="M40" i="48" s="1"/>
  <c r="P60" i="48"/>
  <c r="S60" i="48" s="1"/>
  <c r="M60" i="48"/>
  <c r="R60" i="48"/>
  <c r="N60" i="48"/>
  <c r="AA34" i="48"/>
  <c r="AA38" i="48"/>
  <c r="AA40" i="48"/>
  <c r="AA41" i="48"/>
  <c r="AA42" i="48"/>
  <c r="R8" i="48"/>
  <c r="L4" i="48"/>
  <c r="Q75" i="48" l="1"/>
  <c r="AA33" i="48"/>
  <c r="AA48" i="48"/>
  <c r="AA47" i="48"/>
  <c r="AA45" i="48"/>
  <c r="AA44" i="48"/>
  <c r="AA43" i="48"/>
  <c r="P40" i="48"/>
  <c r="S40" i="48" s="1"/>
  <c r="N40" i="48"/>
  <c r="T60" i="48"/>
  <c r="Q60" i="48"/>
  <c r="AA39" i="48"/>
  <c r="AA36" i="48"/>
  <c r="AA35" i="48"/>
  <c r="AA46" i="48"/>
  <c r="AA37" i="48"/>
  <c r="O44" i="48" l="1"/>
  <c r="M8" i="48"/>
  <c r="N8" i="48"/>
  <c r="P8" i="48"/>
  <c r="S8" i="48" s="1"/>
  <c r="O28" i="48"/>
  <c r="M28" i="48"/>
  <c r="N28" i="48"/>
  <c r="P28" i="48"/>
  <c r="S28" i="48" s="1"/>
  <c r="R28" i="48"/>
  <c r="Q28" i="48" l="1"/>
  <c r="U28" i="48"/>
  <c r="T28" i="48"/>
  <c r="AA207" i="48" l="1"/>
  <c r="E13" i="48"/>
  <c r="L12" i="48" s="1"/>
  <c r="R7" i="48"/>
  <c r="BG2" i="48" l="1"/>
  <c r="AA2" i="48" s="1"/>
  <c r="AB2" i="48"/>
  <c r="L30" i="48"/>
  <c r="BG16" i="48"/>
  <c r="BG6" i="48"/>
  <c r="AB7" i="48"/>
  <c r="AB5" i="48"/>
  <c r="AB6" i="48"/>
  <c r="BG8" i="48"/>
  <c r="AA8" i="48" s="1"/>
  <c r="BG9" i="48"/>
  <c r="AA9" i="48" s="1"/>
  <c r="AB8" i="48"/>
  <c r="AB9" i="48"/>
  <c r="AB10" i="48"/>
  <c r="BG10" i="48"/>
  <c r="AA10" i="48" s="1"/>
  <c r="BG11" i="48"/>
  <c r="AA11" i="48" s="1"/>
  <c r="BG7" i="48"/>
  <c r="AA7" i="48" s="1"/>
  <c r="BG12" i="48"/>
  <c r="AA12" i="48" s="1"/>
  <c r="AB11" i="48"/>
  <c r="BG13" i="48"/>
  <c r="AA13" i="48" s="1"/>
  <c r="AB12" i="48"/>
  <c r="BG14" i="48"/>
  <c r="AA14" i="48" s="1"/>
  <c r="AB13" i="48"/>
  <c r="AB3" i="48"/>
  <c r="BG17" i="48"/>
  <c r="AA17" i="48" s="1"/>
  <c r="AB4" i="48"/>
  <c r="BG3" i="48"/>
  <c r="AA3" i="48" s="1"/>
  <c r="BG15" i="48"/>
  <c r="AA15" i="48" s="1"/>
  <c r="AB14" i="48"/>
  <c r="BG4" i="48"/>
  <c r="AA4" i="48" s="1"/>
  <c r="AB15" i="48"/>
  <c r="BG5" i="48"/>
  <c r="AA5" i="48" s="1"/>
  <c r="AB16" i="48"/>
  <c r="AB17" i="48"/>
  <c r="AA16" i="48"/>
  <c r="AA6" i="48"/>
  <c r="AJ27" i="48" l="1"/>
  <c r="O5" i="48"/>
  <c r="O12" i="48"/>
  <c r="N7" i="48"/>
  <c r="M7" i="48"/>
  <c r="P7" i="48"/>
  <c r="O6" i="48" l="1"/>
  <c r="O4" i="48" s="1"/>
  <c r="S7" i="48"/>
  <c r="O3" i="48" l="1"/>
  <c r="O27" i="48" s="1"/>
  <c r="U99" i="47"/>
  <c r="M99" i="47"/>
  <c r="N99" i="47"/>
  <c r="P99" i="47"/>
  <c r="N71" i="47"/>
  <c r="R71" i="47"/>
  <c r="M72" i="47"/>
  <c r="N72" i="47"/>
  <c r="P72" i="47"/>
  <c r="S72" i="47" s="1"/>
  <c r="R72" i="47"/>
  <c r="N43" i="47"/>
  <c r="M44" i="47"/>
  <c r="N44" i="47"/>
  <c r="P44" i="47"/>
  <c r="N19" i="47"/>
  <c r="M20" i="47"/>
  <c r="R19" i="47"/>
  <c r="N20" i="47"/>
  <c r="P20" i="47"/>
  <c r="S20" i="47" s="1"/>
  <c r="R20" i="47"/>
  <c r="AD41" i="47"/>
  <c r="S99" i="47" l="1"/>
  <c r="T99" i="47" s="1"/>
  <c r="Q99" i="47"/>
  <c r="M71" i="47"/>
  <c r="P71" i="47"/>
  <c r="S71" i="47" s="1"/>
  <c r="T72" i="47"/>
  <c r="Q72" i="47"/>
  <c r="U72" i="47"/>
  <c r="P43" i="47"/>
  <c r="S43" i="47" s="1"/>
  <c r="M43" i="47"/>
  <c r="S44" i="47"/>
  <c r="M19" i="47"/>
  <c r="P19" i="47"/>
  <c r="S19" i="47" s="1"/>
  <c r="BU17" i="46"/>
  <c r="BU16" i="46"/>
  <c r="BU15" i="46"/>
  <c r="AU21" i="46"/>
  <c r="AY21" i="46" s="1"/>
  <c r="AX20" i="46"/>
  <c r="AY20" i="46"/>
  <c r="AV20" i="46"/>
  <c r="AY19" i="46"/>
  <c r="AX19" i="46"/>
  <c r="AV19" i="46"/>
  <c r="AX21" i="46" l="1"/>
  <c r="AX22" i="46" s="1"/>
  <c r="AV22" i="46"/>
  <c r="U150" i="46" l="1"/>
  <c r="M150" i="46"/>
  <c r="N150" i="46"/>
  <c r="P150" i="46"/>
  <c r="S150" i="46" s="1"/>
  <c r="U109" i="46"/>
  <c r="M109" i="46"/>
  <c r="N109" i="46"/>
  <c r="P109" i="46"/>
  <c r="S109" i="46" s="1"/>
  <c r="R109" i="46"/>
  <c r="U87" i="46"/>
  <c r="M87" i="46"/>
  <c r="N87" i="46"/>
  <c r="P87" i="46"/>
  <c r="S87" i="46" s="1"/>
  <c r="R87" i="46"/>
  <c r="M65" i="46"/>
  <c r="N65" i="46"/>
  <c r="P65" i="46"/>
  <c r="S65" i="46" s="1"/>
  <c r="T65" i="46" s="1"/>
  <c r="R65" i="46"/>
  <c r="S42" i="46"/>
  <c r="R42" i="46"/>
  <c r="T42" i="46" l="1"/>
  <c r="Q150" i="46"/>
  <c r="Q65" i="46"/>
  <c r="Q109" i="46"/>
  <c r="T150" i="46"/>
  <c r="T109" i="46"/>
  <c r="Q42" i="46"/>
  <c r="Q87" i="46"/>
  <c r="U65" i="46"/>
  <c r="T87" i="46"/>
  <c r="Q20" i="46"/>
  <c r="S20" i="46"/>
  <c r="T20" i="46" s="1"/>
  <c r="O256" i="48" l="1"/>
  <c r="M230" i="48" l="1"/>
  <c r="M231" i="48"/>
  <c r="M232" i="48"/>
  <c r="M262" i="48"/>
  <c r="O238" i="48" l="1"/>
  <c r="O237" i="48"/>
  <c r="R222" i="48"/>
  <c r="R223" i="48"/>
  <c r="R226" i="48"/>
  <c r="R229" i="48"/>
  <c r="R230" i="48"/>
  <c r="R231" i="48"/>
  <c r="R232" i="48"/>
  <c r="R234" i="48"/>
  <c r="R235" i="48"/>
  <c r="R236" i="48"/>
  <c r="R237" i="48"/>
  <c r="R238" i="48"/>
  <c r="R239" i="48"/>
  <c r="R240" i="48"/>
  <c r="R241" i="48"/>
  <c r="R243" i="48"/>
  <c r="R244" i="48"/>
  <c r="R245" i="48"/>
  <c r="R246" i="48"/>
  <c r="R250" i="48"/>
  <c r="R256" i="48"/>
  <c r="R257" i="48"/>
  <c r="R258" i="48"/>
  <c r="R259" i="48"/>
  <c r="R261" i="48"/>
  <c r="R262" i="48"/>
  <c r="R263" i="48"/>
  <c r="R265" i="48"/>
  <c r="R266" i="48"/>
  <c r="R267" i="48"/>
  <c r="R268" i="48"/>
  <c r="R269" i="48"/>
  <c r="R270" i="48"/>
  <c r="R271" i="48"/>
  <c r="R272" i="48"/>
  <c r="R274" i="48"/>
  <c r="R275" i="48"/>
  <c r="R276" i="48"/>
  <c r="R279" i="48"/>
  <c r="O279" i="48"/>
  <c r="O275" i="48"/>
  <c r="O269" i="48"/>
  <c r="O268" i="48"/>
  <c r="O239" i="48" l="1"/>
  <c r="O240" i="48" s="1"/>
  <c r="O272" i="48"/>
  <c r="O270" i="48"/>
  <c r="O271" i="48" s="1"/>
  <c r="AD255" i="48"/>
  <c r="AD254" i="48"/>
  <c r="AD253" i="48"/>
  <c r="AD252" i="48"/>
  <c r="AD251" i="48"/>
  <c r="AD250" i="48"/>
  <c r="AD249" i="48"/>
  <c r="AD248" i="48"/>
  <c r="AD247" i="48"/>
  <c r="AD246" i="48"/>
  <c r="AD245" i="48"/>
  <c r="AD244" i="48"/>
  <c r="AD243" i="48"/>
  <c r="AD242" i="48"/>
  <c r="AD241" i="48" l="1"/>
  <c r="O262" i="48" s="1"/>
  <c r="O261" i="48" s="1"/>
  <c r="O267" i="48"/>
  <c r="U267" i="48" s="1"/>
  <c r="N259" i="48"/>
  <c r="N257" i="48"/>
  <c r="L256" i="48"/>
  <c r="M256" i="48" s="1"/>
  <c r="M258" i="48"/>
  <c r="M260" i="48"/>
  <c r="N260" i="48"/>
  <c r="P260" i="48"/>
  <c r="S260" i="48" s="1"/>
  <c r="M261" i="48"/>
  <c r="N261" i="48"/>
  <c r="P261" i="48"/>
  <c r="S261" i="48" s="1"/>
  <c r="N262" i="48"/>
  <c r="P262" i="48"/>
  <c r="S262" i="48" s="1"/>
  <c r="M263" i="48"/>
  <c r="N263" i="48"/>
  <c r="P263" i="48"/>
  <c r="S263" i="48" s="1"/>
  <c r="M265" i="48"/>
  <c r="N265" i="48"/>
  <c r="P265" i="48"/>
  <c r="S265" i="48" s="1"/>
  <c r="M266" i="48"/>
  <c r="N266" i="48"/>
  <c r="P266" i="48"/>
  <c r="S266" i="48" s="1"/>
  <c r="M267" i="48"/>
  <c r="N267" i="48"/>
  <c r="P267" i="48"/>
  <c r="S267" i="48" s="1"/>
  <c r="L268" i="48"/>
  <c r="N268" i="48" s="1"/>
  <c r="L269" i="48"/>
  <c r="M269" i="48" s="1"/>
  <c r="L270" i="48"/>
  <c r="M270" i="48" s="1"/>
  <c r="M271" i="48"/>
  <c r="N271" i="48"/>
  <c r="P271" i="48"/>
  <c r="S271" i="48" s="1"/>
  <c r="M272" i="48"/>
  <c r="N272" i="48"/>
  <c r="P272" i="48"/>
  <c r="S272" i="48" s="1"/>
  <c r="M274" i="48"/>
  <c r="N274" i="48"/>
  <c r="P274" i="48"/>
  <c r="S274" i="48" s="1"/>
  <c r="M275" i="48"/>
  <c r="N275" i="48"/>
  <c r="P275" i="48"/>
  <c r="S275" i="48" s="1"/>
  <c r="M276" i="48"/>
  <c r="N276" i="48"/>
  <c r="P276" i="48"/>
  <c r="S276" i="48" s="1"/>
  <c r="M279" i="48"/>
  <c r="N279" i="48"/>
  <c r="P279" i="48"/>
  <c r="S279" i="48" s="1"/>
  <c r="U279" i="48"/>
  <c r="O263" i="48" l="1"/>
  <c r="O274" i="48"/>
  <c r="O273" i="48" s="1"/>
  <c r="O260" i="48"/>
  <c r="O258" i="48"/>
  <c r="T267" i="48"/>
  <c r="N269" i="48"/>
  <c r="P268" i="48"/>
  <c r="M268" i="48"/>
  <c r="M255" i="48"/>
  <c r="P255" i="48"/>
  <c r="S255" i="48" s="1"/>
  <c r="O276" i="48"/>
  <c r="U276" i="48" s="1"/>
  <c r="U257" i="48"/>
  <c r="Q279" i="48"/>
  <c r="Q262" i="48"/>
  <c r="T279" i="48"/>
  <c r="U268" i="48"/>
  <c r="U258" i="48"/>
  <c r="T258" i="48"/>
  <c r="N258" i="48"/>
  <c r="P259" i="48"/>
  <c r="M259" i="48"/>
  <c r="Q257" i="48"/>
  <c r="U269" i="48"/>
  <c r="Q267" i="48"/>
  <c r="M257" i="48"/>
  <c r="U270" i="48"/>
  <c r="U256" i="48"/>
  <c r="P269" i="48"/>
  <c r="U262" i="48"/>
  <c r="T262" i="48"/>
  <c r="P256" i="48"/>
  <c r="S256" i="48" s="1"/>
  <c r="N255" i="48"/>
  <c r="P270" i="48"/>
  <c r="U259" i="48"/>
  <c r="N270" i="48"/>
  <c r="N256" i="48"/>
  <c r="U273" i="48" l="1"/>
  <c r="Q273" i="48"/>
  <c r="T273" i="48"/>
  <c r="S259" i="48"/>
  <c r="T259" i="48" s="1"/>
  <c r="S268" i="48"/>
  <c r="T268" i="48" s="1"/>
  <c r="S270" i="48"/>
  <c r="T270" i="48" s="1"/>
  <c r="S269" i="48"/>
  <c r="T269" i="48" s="1"/>
  <c r="Q268" i="48"/>
  <c r="U255" i="48"/>
  <c r="T256" i="48"/>
  <c r="Q256" i="48"/>
  <c r="Q276" i="48"/>
  <c r="T255" i="48"/>
  <c r="Q259" i="48"/>
  <c r="T276" i="48"/>
  <c r="Q258" i="48"/>
  <c r="T257" i="48"/>
  <c r="Q255" i="48"/>
  <c r="Q269" i="48"/>
  <c r="Q261" i="48"/>
  <c r="T261" i="48"/>
  <c r="U261" i="48"/>
  <c r="Q275" i="48"/>
  <c r="T275" i="48"/>
  <c r="U275" i="48"/>
  <c r="T272" i="48"/>
  <c r="U272" i="48"/>
  <c r="Q272" i="48"/>
  <c r="Q270" i="48"/>
  <c r="Q271" i="48"/>
  <c r="T271" i="48"/>
  <c r="U271" i="48"/>
  <c r="Q260" i="48"/>
  <c r="U260" i="48"/>
  <c r="T260" i="48"/>
  <c r="DV187" i="48"/>
  <c r="DW187" i="48"/>
  <c r="DX187" i="48"/>
  <c r="DY187" i="48"/>
  <c r="DZ187" i="48"/>
  <c r="EA187" i="48"/>
  <c r="EB187" i="48"/>
  <c r="EC187" i="48"/>
  <c r="ED187" i="48"/>
  <c r="EE187" i="48"/>
  <c r="EF187" i="48"/>
  <c r="EG187" i="48"/>
  <c r="DV192" i="48"/>
  <c r="DW192" i="48"/>
  <c r="DX192" i="48"/>
  <c r="DY192" i="48"/>
  <c r="DZ192" i="48"/>
  <c r="EA192" i="48"/>
  <c r="EB192" i="48"/>
  <c r="EC192" i="48"/>
  <c r="ED192" i="48"/>
  <c r="EE192" i="48"/>
  <c r="EF192" i="48"/>
  <c r="EG192" i="48"/>
  <c r="DU192" i="48"/>
  <c r="DU187" i="48"/>
  <c r="DE192" i="48"/>
  <c r="DF192" i="48"/>
  <c r="DG192" i="48"/>
  <c r="DH192" i="48"/>
  <c r="DI192" i="48"/>
  <c r="DJ192" i="48"/>
  <c r="DK192" i="48"/>
  <c r="DL192" i="48"/>
  <c r="DM192" i="48"/>
  <c r="DN192" i="48"/>
  <c r="DO192" i="48"/>
  <c r="DP192" i="48"/>
  <c r="DD192" i="48"/>
  <c r="DE187" i="48"/>
  <c r="DF187" i="48"/>
  <c r="DG187" i="48"/>
  <c r="DH187" i="48"/>
  <c r="DI187" i="48"/>
  <c r="DJ187" i="48"/>
  <c r="DK187" i="48"/>
  <c r="DL187" i="48"/>
  <c r="DM187" i="48"/>
  <c r="DN187" i="48"/>
  <c r="DO187" i="48"/>
  <c r="DP187" i="48"/>
  <c r="DE197" i="48"/>
  <c r="DF197" i="48"/>
  <c r="DG197" i="48"/>
  <c r="DH197" i="48"/>
  <c r="DI197" i="48"/>
  <c r="DJ197" i="48"/>
  <c r="DK197" i="48"/>
  <c r="DL197" i="48"/>
  <c r="DM197" i="48"/>
  <c r="DN197" i="48"/>
  <c r="DO197" i="48"/>
  <c r="DP197" i="48"/>
  <c r="DD197" i="48"/>
  <c r="CP197" i="48"/>
  <c r="CQ197" i="48"/>
  <c r="CR197" i="48"/>
  <c r="CS197" i="48"/>
  <c r="CT197" i="48"/>
  <c r="CU197" i="48"/>
  <c r="CV197" i="48"/>
  <c r="CW197" i="48"/>
  <c r="CX197" i="48"/>
  <c r="CY197" i="48"/>
  <c r="CZ197" i="48"/>
  <c r="DA197" i="48"/>
  <c r="CP192" i="48"/>
  <c r="CQ192" i="48"/>
  <c r="CR192" i="48"/>
  <c r="CS192" i="48"/>
  <c r="CT192" i="48"/>
  <c r="CU192" i="48"/>
  <c r="CV192" i="48"/>
  <c r="CW192" i="48"/>
  <c r="CX192" i="48"/>
  <c r="CY192" i="48"/>
  <c r="CZ192" i="48"/>
  <c r="DA192" i="48"/>
  <c r="CP187" i="48"/>
  <c r="CQ187" i="48"/>
  <c r="CR187" i="48"/>
  <c r="CS187" i="48"/>
  <c r="CT187" i="48"/>
  <c r="CU187" i="48"/>
  <c r="CV187" i="48"/>
  <c r="CW187" i="48"/>
  <c r="CX187" i="48"/>
  <c r="CY187" i="48"/>
  <c r="CZ187" i="48"/>
  <c r="DA187" i="48"/>
  <c r="CO187" i="48"/>
  <c r="BY197" i="48"/>
  <c r="BZ197" i="48"/>
  <c r="CA197" i="48"/>
  <c r="CB197" i="48"/>
  <c r="CC197" i="48"/>
  <c r="CD197" i="48"/>
  <c r="CE197" i="48"/>
  <c r="CF197" i="48"/>
  <c r="CG197" i="48"/>
  <c r="CH197" i="48"/>
  <c r="CI197" i="48"/>
  <c r="CJ197" i="48"/>
  <c r="BX197" i="48"/>
  <c r="BY187" i="48"/>
  <c r="BZ187" i="48"/>
  <c r="CA187" i="48"/>
  <c r="CB187" i="48"/>
  <c r="CC187" i="48"/>
  <c r="CD187" i="48"/>
  <c r="CE187" i="48"/>
  <c r="CF187" i="48"/>
  <c r="CG187" i="48"/>
  <c r="CH187" i="48"/>
  <c r="CI187" i="48"/>
  <c r="CJ187" i="48"/>
  <c r="BX187" i="48"/>
  <c r="BJ197" i="48"/>
  <c r="BK197" i="48"/>
  <c r="BL197" i="48"/>
  <c r="BM197" i="48"/>
  <c r="BN197" i="48"/>
  <c r="BO197" i="48"/>
  <c r="BP197" i="48"/>
  <c r="BQ197" i="48"/>
  <c r="BR197" i="48"/>
  <c r="BS197" i="48"/>
  <c r="BT197" i="48"/>
  <c r="BU197" i="48"/>
  <c r="BI187" i="48"/>
  <c r="BK187" i="48"/>
  <c r="BL187" i="48"/>
  <c r="BM187" i="48"/>
  <c r="BN187" i="48"/>
  <c r="BO187" i="48"/>
  <c r="BP187" i="48"/>
  <c r="BQ187" i="48"/>
  <c r="BR187" i="48"/>
  <c r="BS187" i="48"/>
  <c r="BT187" i="48"/>
  <c r="BU187" i="48"/>
  <c r="BJ187" i="48"/>
  <c r="AK198" i="48"/>
  <c r="AO195" i="48"/>
  <c r="AO194" i="48"/>
  <c r="AM195" i="48"/>
  <c r="AM194" i="48"/>
  <c r="AL196" i="48"/>
  <c r="AP196" i="48" s="1"/>
  <c r="AP195" i="48"/>
  <c r="CO196" i="48"/>
  <c r="BI196" i="48"/>
  <c r="CO195" i="48"/>
  <c r="BI195" i="48"/>
  <c r="CO191" i="48"/>
  <c r="CO190" i="48"/>
  <c r="DD186" i="48"/>
  <c r="DD185" i="48"/>
  <c r="AE208" i="48"/>
  <c r="AE209" i="48"/>
  <c r="AE210" i="48"/>
  <c r="AE211" i="48"/>
  <c r="AE212" i="48"/>
  <c r="AE213" i="48"/>
  <c r="AE214" i="48"/>
  <c r="AE215" i="48"/>
  <c r="AE216" i="48"/>
  <c r="AE217" i="48"/>
  <c r="AE218" i="48"/>
  <c r="AE219" i="48"/>
  <c r="AE220" i="48"/>
  <c r="AE221" i="48"/>
  <c r="AE222" i="48"/>
  <c r="P226" i="48"/>
  <c r="S226" i="48" s="1"/>
  <c r="P227" i="48"/>
  <c r="S227" i="48" s="1"/>
  <c r="P229" i="48"/>
  <c r="S229" i="48" s="1"/>
  <c r="P230" i="48"/>
  <c r="S230" i="48" s="1"/>
  <c r="P231" i="48"/>
  <c r="S231" i="48" s="1"/>
  <c r="P232" i="48"/>
  <c r="S232" i="48" s="1"/>
  <c r="P234" i="48"/>
  <c r="S234" i="48" s="1"/>
  <c r="P235" i="48"/>
  <c r="S235" i="48" s="1"/>
  <c r="P236" i="48"/>
  <c r="S236" i="48" s="1"/>
  <c r="P240" i="48"/>
  <c r="S240" i="48" s="1"/>
  <c r="P241" i="48"/>
  <c r="S241" i="48" s="1"/>
  <c r="P243" i="48"/>
  <c r="S243" i="48" s="1"/>
  <c r="P244" i="48"/>
  <c r="S244" i="48" s="1"/>
  <c r="P245" i="48"/>
  <c r="S245" i="48" s="1"/>
  <c r="P246" i="48"/>
  <c r="S246" i="48" s="1"/>
  <c r="P250" i="48"/>
  <c r="S250" i="48" s="1"/>
  <c r="M227" i="48"/>
  <c r="N227" i="48"/>
  <c r="M229" i="48"/>
  <c r="N229" i="48"/>
  <c r="N230" i="48"/>
  <c r="N231" i="48"/>
  <c r="N232" i="48"/>
  <c r="M234" i="48"/>
  <c r="N234" i="48"/>
  <c r="M235" i="48"/>
  <c r="N235" i="48"/>
  <c r="M236" i="48"/>
  <c r="N236" i="48"/>
  <c r="M240" i="48"/>
  <c r="N240" i="48"/>
  <c r="M241" i="48"/>
  <c r="N241" i="48"/>
  <c r="M243" i="48"/>
  <c r="N243" i="48"/>
  <c r="M244" i="48"/>
  <c r="N244" i="48"/>
  <c r="M245" i="48"/>
  <c r="N245" i="48"/>
  <c r="M246" i="48"/>
  <c r="N246" i="48"/>
  <c r="M250" i="48"/>
  <c r="N250" i="48"/>
  <c r="P197" i="48"/>
  <c r="S197" i="48" s="1"/>
  <c r="P198" i="48"/>
  <c r="S198" i="48" s="1"/>
  <c r="P199" i="48"/>
  <c r="S199" i="48" s="1"/>
  <c r="P200" i="48"/>
  <c r="S200" i="48" s="1"/>
  <c r="P201" i="48"/>
  <c r="S201" i="48" s="1"/>
  <c r="P202" i="48"/>
  <c r="S202" i="48" s="1"/>
  <c r="P203" i="48"/>
  <c r="S203" i="48" s="1"/>
  <c r="P207" i="48"/>
  <c r="S207" i="48" s="1"/>
  <c r="P208" i="48"/>
  <c r="S208" i="48" s="1"/>
  <c r="P209" i="48"/>
  <c r="S209" i="48" s="1"/>
  <c r="P210" i="48"/>
  <c r="S210" i="48" s="1"/>
  <c r="P211" i="48"/>
  <c r="S211" i="48" s="1"/>
  <c r="P212" i="48"/>
  <c r="S212" i="48" s="1"/>
  <c r="P214" i="48"/>
  <c r="S214" i="48" s="1"/>
  <c r="M197" i="48"/>
  <c r="N197" i="48"/>
  <c r="M198" i="48"/>
  <c r="N198" i="48"/>
  <c r="M199" i="48"/>
  <c r="N199" i="48"/>
  <c r="M200" i="48"/>
  <c r="N200" i="48"/>
  <c r="M201" i="48"/>
  <c r="N201" i="48"/>
  <c r="M202" i="48"/>
  <c r="N202" i="48"/>
  <c r="M203" i="48"/>
  <c r="N203" i="48"/>
  <c r="M207" i="48"/>
  <c r="N207" i="48"/>
  <c r="M208" i="48"/>
  <c r="N208" i="48"/>
  <c r="M209" i="48"/>
  <c r="N209" i="48"/>
  <c r="M210" i="48"/>
  <c r="N210" i="48"/>
  <c r="M211" i="48"/>
  <c r="N211" i="48"/>
  <c r="M212" i="48"/>
  <c r="N212" i="48"/>
  <c r="M214" i="48"/>
  <c r="N214" i="48"/>
  <c r="P167" i="48"/>
  <c r="S167" i="48" s="1"/>
  <c r="P168" i="48"/>
  <c r="S168" i="48" s="1"/>
  <c r="P169" i="48"/>
  <c r="S169" i="48" s="1"/>
  <c r="P170" i="48"/>
  <c r="S170" i="48" s="1"/>
  <c r="P171" i="48"/>
  <c r="S171" i="48" s="1"/>
  <c r="P173" i="48"/>
  <c r="S173" i="48" s="1"/>
  <c r="P174" i="48"/>
  <c r="S174" i="48" s="1"/>
  <c r="P175" i="48"/>
  <c r="S175" i="48" s="1"/>
  <c r="P179" i="48"/>
  <c r="S179" i="48" s="1"/>
  <c r="P180" i="48"/>
  <c r="S180" i="48" s="1"/>
  <c r="P182" i="48"/>
  <c r="S182" i="48" s="1"/>
  <c r="P183" i="48"/>
  <c r="S183" i="48" s="1"/>
  <c r="P184" i="48"/>
  <c r="P185" i="48"/>
  <c r="S185" i="48" s="1"/>
  <c r="P188" i="48"/>
  <c r="S188" i="48" s="1"/>
  <c r="M167" i="48"/>
  <c r="N167" i="48"/>
  <c r="M168" i="48"/>
  <c r="N168" i="48"/>
  <c r="M169" i="48"/>
  <c r="N169" i="48"/>
  <c r="M170" i="48"/>
  <c r="N170" i="48"/>
  <c r="M171" i="48"/>
  <c r="N171" i="48"/>
  <c r="M173" i="48"/>
  <c r="N173" i="48"/>
  <c r="M174" i="48"/>
  <c r="N174" i="48"/>
  <c r="M175" i="48"/>
  <c r="N175" i="48"/>
  <c r="M179" i="48"/>
  <c r="N179" i="48"/>
  <c r="M180" i="48"/>
  <c r="N180" i="48"/>
  <c r="M182" i="48"/>
  <c r="N182" i="48"/>
  <c r="M183" i="48"/>
  <c r="N183" i="48"/>
  <c r="M184" i="48"/>
  <c r="N184" i="48"/>
  <c r="M185" i="48"/>
  <c r="N185" i="48"/>
  <c r="M188" i="48"/>
  <c r="N188" i="48"/>
  <c r="P140" i="48"/>
  <c r="S140" i="48" s="1"/>
  <c r="P141" i="48"/>
  <c r="S141" i="48" s="1"/>
  <c r="P143" i="48"/>
  <c r="S143" i="48" s="1"/>
  <c r="P144" i="48"/>
  <c r="S144" i="48" s="1"/>
  <c r="P145" i="48"/>
  <c r="S145" i="48" s="1"/>
  <c r="P149" i="48"/>
  <c r="S149" i="48" s="1"/>
  <c r="P150" i="48"/>
  <c r="S150" i="48" s="1"/>
  <c r="P152" i="48"/>
  <c r="S152" i="48" s="1"/>
  <c r="P153" i="48"/>
  <c r="S153" i="48" s="1"/>
  <c r="P154" i="48"/>
  <c r="S154" i="48" s="1"/>
  <c r="P155" i="48"/>
  <c r="S155" i="48" s="1"/>
  <c r="P158" i="48"/>
  <c r="S158" i="48" s="1"/>
  <c r="M140" i="48"/>
  <c r="N140" i="48"/>
  <c r="M141" i="48"/>
  <c r="N141" i="48"/>
  <c r="M143" i="48"/>
  <c r="N143" i="48"/>
  <c r="M144" i="48"/>
  <c r="N144" i="48"/>
  <c r="M145" i="48"/>
  <c r="N145" i="48"/>
  <c r="M149" i="48"/>
  <c r="N149" i="48"/>
  <c r="M150" i="48"/>
  <c r="N150" i="48"/>
  <c r="M152" i="48"/>
  <c r="N152" i="48"/>
  <c r="M153" i="48"/>
  <c r="N153" i="48"/>
  <c r="M154" i="48"/>
  <c r="N154" i="48"/>
  <c r="M155" i="48"/>
  <c r="N155" i="48"/>
  <c r="M158" i="48"/>
  <c r="N158" i="48"/>
  <c r="P108" i="48"/>
  <c r="S108" i="48" s="1"/>
  <c r="P109" i="48"/>
  <c r="S109" i="48" s="1"/>
  <c r="P111" i="48"/>
  <c r="S111" i="48" s="1"/>
  <c r="P112" i="48"/>
  <c r="S112" i="48" s="1"/>
  <c r="P113" i="48"/>
  <c r="S113" i="48" s="1"/>
  <c r="P117" i="48"/>
  <c r="S117" i="48" s="1"/>
  <c r="P118" i="48"/>
  <c r="S118" i="48" s="1"/>
  <c r="P120" i="48"/>
  <c r="S120" i="48" s="1"/>
  <c r="P121" i="48"/>
  <c r="S121" i="48" s="1"/>
  <c r="P122" i="48"/>
  <c r="S122" i="48" s="1"/>
  <c r="P123" i="48"/>
  <c r="S123" i="48" s="1"/>
  <c r="P126" i="48"/>
  <c r="S126" i="48" s="1"/>
  <c r="M108" i="48"/>
  <c r="N108" i="48"/>
  <c r="M109" i="48"/>
  <c r="N109" i="48"/>
  <c r="M111" i="48"/>
  <c r="N111" i="48"/>
  <c r="M112" i="48"/>
  <c r="N112" i="48"/>
  <c r="M113" i="48"/>
  <c r="N113" i="48"/>
  <c r="M117" i="48"/>
  <c r="N117" i="48"/>
  <c r="M118" i="48"/>
  <c r="N118" i="48"/>
  <c r="M120" i="48"/>
  <c r="N120" i="48"/>
  <c r="M121" i="48"/>
  <c r="N121" i="48"/>
  <c r="M122" i="48"/>
  <c r="N122" i="48"/>
  <c r="M123" i="48"/>
  <c r="N123" i="48"/>
  <c r="M126" i="48"/>
  <c r="N126" i="48"/>
  <c r="P74" i="48"/>
  <c r="S74" i="48" s="1"/>
  <c r="P76" i="48"/>
  <c r="S76" i="48" s="1"/>
  <c r="P77" i="48"/>
  <c r="S77" i="48" s="1"/>
  <c r="P79" i="48"/>
  <c r="S79" i="48" s="1"/>
  <c r="P80" i="48"/>
  <c r="S80" i="48" s="1"/>
  <c r="P81" i="48"/>
  <c r="S81" i="48" s="1"/>
  <c r="P85" i="48"/>
  <c r="S85" i="48" s="1"/>
  <c r="P86" i="48"/>
  <c r="S86" i="48" s="1"/>
  <c r="P88" i="48"/>
  <c r="S88" i="48" s="1"/>
  <c r="P89" i="48"/>
  <c r="S89" i="48" s="1"/>
  <c r="P90" i="48"/>
  <c r="S90" i="48" s="1"/>
  <c r="P91" i="48"/>
  <c r="S91" i="48" s="1"/>
  <c r="P94" i="48"/>
  <c r="S94" i="48" s="1"/>
  <c r="M74" i="48"/>
  <c r="N74" i="48"/>
  <c r="M76" i="48"/>
  <c r="N76" i="48"/>
  <c r="M77" i="48"/>
  <c r="N77" i="48"/>
  <c r="M79" i="48"/>
  <c r="N79" i="48"/>
  <c r="M80" i="48"/>
  <c r="N80" i="48"/>
  <c r="M81" i="48"/>
  <c r="N81" i="48"/>
  <c r="M85" i="48"/>
  <c r="N85" i="48"/>
  <c r="M86" i="48"/>
  <c r="N86" i="48"/>
  <c r="M88" i="48"/>
  <c r="N88" i="48"/>
  <c r="M89" i="48"/>
  <c r="N89" i="48"/>
  <c r="M90" i="48"/>
  <c r="N90" i="48"/>
  <c r="M91" i="48"/>
  <c r="N91" i="48"/>
  <c r="M94" i="48"/>
  <c r="N94" i="48"/>
  <c r="R35" i="48"/>
  <c r="P44" i="48"/>
  <c r="S44" i="48" s="1"/>
  <c r="P45" i="48"/>
  <c r="S45" i="48" s="1"/>
  <c r="P48" i="48"/>
  <c r="S48" i="48" s="1"/>
  <c r="P49" i="48"/>
  <c r="S49" i="48" s="1"/>
  <c r="P53" i="48"/>
  <c r="S53" i="48" s="1"/>
  <c r="P54" i="48"/>
  <c r="S54" i="48" s="1"/>
  <c r="P56" i="48"/>
  <c r="S56" i="48" s="1"/>
  <c r="P57" i="48"/>
  <c r="S57" i="48" s="1"/>
  <c r="P58" i="48"/>
  <c r="S58" i="48" s="1"/>
  <c r="P62" i="48"/>
  <c r="M44" i="48"/>
  <c r="N44" i="48"/>
  <c r="M45" i="48"/>
  <c r="N45" i="48"/>
  <c r="M48" i="48"/>
  <c r="N48" i="48"/>
  <c r="M49" i="48"/>
  <c r="N49" i="48"/>
  <c r="M53" i="48"/>
  <c r="N53" i="48"/>
  <c r="M54" i="48"/>
  <c r="N54" i="48"/>
  <c r="M56" i="48"/>
  <c r="N56" i="48"/>
  <c r="M57" i="48"/>
  <c r="N57" i="48"/>
  <c r="M58" i="48"/>
  <c r="N58" i="48"/>
  <c r="M62" i="48"/>
  <c r="N62" i="48"/>
  <c r="M30" i="48"/>
  <c r="N30" i="48"/>
  <c r="P10" i="48"/>
  <c r="S10" i="48" s="1"/>
  <c r="P11" i="48"/>
  <c r="S11" i="48" s="1"/>
  <c r="P12" i="48"/>
  <c r="S12" i="48" s="1"/>
  <c r="P13" i="48"/>
  <c r="S13" i="48" s="1"/>
  <c r="P15" i="48"/>
  <c r="S15" i="48" s="1"/>
  <c r="P16" i="48"/>
  <c r="S16" i="48" s="1"/>
  <c r="P17" i="48"/>
  <c r="S17" i="48" s="1"/>
  <c r="P21" i="48"/>
  <c r="S21" i="48" s="1"/>
  <c r="P22" i="48"/>
  <c r="S22" i="48" s="1"/>
  <c r="P24" i="48"/>
  <c r="S24" i="48" s="1"/>
  <c r="P25" i="48"/>
  <c r="S25" i="48" s="1"/>
  <c r="P26" i="48"/>
  <c r="S26" i="48" s="1"/>
  <c r="P27" i="48"/>
  <c r="S27" i="48" s="1"/>
  <c r="P30" i="48"/>
  <c r="S30" i="48" s="1"/>
  <c r="N10" i="48"/>
  <c r="N11" i="48"/>
  <c r="N12" i="48"/>
  <c r="N13" i="48"/>
  <c r="N15" i="48"/>
  <c r="N16" i="48"/>
  <c r="N17" i="48"/>
  <c r="N21" i="48"/>
  <c r="N22" i="48"/>
  <c r="N24" i="48"/>
  <c r="N25" i="48"/>
  <c r="N26" i="48"/>
  <c r="N27" i="48"/>
  <c r="M10" i="48"/>
  <c r="M11" i="48"/>
  <c r="M12" i="48"/>
  <c r="M13" i="48"/>
  <c r="M15" i="48"/>
  <c r="M16" i="48"/>
  <c r="M17" i="48"/>
  <c r="M21" i="48"/>
  <c r="M22" i="48"/>
  <c r="M24" i="48"/>
  <c r="M25" i="48"/>
  <c r="M26" i="48"/>
  <c r="M27" i="48"/>
  <c r="O250" i="48"/>
  <c r="U250" i="48" s="1"/>
  <c r="L239" i="48"/>
  <c r="N239" i="48" s="1"/>
  <c r="AC222" i="48"/>
  <c r="AA222" i="48" s="1"/>
  <c r="AB222" i="48"/>
  <c r="L238" i="48"/>
  <c r="P238" i="48" s="1"/>
  <c r="S238" i="48" s="1"/>
  <c r="AC221" i="48"/>
  <c r="AA221" i="48" s="1"/>
  <c r="AB221" i="48"/>
  <c r="L237" i="48"/>
  <c r="AC220" i="48"/>
  <c r="AA220" i="48" s="1"/>
  <c r="AB220" i="48"/>
  <c r="AC219" i="48"/>
  <c r="AA219" i="48" s="1"/>
  <c r="AB219" i="48"/>
  <c r="AC218" i="48"/>
  <c r="AA218" i="48" s="1"/>
  <c r="AB218" i="48"/>
  <c r="AC217" i="48"/>
  <c r="AA217" i="48" s="1"/>
  <c r="AB217" i="48"/>
  <c r="AC216" i="48"/>
  <c r="AA216" i="48" s="1"/>
  <c r="AB216" i="48"/>
  <c r="AC215" i="48"/>
  <c r="AA215" i="48" s="1"/>
  <c r="AB215" i="48"/>
  <c r="AC214" i="48"/>
  <c r="AA214" i="48" s="1"/>
  <c r="AB214" i="48"/>
  <c r="AC213" i="48"/>
  <c r="AA213" i="48" s="1"/>
  <c r="AB213" i="48"/>
  <c r="AC212" i="48"/>
  <c r="AA212" i="48" s="1"/>
  <c r="AB212" i="48"/>
  <c r="AC211" i="48"/>
  <c r="AA211" i="48" s="1"/>
  <c r="AB211" i="48"/>
  <c r="M223" i="48"/>
  <c r="AC210" i="48"/>
  <c r="AA210" i="48" s="1"/>
  <c r="AB210" i="48"/>
  <c r="M222" i="48"/>
  <c r="AC209" i="48"/>
  <c r="AA209" i="48" s="1"/>
  <c r="AB209" i="48"/>
  <c r="L221" i="48"/>
  <c r="AC208" i="48"/>
  <c r="AA208" i="48" s="1"/>
  <c r="AB208" i="48"/>
  <c r="R214" i="48"/>
  <c r="O214" i="48"/>
  <c r="U214" i="48" s="1"/>
  <c r="R212" i="48"/>
  <c r="R211" i="48"/>
  <c r="R210" i="48"/>
  <c r="Z197" i="48"/>
  <c r="Y197" i="48"/>
  <c r="W197" i="48"/>
  <c r="R209" i="48"/>
  <c r="DP182" i="48"/>
  <c r="DO182" i="48"/>
  <c r="DM182" i="48"/>
  <c r="DL182" i="48"/>
  <c r="DK182" i="48"/>
  <c r="DI182" i="48"/>
  <c r="DH182" i="48"/>
  <c r="DF182" i="48"/>
  <c r="DE182" i="48"/>
  <c r="DA182" i="48"/>
  <c r="CY182" i="48"/>
  <c r="CX182" i="48"/>
  <c r="CW182" i="48"/>
  <c r="CV182" i="48"/>
  <c r="CU182" i="48"/>
  <c r="CS182" i="48"/>
  <c r="CR182" i="48"/>
  <c r="CQ182" i="48"/>
  <c r="CP182" i="48"/>
  <c r="CO182" i="48"/>
  <c r="CJ182" i="48"/>
  <c r="CG182" i="48"/>
  <c r="CF182" i="48"/>
  <c r="CD182" i="48"/>
  <c r="CB182" i="48"/>
  <c r="CA182" i="48"/>
  <c r="BZ182" i="48"/>
  <c r="BY182" i="48"/>
  <c r="BS182" i="48"/>
  <c r="BR182" i="48"/>
  <c r="BN182" i="48"/>
  <c r="BM182" i="48"/>
  <c r="BL182" i="48"/>
  <c r="BK182" i="48"/>
  <c r="BJ182" i="48"/>
  <c r="BI182" i="48"/>
  <c r="Z196" i="48"/>
  <c r="Y196" i="48"/>
  <c r="W196" i="48"/>
  <c r="R208" i="48"/>
  <c r="DP181" i="48"/>
  <c r="DO181" i="48"/>
  <c r="DM181" i="48"/>
  <c r="DL181" i="48"/>
  <c r="DK181" i="48"/>
  <c r="DI181" i="48"/>
  <c r="DH181" i="48"/>
  <c r="DF181" i="48"/>
  <c r="DE181" i="48"/>
  <c r="DA181" i="48"/>
  <c r="CY181" i="48"/>
  <c r="CX181" i="48"/>
  <c r="CW181" i="48"/>
  <c r="CV181" i="48"/>
  <c r="CU181" i="48"/>
  <c r="CS181" i="48"/>
  <c r="CR181" i="48"/>
  <c r="CQ181" i="48"/>
  <c r="CP181" i="48"/>
  <c r="CO181" i="48"/>
  <c r="CJ181" i="48"/>
  <c r="CG181" i="48"/>
  <c r="CF181" i="48"/>
  <c r="CD181" i="48"/>
  <c r="CB181" i="48"/>
  <c r="CA181" i="48"/>
  <c r="BZ181" i="48"/>
  <c r="BY181" i="48"/>
  <c r="BS181" i="48"/>
  <c r="BR181" i="48"/>
  <c r="BN181" i="48"/>
  <c r="BM181" i="48"/>
  <c r="BL181" i="48"/>
  <c r="BK181" i="48"/>
  <c r="BJ181" i="48"/>
  <c r="BI181" i="48"/>
  <c r="AA195" i="48"/>
  <c r="Z195" i="48"/>
  <c r="Y195" i="48"/>
  <c r="W195" i="48"/>
  <c r="R207" i="48"/>
  <c r="DP180" i="48"/>
  <c r="DO180" i="48"/>
  <c r="DM180" i="48"/>
  <c r="DL180" i="48"/>
  <c r="DK180" i="48"/>
  <c r="DI180" i="48"/>
  <c r="DH180" i="48"/>
  <c r="DF180" i="48"/>
  <c r="DE180" i="48"/>
  <c r="DA180" i="48"/>
  <c r="CY180" i="48"/>
  <c r="CX180" i="48"/>
  <c r="CW180" i="48"/>
  <c r="CV180" i="48"/>
  <c r="CU180" i="48"/>
  <c r="CS180" i="48"/>
  <c r="CR180" i="48"/>
  <c r="CQ180" i="48"/>
  <c r="CP180" i="48"/>
  <c r="CO180" i="48"/>
  <c r="CJ180" i="48"/>
  <c r="CG180" i="48"/>
  <c r="CF180" i="48"/>
  <c r="CD180" i="48"/>
  <c r="CB180" i="48"/>
  <c r="CA180" i="48"/>
  <c r="BZ180" i="48"/>
  <c r="BY180" i="48"/>
  <c r="BS180" i="48"/>
  <c r="BR180" i="48"/>
  <c r="BN180" i="48"/>
  <c r="BM180" i="48"/>
  <c r="BL180" i="48"/>
  <c r="BK180" i="48"/>
  <c r="BJ180" i="48"/>
  <c r="BI180" i="48"/>
  <c r="AA194" i="48"/>
  <c r="Z194" i="48"/>
  <c r="Y194" i="48"/>
  <c r="W194" i="48"/>
  <c r="R206" i="48"/>
  <c r="L206" i="48"/>
  <c r="M206" i="48" s="1"/>
  <c r="DP179" i="48"/>
  <c r="DO179" i="48"/>
  <c r="DM179" i="48"/>
  <c r="DL179" i="48"/>
  <c r="DK179" i="48"/>
  <c r="DI179" i="48"/>
  <c r="DH179" i="48"/>
  <c r="DF179" i="48"/>
  <c r="DE179" i="48"/>
  <c r="DA179" i="48"/>
  <c r="CY179" i="48"/>
  <c r="CX179" i="48"/>
  <c r="CW179" i="48"/>
  <c r="CV179" i="48"/>
  <c r="CU179" i="48"/>
  <c r="CS179" i="48"/>
  <c r="CR179" i="48"/>
  <c r="CQ179" i="48"/>
  <c r="CP179" i="48"/>
  <c r="CO179" i="48"/>
  <c r="CJ179" i="48"/>
  <c r="CG179" i="48"/>
  <c r="CF179" i="48"/>
  <c r="CD179" i="48"/>
  <c r="CB179" i="48"/>
  <c r="CA179" i="48"/>
  <c r="BZ179" i="48"/>
  <c r="BY179" i="48"/>
  <c r="BS179" i="48"/>
  <c r="BR179" i="48"/>
  <c r="BN179" i="48"/>
  <c r="BM179" i="48"/>
  <c r="BL179" i="48"/>
  <c r="BK179" i="48"/>
  <c r="BJ179" i="48"/>
  <c r="BI179" i="48"/>
  <c r="AA193" i="48"/>
  <c r="Z193" i="48"/>
  <c r="Y193" i="48"/>
  <c r="W193" i="48"/>
  <c r="R205" i="48"/>
  <c r="O205" i="48"/>
  <c r="L205" i="48"/>
  <c r="N205" i="48" s="1"/>
  <c r="AA192" i="48"/>
  <c r="Z192" i="48"/>
  <c r="Y192" i="48"/>
  <c r="W192" i="48"/>
  <c r="R204" i="48"/>
  <c r="O204" i="48"/>
  <c r="L204" i="48"/>
  <c r="P204" i="48" s="1"/>
  <c r="AA191" i="48"/>
  <c r="Z191" i="48"/>
  <c r="Y191" i="48"/>
  <c r="W191" i="48"/>
  <c r="R203" i="48"/>
  <c r="EG176" i="48"/>
  <c r="EF176" i="48"/>
  <c r="EE176" i="48"/>
  <c r="ED176" i="48"/>
  <c r="EC176" i="48"/>
  <c r="EB176" i="48"/>
  <c r="EA176" i="48"/>
  <c r="DZ176" i="48"/>
  <c r="DY176" i="48"/>
  <c r="DX176" i="48"/>
  <c r="DW176" i="48"/>
  <c r="DV176" i="48"/>
  <c r="DO176" i="48"/>
  <c r="DN176" i="48"/>
  <c r="DM176" i="48"/>
  <c r="DL176" i="48"/>
  <c r="DK176" i="48"/>
  <c r="DI176" i="48"/>
  <c r="DH176" i="48"/>
  <c r="DF176" i="48"/>
  <c r="DE176" i="48"/>
  <c r="CY176" i="48"/>
  <c r="CX176" i="48"/>
  <c r="CV176" i="48"/>
  <c r="CU176" i="48"/>
  <c r="CS176" i="48"/>
  <c r="CR176" i="48"/>
  <c r="CQ176" i="48"/>
  <c r="CP176" i="48"/>
  <c r="CO176" i="48"/>
  <c r="CI176" i="48"/>
  <c r="CH176" i="48"/>
  <c r="CG176" i="48"/>
  <c r="CD176" i="48"/>
  <c r="CA176" i="48"/>
  <c r="BZ176" i="48"/>
  <c r="BY176" i="48"/>
  <c r="BU176" i="48"/>
  <c r="BT176" i="48"/>
  <c r="BS176" i="48"/>
  <c r="BR176" i="48"/>
  <c r="BN176" i="48"/>
  <c r="BL176" i="48"/>
  <c r="BK176" i="48"/>
  <c r="BJ176" i="48"/>
  <c r="BI176" i="48"/>
  <c r="AA190" i="48"/>
  <c r="Z190" i="48"/>
  <c r="Y190" i="48"/>
  <c r="W190" i="48"/>
  <c r="R202" i="48"/>
  <c r="EG175" i="48"/>
  <c r="EF175" i="48"/>
  <c r="EE175" i="48"/>
  <c r="ED175" i="48"/>
  <c r="EC175" i="48"/>
  <c r="EB175" i="48"/>
  <c r="EA175" i="48"/>
  <c r="DZ175" i="48"/>
  <c r="DY175" i="48"/>
  <c r="DX175" i="48"/>
  <c r="DW175" i="48"/>
  <c r="DV175" i="48"/>
  <c r="DO175" i="48"/>
  <c r="DN175" i="48"/>
  <c r="DM175" i="48"/>
  <c r="DL175" i="48"/>
  <c r="DK175" i="48"/>
  <c r="DI175" i="48"/>
  <c r="DH175" i="48"/>
  <c r="DF175" i="48"/>
  <c r="DE175" i="48"/>
  <c r="CY175" i="48"/>
  <c r="CX175" i="48"/>
  <c r="CV175" i="48"/>
  <c r="CU175" i="48"/>
  <c r="CS175" i="48"/>
  <c r="CR175" i="48"/>
  <c r="CQ175" i="48"/>
  <c r="CP175" i="48"/>
  <c r="CO175" i="48"/>
  <c r="CI175" i="48"/>
  <c r="CH175" i="48"/>
  <c r="CG175" i="48"/>
  <c r="CD175" i="48"/>
  <c r="CA175" i="48"/>
  <c r="BZ175" i="48"/>
  <c r="BY175" i="48"/>
  <c r="BU175" i="48"/>
  <c r="BT175" i="48"/>
  <c r="BS175" i="48"/>
  <c r="BR175" i="48"/>
  <c r="BN175" i="48"/>
  <c r="BL175" i="48"/>
  <c r="BK175" i="48"/>
  <c r="BJ175" i="48"/>
  <c r="BI175" i="48"/>
  <c r="AI175" i="48"/>
  <c r="AM175" i="48" s="1"/>
  <c r="AA189" i="48"/>
  <c r="Z189" i="48"/>
  <c r="Y189" i="48"/>
  <c r="W189" i="48"/>
  <c r="R201" i="48"/>
  <c r="EG174" i="48"/>
  <c r="EF174" i="48"/>
  <c r="EE174" i="48"/>
  <c r="ED174" i="48"/>
  <c r="EC174" i="48"/>
  <c r="EB174" i="48"/>
  <c r="EA174" i="48"/>
  <c r="DZ174" i="48"/>
  <c r="DY174" i="48"/>
  <c r="DX174" i="48"/>
  <c r="DW174" i="48"/>
  <c r="DV174" i="48"/>
  <c r="DO174" i="48"/>
  <c r="DN174" i="48"/>
  <c r="DM174" i="48"/>
  <c r="DL174" i="48"/>
  <c r="DK174" i="48"/>
  <c r="DI174" i="48"/>
  <c r="DH174" i="48"/>
  <c r="DF174" i="48"/>
  <c r="DE174" i="48"/>
  <c r="CY174" i="48"/>
  <c r="CX174" i="48"/>
  <c r="CV174" i="48"/>
  <c r="CU174" i="48"/>
  <c r="CS174" i="48"/>
  <c r="CR174" i="48"/>
  <c r="CQ174" i="48"/>
  <c r="CP174" i="48"/>
  <c r="CO174" i="48"/>
  <c r="CI174" i="48"/>
  <c r="CH174" i="48"/>
  <c r="CG174" i="48"/>
  <c r="CD174" i="48"/>
  <c r="CA174" i="48"/>
  <c r="BZ174" i="48"/>
  <c r="BY174" i="48"/>
  <c r="BU174" i="48"/>
  <c r="BT174" i="48"/>
  <c r="BS174" i="48"/>
  <c r="BR174" i="48"/>
  <c r="BN174" i="48"/>
  <c r="BL174" i="48"/>
  <c r="BK174" i="48"/>
  <c r="BJ174" i="48"/>
  <c r="BI174" i="48"/>
  <c r="AM174" i="48"/>
  <c r="AL174" i="48"/>
  <c r="AJ174" i="48"/>
  <c r="AA188" i="48"/>
  <c r="Z188" i="48"/>
  <c r="Y188" i="48"/>
  <c r="W188" i="48"/>
  <c r="R200" i="48"/>
  <c r="EG173" i="48"/>
  <c r="EF173" i="48"/>
  <c r="EE173" i="48"/>
  <c r="ED173" i="48"/>
  <c r="EC173" i="48"/>
  <c r="EB173" i="48"/>
  <c r="EA173" i="48"/>
  <c r="DZ173" i="48"/>
  <c r="DY173" i="48"/>
  <c r="DX173" i="48"/>
  <c r="DW173" i="48"/>
  <c r="DV173" i="48"/>
  <c r="DO173" i="48"/>
  <c r="DN173" i="48"/>
  <c r="DM173" i="48"/>
  <c r="DL173" i="48"/>
  <c r="DK173" i="48"/>
  <c r="DI173" i="48"/>
  <c r="DH173" i="48"/>
  <c r="DF173" i="48"/>
  <c r="DE173" i="48"/>
  <c r="CY173" i="48"/>
  <c r="CX173" i="48"/>
  <c r="CV173" i="48"/>
  <c r="CU173" i="48"/>
  <c r="CS173" i="48"/>
  <c r="CR173" i="48"/>
  <c r="CQ173" i="48"/>
  <c r="CP173" i="48"/>
  <c r="CO173" i="48"/>
  <c r="CI173" i="48"/>
  <c r="CH173" i="48"/>
  <c r="CG173" i="48"/>
  <c r="CD173" i="48"/>
  <c r="CA173" i="48"/>
  <c r="BZ173" i="48"/>
  <c r="BY173" i="48"/>
  <c r="BU173" i="48"/>
  <c r="BT173" i="48"/>
  <c r="BS173" i="48"/>
  <c r="BR173" i="48"/>
  <c r="BN173" i="48"/>
  <c r="BL173" i="48"/>
  <c r="BK173" i="48"/>
  <c r="BJ173" i="48"/>
  <c r="BI173" i="48"/>
  <c r="AM173" i="48"/>
  <c r="AL173" i="48"/>
  <c r="AJ173" i="48"/>
  <c r="AA187" i="48"/>
  <c r="Z187" i="48"/>
  <c r="Y187" i="48"/>
  <c r="W187" i="48"/>
  <c r="R199" i="48"/>
  <c r="AM172" i="48"/>
  <c r="AL172" i="48"/>
  <c r="AJ172" i="48"/>
  <c r="AA186" i="48"/>
  <c r="Z186" i="48"/>
  <c r="Y186" i="48"/>
  <c r="W186" i="48"/>
  <c r="R198" i="48"/>
  <c r="AH171" i="48"/>
  <c r="AA185" i="48"/>
  <c r="Z185" i="48"/>
  <c r="Y185" i="48"/>
  <c r="W185" i="48"/>
  <c r="R197" i="48"/>
  <c r="EG170" i="48"/>
  <c r="EF170" i="48"/>
  <c r="EE170" i="48"/>
  <c r="ED170" i="48"/>
  <c r="EC170" i="48"/>
  <c r="EB170" i="48"/>
  <c r="EA170" i="48"/>
  <c r="DZ170" i="48"/>
  <c r="DY170" i="48"/>
  <c r="DX170" i="48"/>
  <c r="DW170" i="48"/>
  <c r="DV170" i="48"/>
  <c r="DO170" i="48"/>
  <c r="DN170" i="48"/>
  <c r="DL170" i="48"/>
  <c r="DK170" i="48"/>
  <c r="DH170" i="48"/>
  <c r="DG170" i="48"/>
  <c r="DF170" i="48"/>
  <c r="DE170" i="48"/>
  <c r="DD170" i="48"/>
  <c r="CY170" i="48"/>
  <c r="CX170" i="48"/>
  <c r="CW170" i="48"/>
  <c r="CS170" i="48"/>
  <c r="CR170" i="48"/>
  <c r="CQ170" i="48"/>
  <c r="CP170" i="48"/>
  <c r="CI170" i="48"/>
  <c r="CF170" i="48"/>
  <c r="CC170" i="48"/>
  <c r="CA170" i="48"/>
  <c r="BZ170" i="48"/>
  <c r="BY170" i="48"/>
  <c r="BU170" i="48"/>
  <c r="BS170" i="48"/>
  <c r="BR170" i="48"/>
  <c r="BN170" i="48"/>
  <c r="BL170" i="48"/>
  <c r="BK170" i="48"/>
  <c r="BJ170" i="48"/>
  <c r="BI170" i="48"/>
  <c r="AA184" i="48"/>
  <c r="Z184" i="48"/>
  <c r="Y184" i="48"/>
  <c r="W184" i="48"/>
  <c r="R196" i="48"/>
  <c r="L196" i="48"/>
  <c r="M196" i="48" s="1"/>
  <c r="EG169" i="48"/>
  <c r="EF169" i="48"/>
  <c r="EE169" i="48"/>
  <c r="ED169" i="48"/>
  <c r="EC169" i="48"/>
  <c r="EB169" i="48"/>
  <c r="EA169" i="48"/>
  <c r="DZ169" i="48"/>
  <c r="DY169" i="48"/>
  <c r="DX169" i="48"/>
  <c r="DW169" i="48"/>
  <c r="DV169" i="48"/>
  <c r="DO169" i="48"/>
  <c r="DN169" i="48"/>
  <c r="DL169" i="48"/>
  <c r="DK169" i="48"/>
  <c r="DH169" i="48"/>
  <c r="DG169" i="48"/>
  <c r="DF169" i="48"/>
  <c r="DE169" i="48"/>
  <c r="DD169" i="48"/>
  <c r="CY169" i="48"/>
  <c r="CX169" i="48"/>
  <c r="CW169" i="48"/>
  <c r="CS169" i="48"/>
  <c r="CR169" i="48"/>
  <c r="CQ169" i="48"/>
  <c r="CP169" i="48"/>
  <c r="CI169" i="48"/>
  <c r="CF169" i="48"/>
  <c r="CC169" i="48"/>
  <c r="CA169" i="48"/>
  <c r="BZ169" i="48"/>
  <c r="BY169" i="48"/>
  <c r="BU169" i="48"/>
  <c r="BS169" i="48"/>
  <c r="BR169" i="48"/>
  <c r="BN169" i="48"/>
  <c r="BL169" i="48"/>
  <c r="BK169" i="48"/>
  <c r="BJ169" i="48"/>
  <c r="BI169" i="48"/>
  <c r="AA183" i="48"/>
  <c r="Z183" i="48"/>
  <c r="Y183" i="48"/>
  <c r="W183" i="48"/>
  <c r="R195" i="48"/>
  <c r="L195" i="48"/>
  <c r="M195" i="48" s="1"/>
  <c r="EG168" i="48"/>
  <c r="EF168" i="48"/>
  <c r="EE168" i="48"/>
  <c r="ED168" i="48"/>
  <c r="EC168" i="48"/>
  <c r="EB168" i="48"/>
  <c r="EA168" i="48"/>
  <c r="DZ168" i="48"/>
  <c r="DY168" i="48"/>
  <c r="DX168" i="48"/>
  <c r="DW168" i="48"/>
  <c r="DV168" i="48"/>
  <c r="DO168" i="48"/>
  <c r="DN168" i="48"/>
  <c r="DL168" i="48"/>
  <c r="DK168" i="48"/>
  <c r="DH168" i="48"/>
  <c r="DG168" i="48"/>
  <c r="DF168" i="48"/>
  <c r="DE168" i="48"/>
  <c r="DD168" i="48"/>
  <c r="CY168" i="48"/>
  <c r="CX168" i="48"/>
  <c r="CW168" i="48"/>
  <c r="CS168" i="48"/>
  <c r="CR168" i="48"/>
  <c r="CQ168" i="48"/>
  <c r="CP168" i="48"/>
  <c r="CI168" i="48"/>
  <c r="CF168" i="48"/>
  <c r="CC168" i="48"/>
  <c r="CA168" i="48"/>
  <c r="BZ168" i="48"/>
  <c r="BY168" i="48"/>
  <c r="BU168" i="48"/>
  <c r="BS168" i="48"/>
  <c r="BR168" i="48"/>
  <c r="BN168" i="48"/>
  <c r="BL168" i="48"/>
  <c r="BK168" i="48"/>
  <c r="BJ168" i="48"/>
  <c r="BI168" i="48"/>
  <c r="AA182" i="48"/>
  <c r="Z182" i="48"/>
  <c r="Y182" i="48"/>
  <c r="W182" i="48"/>
  <c r="R194" i="48"/>
  <c r="O194" i="48"/>
  <c r="L194" i="48"/>
  <c r="EG167" i="48"/>
  <c r="EF167" i="48"/>
  <c r="EE167" i="48"/>
  <c r="ED167" i="48"/>
  <c r="EC167" i="48"/>
  <c r="EB167" i="48"/>
  <c r="EA167" i="48"/>
  <c r="DZ167" i="48"/>
  <c r="DY167" i="48"/>
  <c r="DX167" i="48"/>
  <c r="DW167" i="48"/>
  <c r="DV167" i="48"/>
  <c r="DO167" i="48"/>
  <c r="DN167" i="48"/>
  <c r="DL167" i="48"/>
  <c r="DK167" i="48"/>
  <c r="DH167" i="48"/>
  <c r="DG167" i="48"/>
  <c r="DF167" i="48"/>
  <c r="DE167" i="48"/>
  <c r="DD167" i="48"/>
  <c r="CY167" i="48"/>
  <c r="CX167" i="48"/>
  <c r="CW167" i="48"/>
  <c r="CS167" i="48"/>
  <c r="CR167" i="48"/>
  <c r="CQ167" i="48"/>
  <c r="CP167" i="48"/>
  <c r="CI167" i="48"/>
  <c r="CF167" i="48"/>
  <c r="CC167" i="48"/>
  <c r="CA167" i="48"/>
  <c r="BZ167" i="48"/>
  <c r="BY167" i="48"/>
  <c r="BU167" i="48"/>
  <c r="BS167" i="48"/>
  <c r="BR167" i="48"/>
  <c r="BN167" i="48"/>
  <c r="BL167" i="48"/>
  <c r="BK167" i="48"/>
  <c r="BJ167" i="48"/>
  <c r="BI167" i="48"/>
  <c r="AA181" i="48"/>
  <c r="R193" i="48"/>
  <c r="L193" i="48"/>
  <c r="P193" i="48" s="1"/>
  <c r="AA180" i="48"/>
  <c r="R188" i="48"/>
  <c r="O188" i="48"/>
  <c r="U188" i="48" s="1"/>
  <c r="R185" i="48"/>
  <c r="R184" i="48"/>
  <c r="O184" i="48"/>
  <c r="U184" i="48" s="1"/>
  <c r="R183" i="48"/>
  <c r="O183" i="48"/>
  <c r="U183" i="48" s="1"/>
  <c r="R182" i="48"/>
  <c r="R180" i="48"/>
  <c r="R179" i="48"/>
  <c r="R178" i="48"/>
  <c r="L178" i="48"/>
  <c r="M178" i="48" s="1"/>
  <c r="R177" i="48"/>
  <c r="O177" i="48"/>
  <c r="L177" i="48"/>
  <c r="M177" i="48" s="1"/>
  <c r="R176" i="48"/>
  <c r="O176" i="48"/>
  <c r="L176" i="48"/>
  <c r="M176" i="48" s="1"/>
  <c r="R175" i="48"/>
  <c r="R174" i="48"/>
  <c r="R171" i="48"/>
  <c r="O171" i="48"/>
  <c r="U171" i="48" s="1"/>
  <c r="R170" i="48"/>
  <c r="GI148" i="48"/>
  <c r="GH148" i="48"/>
  <c r="GG148" i="48"/>
  <c r="GF148" i="48"/>
  <c r="GE148" i="48"/>
  <c r="GD148" i="48"/>
  <c r="GC148" i="48"/>
  <c r="GB148" i="48"/>
  <c r="GA148" i="48"/>
  <c r="FZ148" i="48"/>
  <c r="FY148" i="48"/>
  <c r="FX148" i="48"/>
  <c r="FW148" i="48"/>
  <c r="FV148" i="48"/>
  <c r="FU148" i="48"/>
  <c r="FT148" i="48"/>
  <c r="FS148" i="48"/>
  <c r="FR148" i="48"/>
  <c r="FQ148" i="48"/>
  <c r="FP148" i="48"/>
  <c r="FM148" i="48"/>
  <c r="FI148" i="48"/>
  <c r="FH148" i="48"/>
  <c r="FG148" i="48"/>
  <c r="FF148" i="48"/>
  <c r="FE148" i="48"/>
  <c r="FD148" i="48"/>
  <c r="FC148" i="48"/>
  <c r="Z154" i="48" s="1"/>
  <c r="FB148" i="48"/>
  <c r="FA148" i="48"/>
  <c r="EZ148" i="48"/>
  <c r="EY148" i="48"/>
  <c r="EX148" i="48"/>
  <c r="EW148" i="48"/>
  <c r="EV148" i="48"/>
  <c r="EU148" i="48"/>
  <c r="ET148" i="48"/>
  <c r="ES148" i="48"/>
  <c r="ER148" i="48"/>
  <c r="EQ148" i="48"/>
  <c r="EP148" i="48"/>
  <c r="EN148" i="48"/>
  <c r="EM148" i="48"/>
  <c r="R169" i="48"/>
  <c r="GI147" i="48"/>
  <c r="GH147" i="48"/>
  <c r="GG147" i="48"/>
  <c r="GF147" i="48"/>
  <c r="GE147" i="48"/>
  <c r="GD147" i="48"/>
  <c r="GC147" i="48"/>
  <c r="GB147" i="48"/>
  <c r="GA147" i="48"/>
  <c r="FZ147" i="48"/>
  <c r="FY147" i="48"/>
  <c r="FX147" i="48"/>
  <c r="FW147" i="48"/>
  <c r="FV147" i="48"/>
  <c r="FU147" i="48"/>
  <c r="FT147" i="48"/>
  <c r="FS147" i="48"/>
  <c r="FR147" i="48"/>
  <c r="FQ147" i="48"/>
  <c r="FP147" i="48"/>
  <c r="FM147" i="48"/>
  <c r="FI147" i="48"/>
  <c r="FH147" i="48"/>
  <c r="FG147" i="48"/>
  <c r="FF147" i="48"/>
  <c r="FE147" i="48"/>
  <c r="FD147" i="48"/>
  <c r="FC147" i="48"/>
  <c r="Y154" i="48" s="1"/>
  <c r="O173" i="48" s="1"/>
  <c r="FB147" i="48"/>
  <c r="FA147" i="48"/>
  <c r="EZ147" i="48"/>
  <c r="EY147" i="48"/>
  <c r="EX147" i="48"/>
  <c r="EW147" i="48"/>
  <c r="EV147" i="48"/>
  <c r="EU147" i="48"/>
  <c r="ET147" i="48"/>
  <c r="ES147" i="48"/>
  <c r="ER147" i="48"/>
  <c r="EQ147" i="48"/>
  <c r="EP147" i="48"/>
  <c r="EN147" i="48"/>
  <c r="EM147" i="48"/>
  <c r="AI144" i="48"/>
  <c r="AL144" i="48" s="1"/>
  <c r="R168" i="48"/>
  <c r="AM143" i="48"/>
  <c r="AL143" i="48"/>
  <c r="AJ143" i="48"/>
  <c r="R167" i="48"/>
  <c r="AM142" i="48"/>
  <c r="AL142" i="48"/>
  <c r="AJ142" i="48"/>
  <c r="R166" i="48"/>
  <c r="L166" i="48"/>
  <c r="P166" i="48" s="1"/>
  <c r="AM141" i="48"/>
  <c r="AL141" i="48"/>
  <c r="AJ141" i="48"/>
  <c r="R165" i="48"/>
  <c r="M165" i="48"/>
  <c r="GI141" i="48"/>
  <c r="GH141" i="48"/>
  <c r="GG141" i="48"/>
  <c r="GF141" i="48"/>
  <c r="GE141" i="48"/>
  <c r="GD141" i="48"/>
  <c r="GC141" i="48"/>
  <c r="GB141" i="48"/>
  <c r="GA141" i="48"/>
  <c r="FZ141" i="48"/>
  <c r="FY141" i="48"/>
  <c r="FX141" i="48"/>
  <c r="FW141" i="48"/>
  <c r="FV141" i="48"/>
  <c r="FU141" i="48"/>
  <c r="FT141" i="48"/>
  <c r="FS141" i="48"/>
  <c r="FR141" i="48"/>
  <c r="FQ141" i="48"/>
  <c r="FP141" i="48"/>
  <c r="FM141" i="48"/>
  <c r="FI141" i="48"/>
  <c r="FH141" i="48"/>
  <c r="FG141" i="48"/>
  <c r="FF141" i="48"/>
  <c r="FE141" i="48"/>
  <c r="FD141" i="48"/>
  <c r="FC141" i="48"/>
  <c r="FB141" i="48"/>
  <c r="FA141" i="48"/>
  <c r="EZ141" i="48"/>
  <c r="EY141" i="48"/>
  <c r="EX141" i="48"/>
  <c r="EW141" i="48"/>
  <c r="EV141" i="48"/>
  <c r="EU141" i="48"/>
  <c r="ET141" i="48"/>
  <c r="ES141" i="48"/>
  <c r="ER141" i="48"/>
  <c r="EQ141" i="48"/>
  <c r="EP141" i="48"/>
  <c r="EN141" i="48"/>
  <c r="AH140" i="48"/>
  <c r="R164" i="48"/>
  <c r="L164" i="48"/>
  <c r="M164" i="48" s="1"/>
  <c r="GI140" i="48"/>
  <c r="GH140" i="48"/>
  <c r="GG140" i="48"/>
  <c r="GF140" i="48"/>
  <c r="GE140" i="48"/>
  <c r="GD140" i="48"/>
  <c r="GC140" i="48"/>
  <c r="GB140" i="48"/>
  <c r="GA140" i="48"/>
  <c r="FZ140" i="48"/>
  <c r="FY140" i="48"/>
  <c r="FX140" i="48"/>
  <c r="FW140" i="48"/>
  <c r="FV140" i="48"/>
  <c r="FU140" i="48"/>
  <c r="FT140" i="48"/>
  <c r="FS140" i="48"/>
  <c r="FR140" i="48"/>
  <c r="FQ140" i="48"/>
  <c r="FP140" i="48"/>
  <c r="FM140" i="48"/>
  <c r="FI140" i="48"/>
  <c r="FH140" i="48"/>
  <c r="FG140" i="48"/>
  <c r="FF140" i="48"/>
  <c r="FE140" i="48"/>
  <c r="FD140" i="48"/>
  <c r="FC140" i="48"/>
  <c r="FB140" i="48"/>
  <c r="FA140" i="48"/>
  <c r="EZ140" i="48"/>
  <c r="EY140" i="48"/>
  <c r="EX140" i="48"/>
  <c r="EV140" i="48"/>
  <c r="ET140" i="48"/>
  <c r="ES140" i="48"/>
  <c r="ER140" i="48"/>
  <c r="EQ140" i="48"/>
  <c r="EP140" i="48"/>
  <c r="EO140" i="48"/>
  <c r="R163" i="48"/>
  <c r="M163" i="48"/>
  <c r="AH146" i="48"/>
  <c r="R158" i="48"/>
  <c r="O158" i="48"/>
  <c r="U158" i="48" s="1"/>
  <c r="R155" i="48"/>
  <c r="R154" i="48"/>
  <c r="O154" i="48"/>
  <c r="U154" i="48" s="1"/>
  <c r="R153" i="48"/>
  <c r="O153" i="48"/>
  <c r="U153" i="48" s="1"/>
  <c r="R152" i="48"/>
  <c r="R150" i="48"/>
  <c r="R149" i="48"/>
  <c r="R148" i="48"/>
  <c r="L148" i="48"/>
  <c r="M148" i="48" s="1"/>
  <c r="R147" i="48"/>
  <c r="O147" i="48"/>
  <c r="L147" i="48"/>
  <c r="M147" i="48" s="1"/>
  <c r="R146" i="48"/>
  <c r="O146" i="48"/>
  <c r="L146" i="48"/>
  <c r="M146" i="48" s="1"/>
  <c r="R145" i="48"/>
  <c r="DL121" i="48"/>
  <c r="DK121" i="48"/>
  <c r="DJ121" i="48"/>
  <c r="DI121" i="48"/>
  <c r="DH121" i="48"/>
  <c r="DG121" i="48"/>
  <c r="DF121" i="48"/>
  <c r="DE121" i="48"/>
  <c r="DD121" i="48"/>
  <c r="DC121" i="48"/>
  <c r="DB121" i="48"/>
  <c r="DA121" i="48"/>
  <c r="CY121" i="48"/>
  <c r="CX121" i="48"/>
  <c r="CW121" i="48"/>
  <c r="CV121" i="48"/>
  <c r="CU121" i="48"/>
  <c r="CT121" i="48"/>
  <c r="CS121" i="48"/>
  <c r="CR121" i="48"/>
  <c r="CQ121" i="48"/>
  <c r="CP121" i="48"/>
  <c r="BI121" i="48"/>
  <c r="AJ121" i="48"/>
  <c r="R144" i="48"/>
  <c r="DL120" i="48"/>
  <c r="DK120" i="48"/>
  <c r="DJ120" i="48"/>
  <c r="DI120" i="48"/>
  <c r="DH120" i="48"/>
  <c r="DG120" i="48"/>
  <c r="DF120" i="48"/>
  <c r="DE120" i="48"/>
  <c r="DD120" i="48"/>
  <c r="DC120" i="48"/>
  <c r="DB120" i="48"/>
  <c r="DA120" i="48"/>
  <c r="CY120" i="48"/>
  <c r="CX120" i="48"/>
  <c r="CW120" i="48"/>
  <c r="CV120" i="48"/>
  <c r="CU120" i="48"/>
  <c r="CT120" i="48"/>
  <c r="CS120" i="48"/>
  <c r="CR120" i="48"/>
  <c r="CQ120" i="48"/>
  <c r="CP120" i="48"/>
  <c r="BI120" i="48"/>
  <c r="R143" i="48"/>
  <c r="DL119" i="48"/>
  <c r="DK119" i="48"/>
  <c r="DJ119" i="48"/>
  <c r="DI119" i="48"/>
  <c r="DH119" i="48"/>
  <c r="DG119" i="48"/>
  <c r="DF119" i="48"/>
  <c r="DE119" i="48"/>
  <c r="DD119" i="48"/>
  <c r="DC119" i="48"/>
  <c r="DB119" i="48"/>
  <c r="DA119" i="48"/>
  <c r="CY119" i="48"/>
  <c r="CX119" i="48"/>
  <c r="CW119" i="48"/>
  <c r="CV119" i="48"/>
  <c r="CU119" i="48"/>
  <c r="CT119" i="48"/>
  <c r="CS119" i="48"/>
  <c r="CR119" i="48"/>
  <c r="CQ119" i="48"/>
  <c r="CP119" i="48"/>
  <c r="BI119" i="48"/>
  <c r="R141" i="48"/>
  <c r="DL118" i="48"/>
  <c r="DK118" i="48"/>
  <c r="DJ118" i="48"/>
  <c r="DI118" i="48"/>
  <c r="DH118" i="48"/>
  <c r="DG118" i="48"/>
  <c r="DF118" i="48"/>
  <c r="DE118" i="48"/>
  <c r="DD118" i="48"/>
  <c r="DC118" i="48"/>
  <c r="DB118" i="48"/>
  <c r="DA118" i="48"/>
  <c r="CY118" i="48"/>
  <c r="CX118" i="48"/>
  <c r="CW118" i="48"/>
  <c r="CV118" i="48"/>
  <c r="CU118" i="48"/>
  <c r="CT118" i="48"/>
  <c r="CS118" i="48"/>
  <c r="CR118" i="48"/>
  <c r="CQ118" i="48"/>
  <c r="CP118" i="48"/>
  <c r="BI118" i="48"/>
  <c r="AI118" i="48"/>
  <c r="AM118" i="48" s="1"/>
  <c r="R140" i="48"/>
  <c r="AM117" i="48"/>
  <c r="AL117" i="48"/>
  <c r="AJ117" i="48"/>
  <c r="R138" i="48"/>
  <c r="AM116" i="48"/>
  <c r="AL116" i="48"/>
  <c r="AJ116" i="48"/>
  <c r="R137" i="48"/>
  <c r="L137" i="48"/>
  <c r="DL115" i="48"/>
  <c r="DK115" i="48"/>
  <c r="DJ115" i="48"/>
  <c r="DI115" i="48"/>
  <c r="DH115" i="48"/>
  <c r="DG115" i="48"/>
  <c r="DF115" i="48"/>
  <c r="DE115" i="48"/>
  <c r="DD115" i="48"/>
  <c r="DC115" i="48"/>
  <c r="DB115" i="48"/>
  <c r="DA115" i="48"/>
  <c r="CZ115" i="48"/>
  <c r="CY115" i="48"/>
  <c r="CX115" i="48"/>
  <c r="CW115" i="48"/>
  <c r="CV115" i="48"/>
  <c r="CU115" i="48"/>
  <c r="CT115" i="48"/>
  <c r="CS115" i="48"/>
  <c r="CR115" i="48"/>
  <c r="CQ115" i="48"/>
  <c r="CP115" i="48"/>
  <c r="BI115" i="48"/>
  <c r="AM115" i="48"/>
  <c r="AL115" i="48"/>
  <c r="AJ115" i="48"/>
  <c r="R134" i="48"/>
  <c r="P134" i="48"/>
  <c r="S134" i="48" s="1"/>
  <c r="DL114" i="48"/>
  <c r="DK114" i="48"/>
  <c r="DJ114" i="48"/>
  <c r="DI114" i="48"/>
  <c r="DH114" i="48"/>
  <c r="DG114" i="48"/>
  <c r="DF114" i="48"/>
  <c r="DE114" i="48"/>
  <c r="DD114" i="48"/>
  <c r="DC114" i="48"/>
  <c r="DB114" i="48"/>
  <c r="DA114" i="48"/>
  <c r="CZ114" i="48"/>
  <c r="CY114" i="48"/>
  <c r="CX114" i="48"/>
  <c r="CW114" i="48"/>
  <c r="CV114" i="48"/>
  <c r="CU114" i="48"/>
  <c r="CT114" i="48"/>
  <c r="CS114" i="48"/>
  <c r="CR114" i="48"/>
  <c r="CQ114" i="48"/>
  <c r="CP114" i="48"/>
  <c r="BI114" i="48"/>
  <c r="AH114" i="48"/>
  <c r="R133" i="48"/>
  <c r="DL113" i="48"/>
  <c r="DK113" i="48"/>
  <c r="DJ113" i="48"/>
  <c r="DI113" i="48"/>
  <c r="DH113" i="48"/>
  <c r="DG113" i="48"/>
  <c r="DF113" i="48"/>
  <c r="DE113" i="48"/>
  <c r="DD113" i="48"/>
  <c r="DC113" i="48"/>
  <c r="DB113" i="48"/>
  <c r="DA113" i="48"/>
  <c r="CZ113" i="48"/>
  <c r="CY113" i="48"/>
  <c r="CX113" i="48"/>
  <c r="CW113" i="48"/>
  <c r="CV113" i="48"/>
  <c r="CU113" i="48"/>
  <c r="CT113" i="48"/>
  <c r="CS113" i="48"/>
  <c r="CR113" i="48"/>
  <c r="CQ113" i="48"/>
  <c r="CP113" i="48"/>
  <c r="BI113" i="48"/>
  <c r="R132" i="48"/>
  <c r="L132" i="48"/>
  <c r="DL112" i="48"/>
  <c r="DK112" i="48"/>
  <c r="DJ112" i="48"/>
  <c r="DI112" i="48"/>
  <c r="DH112" i="48"/>
  <c r="DG112" i="48"/>
  <c r="DF112" i="48"/>
  <c r="DE112" i="48"/>
  <c r="DD112" i="48"/>
  <c r="DC112" i="48"/>
  <c r="DB112" i="48"/>
  <c r="DA112" i="48"/>
  <c r="CZ112" i="48"/>
  <c r="CY112" i="48"/>
  <c r="CX112" i="48"/>
  <c r="CW112" i="48"/>
  <c r="CV112" i="48"/>
  <c r="CU112" i="48"/>
  <c r="CT112" i="48"/>
  <c r="CS112" i="48"/>
  <c r="CR112" i="48"/>
  <c r="CQ112" i="48"/>
  <c r="CP112" i="48"/>
  <c r="BI112" i="48"/>
  <c r="R131" i="48"/>
  <c r="P131" i="48"/>
  <c r="S131" i="48" s="1"/>
  <c r="AH120" i="48"/>
  <c r="R126" i="48"/>
  <c r="O126" i="48"/>
  <c r="U126" i="48" s="1"/>
  <c r="R123" i="48"/>
  <c r="R122" i="48"/>
  <c r="O122" i="48"/>
  <c r="U122" i="48" s="1"/>
  <c r="R121" i="48"/>
  <c r="O121" i="48"/>
  <c r="U121" i="48" s="1"/>
  <c r="R120" i="48"/>
  <c r="R118" i="48"/>
  <c r="R117" i="48"/>
  <c r="R116" i="48"/>
  <c r="L116" i="48"/>
  <c r="M116" i="48" s="1"/>
  <c r="R115" i="48"/>
  <c r="O115" i="48"/>
  <c r="L115" i="48"/>
  <c r="M115" i="48" s="1"/>
  <c r="R114" i="48"/>
  <c r="O114" i="48"/>
  <c r="L114" i="48"/>
  <c r="R113" i="48"/>
  <c r="R112" i="48"/>
  <c r="R111" i="48"/>
  <c r="R109" i="48"/>
  <c r="GI95" i="48"/>
  <c r="GI198" i="48" s="1"/>
  <c r="GH95" i="48"/>
  <c r="GG95" i="48"/>
  <c r="GF95" i="48"/>
  <c r="GE95" i="48"/>
  <c r="GD95" i="48"/>
  <c r="GD198" i="48" s="1"/>
  <c r="GC95" i="48"/>
  <c r="GB95" i="48"/>
  <c r="GA95" i="48"/>
  <c r="FZ95" i="48"/>
  <c r="FY95" i="48"/>
  <c r="FX95" i="48"/>
  <c r="FW95" i="48"/>
  <c r="FV95" i="48"/>
  <c r="FU95" i="48"/>
  <c r="FT95" i="48"/>
  <c r="FS95" i="48"/>
  <c r="FR95" i="48"/>
  <c r="FQ95" i="48"/>
  <c r="FP95" i="48"/>
  <c r="FO120" i="48"/>
  <c r="FN120" i="48"/>
  <c r="FM95" i="48"/>
  <c r="FM198" i="48" s="1"/>
  <c r="FI95" i="48"/>
  <c r="FH95" i="48"/>
  <c r="FG95" i="48"/>
  <c r="FF95" i="48"/>
  <c r="FE95" i="48"/>
  <c r="FD95" i="48"/>
  <c r="FC95" i="48"/>
  <c r="FB95" i="48"/>
  <c r="FA95" i="48"/>
  <c r="EZ95" i="48"/>
  <c r="EY95" i="48"/>
  <c r="EX95" i="48"/>
  <c r="EW95" i="48"/>
  <c r="EV95" i="48"/>
  <c r="EU95" i="48"/>
  <c r="ET95" i="48"/>
  <c r="ES95" i="48"/>
  <c r="ER95" i="48"/>
  <c r="EQ95" i="48"/>
  <c r="EP95" i="48"/>
  <c r="EO120" i="48"/>
  <c r="EN95" i="48"/>
  <c r="EM95" i="48"/>
  <c r="AJ91" i="48"/>
  <c r="AN91" i="48" s="1"/>
  <c r="R108" i="48"/>
  <c r="GI94" i="48"/>
  <c r="GI197" i="48" s="1"/>
  <c r="GH94" i="48"/>
  <c r="GG94" i="48"/>
  <c r="GG197" i="48" s="1"/>
  <c r="GF94" i="48"/>
  <c r="GE94" i="48"/>
  <c r="GD94" i="48"/>
  <c r="GC94" i="48"/>
  <c r="GC197" i="48" s="1"/>
  <c r="GB94" i="48"/>
  <c r="GA94" i="48"/>
  <c r="GA197" i="48" s="1"/>
  <c r="FZ94" i="48"/>
  <c r="FY94" i="48"/>
  <c r="FY197" i="48" s="1"/>
  <c r="FX94" i="48"/>
  <c r="FX197" i="48" s="1"/>
  <c r="FW94" i="48"/>
  <c r="FV94" i="48"/>
  <c r="FU94" i="48"/>
  <c r="FU197" i="48" s="1"/>
  <c r="FT94" i="48"/>
  <c r="FS94" i="48"/>
  <c r="FR94" i="48"/>
  <c r="FQ94" i="48"/>
  <c r="FQ197" i="48" s="1"/>
  <c r="FP94" i="48"/>
  <c r="FN94" i="48"/>
  <c r="FM94" i="48"/>
  <c r="FM197" i="48" s="1"/>
  <c r="FI94" i="48"/>
  <c r="FI197" i="48" s="1"/>
  <c r="FH94" i="48"/>
  <c r="FG94" i="48"/>
  <c r="FF94" i="48"/>
  <c r="FF197" i="48" s="1"/>
  <c r="FE94" i="48"/>
  <c r="FD94" i="48"/>
  <c r="FC94" i="48"/>
  <c r="FB94" i="48"/>
  <c r="FA94" i="48"/>
  <c r="EZ94" i="48"/>
  <c r="EZ197" i="48" s="1"/>
  <c r="EY94" i="48"/>
  <c r="EX94" i="48"/>
  <c r="EX197" i="48" s="1"/>
  <c r="EW94" i="48"/>
  <c r="EW197" i="48" s="1"/>
  <c r="EV94" i="48"/>
  <c r="EU94" i="48"/>
  <c r="ET94" i="48"/>
  <c r="ET197" i="48" s="1"/>
  <c r="ES94" i="48"/>
  <c r="ES197" i="48" s="1"/>
  <c r="ER94" i="48"/>
  <c r="EQ94" i="48"/>
  <c r="EP94" i="48"/>
  <c r="EP197" i="48" s="1"/>
  <c r="EO94" i="48"/>
  <c r="EO197" i="48" s="1"/>
  <c r="EN94" i="48"/>
  <c r="EN197" i="48" s="1"/>
  <c r="EM94" i="48"/>
  <c r="AN90" i="48"/>
  <c r="AM90" i="48"/>
  <c r="AK90" i="48"/>
  <c r="AN89" i="48"/>
  <c r="AM89" i="48"/>
  <c r="AK89" i="48"/>
  <c r="R105" i="48"/>
  <c r="AN88" i="48"/>
  <c r="AM88" i="48"/>
  <c r="AK88" i="48"/>
  <c r="R102" i="48"/>
  <c r="P102" i="48"/>
  <c r="S102" i="48" s="1"/>
  <c r="AI87" i="48"/>
  <c r="R101" i="48"/>
  <c r="GI87" i="48"/>
  <c r="GH87" i="48"/>
  <c r="GG87" i="48"/>
  <c r="GF87" i="48"/>
  <c r="GF190" i="48" s="1"/>
  <c r="GE87" i="48"/>
  <c r="GD87" i="48"/>
  <c r="GC87" i="48"/>
  <c r="GB87" i="48"/>
  <c r="GA87" i="48"/>
  <c r="FZ87" i="48"/>
  <c r="FY87" i="48"/>
  <c r="FX87" i="48"/>
  <c r="FW87" i="48"/>
  <c r="FV87" i="48"/>
  <c r="FU87" i="48"/>
  <c r="FT87" i="48"/>
  <c r="FT190" i="48" s="1"/>
  <c r="FS87" i="48"/>
  <c r="FR87" i="48"/>
  <c r="FQ87" i="48"/>
  <c r="FP87" i="48"/>
  <c r="FO114" i="48"/>
  <c r="FN114" i="48"/>
  <c r="FM87" i="48"/>
  <c r="FI87" i="48"/>
  <c r="FH87" i="48"/>
  <c r="FG87" i="48"/>
  <c r="FF87" i="48"/>
  <c r="FE87" i="48"/>
  <c r="FE190" i="48" s="1"/>
  <c r="FD87" i="48"/>
  <c r="FC87" i="48"/>
  <c r="FB87" i="48"/>
  <c r="FA87" i="48"/>
  <c r="EZ87" i="48"/>
  <c r="EY87" i="48"/>
  <c r="EX87" i="48"/>
  <c r="EW87" i="48"/>
  <c r="EV87" i="48"/>
  <c r="EU87" i="48"/>
  <c r="ET87" i="48"/>
  <c r="ES87" i="48"/>
  <c r="ES190" i="48" s="1"/>
  <c r="ER87" i="48"/>
  <c r="EQ87" i="48"/>
  <c r="EP87" i="48"/>
  <c r="EN87" i="48"/>
  <c r="EM87" i="48"/>
  <c r="R100" i="48"/>
  <c r="L100" i="48"/>
  <c r="GI86" i="48"/>
  <c r="GI189" i="48" s="1"/>
  <c r="GH86" i="48"/>
  <c r="GH189" i="48" s="1"/>
  <c r="GG86" i="48"/>
  <c r="GG189" i="48" s="1"/>
  <c r="GF86" i="48"/>
  <c r="GE86" i="48"/>
  <c r="GD86" i="48"/>
  <c r="GC86" i="48"/>
  <c r="GC189" i="48" s="1"/>
  <c r="GB86" i="48"/>
  <c r="GA86" i="48"/>
  <c r="FZ86" i="48"/>
  <c r="FY86" i="48"/>
  <c r="FX86" i="48"/>
  <c r="FW86" i="48"/>
  <c r="FW189" i="48" s="1"/>
  <c r="FV86" i="48"/>
  <c r="FV189" i="48" s="1"/>
  <c r="FU86" i="48"/>
  <c r="FU189" i="48" s="1"/>
  <c r="FT86" i="48"/>
  <c r="FS86" i="48"/>
  <c r="FR86" i="48"/>
  <c r="FQ86" i="48"/>
  <c r="FQ189" i="48" s="1"/>
  <c r="FP86" i="48"/>
  <c r="FO113" i="48"/>
  <c r="FN86" i="48"/>
  <c r="FN189" i="48" s="1"/>
  <c r="FM86" i="48"/>
  <c r="FM189" i="48" s="1"/>
  <c r="FI86" i="48"/>
  <c r="FH86" i="48"/>
  <c r="FH189" i="48" s="1"/>
  <c r="FG86" i="48"/>
  <c r="FG189" i="48" s="1"/>
  <c r="FF86" i="48"/>
  <c r="FF189" i="48" s="1"/>
  <c r="FE86" i="48"/>
  <c r="FD86" i="48"/>
  <c r="FC86" i="48"/>
  <c r="FB86" i="48"/>
  <c r="FB189" i="48" s="1"/>
  <c r="FA86" i="48"/>
  <c r="EZ86" i="48"/>
  <c r="EY86" i="48"/>
  <c r="EX86" i="48"/>
  <c r="EW86" i="48"/>
  <c r="EV86" i="48"/>
  <c r="EV189" i="48" s="1"/>
  <c r="EU86" i="48"/>
  <c r="ET86" i="48"/>
  <c r="ET189" i="48" s="1"/>
  <c r="ES86" i="48"/>
  <c r="ER86" i="48"/>
  <c r="EQ86" i="48"/>
  <c r="EP86" i="48"/>
  <c r="EP189" i="48" s="1"/>
  <c r="EO86" i="48"/>
  <c r="EN113" i="48"/>
  <c r="EM86" i="48"/>
  <c r="EM189" i="48" s="1"/>
  <c r="R99" i="48"/>
  <c r="P99" i="48"/>
  <c r="S99" i="48" s="1"/>
  <c r="AI93" i="48"/>
  <c r="R94" i="48"/>
  <c r="O94" i="48"/>
  <c r="R91" i="48"/>
  <c r="R90" i="48"/>
  <c r="R89" i="48"/>
  <c r="R88" i="48"/>
  <c r="DP73" i="48"/>
  <c r="DO73" i="48"/>
  <c r="DN73" i="48"/>
  <c r="DM73" i="48"/>
  <c r="DL73" i="48"/>
  <c r="DK73" i="48"/>
  <c r="DJ73" i="48"/>
  <c r="DI73" i="48"/>
  <c r="DH73" i="48"/>
  <c r="DG73" i="48"/>
  <c r="DF73" i="48"/>
  <c r="DE73" i="48"/>
  <c r="DA73" i="48"/>
  <c r="CZ73" i="48"/>
  <c r="CY73" i="48"/>
  <c r="CX73" i="48"/>
  <c r="CW73" i="48"/>
  <c r="CV73" i="48"/>
  <c r="CU73" i="48"/>
  <c r="CT73" i="48"/>
  <c r="CS73" i="48"/>
  <c r="CR73" i="48"/>
  <c r="CQ73" i="48"/>
  <c r="CP73" i="48"/>
  <c r="CJ73" i="48"/>
  <c r="CI73" i="48"/>
  <c r="CH73" i="48"/>
  <c r="CG73" i="48"/>
  <c r="CF73" i="48"/>
  <c r="CE73" i="48"/>
  <c r="CD73" i="48"/>
  <c r="CC73" i="48"/>
  <c r="CB73" i="48"/>
  <c r="CA73" i="48"/>
  <c r="BZ73" i="48"/>
  <c r="BY73" i="48"/>
  <c r="BU73" i="48"/>
  <c r="BT73" i="48"/>
  <c r="BS73" i="48"/>
  <c r="BR73" i="48"/>
  <c r="BQ73" i="48"/>
  <c r="BP73" i="48"/>
  <c r="BO73" i="48"/>
  <c r="BN73" i="48"/>
  <c r="BM73" i="48"/>
  <c r="BL73" i="48"/>
  <c r="BK73" i="48"/>
  <c r="BJ73" i="48"/>
  <c r="R86" i="48"/>
  <c r="DP72" i="48"/>
  <c r="DO72" i="48"/>
  <c r="DN72" i="48"/>
  <c r="DM72" i="48"/>
  <c r="DL72" i="48"/>
  <c r="DK72" i="48"/>
  <c r="DJ72" i="48"/>
  <c r="DI72" i="48"/>
  <c r="DH72" i="48"/>
  <c r="DG72" i="48"/>
  <c r="DF72" i="48"/>
  <c r="DE72" i="48"/>
  <c r="DA72" i="48"/>
  <c r="CZ72" i="48"/>
  <c r="CY72" i="48"/>
  <c r="CX72" i="48"/>
  <c r="CW72" i="48"/>
  <c r="CV72" i="48"/>
  <c r="CU72" i="48"/>
  <c r="CT72" i="48"/>
  <c r="CS72" i="48"/>
  <c r="CR72" i="48"/>
  <c r="CQ72" i="48"/>
  <c r="CP72" i="48"/>
  <c r="CJ72" i="48"/>
  <c r="CI72" i="48"/>
  <c r="CH72" i="48"/>
  <c r="CG72" i="48"/>
  <c r="CF72" i="48"/>
  <c r="CE72" i="48"/>
  <c r="CD72" i="48"/>
  <c r="CC72" i="48"/>
  <c r="CB72" i="48"/>
  <c r="CA72" i="48"/>
  <c r="BZ72" i="48"/>
  <c r="BY72" i="48"/>
  <c r="BU72" i="48"/>
  <c r="BT72" i="48"/>
  <c r="BS72" i="48"/>
  <c r="BR72" i="48"/>
  <c r="BQ72" i="48"/>
  <c r="BP72" i="48"/>
  <c r="BO72" i="48"/>
  <c r="BN72" i="48"/>
  <c r="BM72" i="48"/>
  <c r="BL72" i="48"/>
  <c r="BK72" i="48"/>
  <c r="BJ72" i="48"/>
  <c r="R85" i="48"/>
  <c r="DP71" i="48"/>
  <c r="DO71" i="48"/>
  <c r="DN71" i="48"/>
  <c r="DM71" i="48"/>
  <c r="DL71" i="48"/>
  <c r="DK71" i="48"/>
  <c r="DJ71" i="48"/>
  <c r="DI71" i="48"/>
  <c r="DH71" i="48"/>
  <c r="DG71" i="48"/>
  <c r="DF71" i="48"/>
  <c r="DE71" i="48"/>
  <c r="DA71" i="48"/>
  <c r="CZ71" i="48"/>
  <c r="CY71" i="48"/>
  <c r="CX71" i="48"/>
  <c r="CW71" i="48"/>
  <c r="CV71" i="48"/>
  <c r="CU71" i="48"/>
  <c r="CT71" i="48"/>
  <c r="CS71" i="48"/>
  <c r="CR71" i="48"/>
  <c r="CQ71" i="48"/>
  <c r="CP71" i="48"/>
  <c r="CJ71" i="48"/>
  <c r="CI71" i="48"/>
  <c r="CH71" i="48"/>
  <c r="CG71" i="48"/>
  <c r="CF71" i="48"/>
  <c r="CE71" i="48"/>
  <c r="CD71" i="48"/>
  <c r="CC71" i="48"/>
  <c r="CB71" i="48"/>
  <c r="CA71" i="48"/>
  <c r="BZ71" i="48"/>
  <c r="BY71" i="48"/>
  <c r="BU71" i="48"/>
  <c r="BT71" i="48"/>
  <c r="BS71" i="48"/>
  <c r="BR71" i="48"/>
  <c r="BQ71" i="48"/>
  <c r="BP71" i="48"/>
  <c r="BO71" i="48"/>
  <c r="BN71" i="48"/>
  <c r="BM71" i="48"/>
  <c r="BL71" i="48"/>
  <c r="BK71" i="48"/>
  <c r="BJ71" i="48"/>
  <c r="R84" i="48"/>
  <c r="L84" i="48"/>
  <c r="DP70" i="48"/>
  <c r="DO70" i="48"/>
  <c r="DN70" i="48"/>
  <c r="DM70" i="48"/>
  <c r="DL70" i="48"/>
  <c r="DK70" i="48"/>
  <c r="DJ70" i="48"/>
  <c r="DI70" i="48"/>
  <c r="DH70" i="48"/>
  <c r="DG70" i="48"/>
  <c r="DF70" i="48"/>
  <c r="DE70" i="48"/>
  <c r="DA70" i="48"/>
  <c r="CZ70" i="48"/>
  <c r="CY70" i="48"/>
  <c r="CX70" i="48"/>
  <c r="CW70" i="48"/>
  <c r="CV70" i="48"/>
  <c r="CU70" i="48"/>
  <c r="CT70" i="48"/>
  <c r="CS70" i="48"/>
  <c r="CR70" i="48"/>
  <c r="CQ70" i="48"/>
  <c r="CP70" i="48"/>
  <c r="CJ70" i="48"/>
  <c r="CI70" i="48"/>
  <c r="CH70" i="48"/>
  <c r="CG70" i="48"/>
  <c r="CF70" i="48"/>
  <c r="CE70" i="48"/>
  <c r="CD70" i="48"/>
  <c r="CC70" i="48"/>
  <c r="CB70" i="48"/>
  <c r="CA70" i="48"/>
  <c r="BZ70" i="48"/>
  <c r="BY70" i="48"/>
  <c r="BU70" i="48"/>
  <c r="BT70" i="48"/>
  <c r="BS70" i="48"/>
  <c r="BR70" i="48"/>
  <c r="BQ70" i="48"/>
  <c r="BP70" i="48"/>
  <c r="BO70" i="48"/>
  <c r="BN70" i="48"/>
  <c r="BM70" i="48"/>
  <c r="BL70" i="48"/>
  <c r="BK70" i="48"/>
  <c r="BJ70" i="48"/>
  <c r="R83" i="48"/>
  <c r="O83" i="48"/>
  <c r="L83" i="48"/>
  <c r="M83" i="48" s="1"/>
  <c r="R82" i="48"/>
  <c r="O82" i="48"/>
  <c r="L82" i="48"/>
  <c r="M82" i="48" s="1"/>
  <c r="R81" i="48"/>
  <c r="EG67" i="48"/>
  <c r="EF67" i="48"/>
  <c r="EE67" i="48"/>
  <c r="ED67" i="48"/>
  <c r="EC67" i="48"/>
  <c r="EB67" i="48"/>
  <c r="EA67" i="48"/>
  <c r="DZ67" i="48"/>
  <c r="DY67" i="48"/>
  <c r="DX67" i="48"/>
  <c r="DW67" i="48"/>
  <c r="DV67" i="48"/>
  <c r="DP67" i="48"/>
  <c r="DO67" i="48"/>
  <c r="DN67" i="48"/>
  <c r="DM67" i="48"/>
  <c r="DL67" i="48"/>
  <c r="DK67" i="48"/>
  <c r="DJ67" i="48"/>
  <c r="DI67" i="48"/>
  <c r="DH67" i="48"/>
  <c r="DG67" i="48"/>
  <c r="DF67" i="48"/>
  <c r="DE67" i="48"/>
  <c r="DA67" i="48"/>
  <c r="CZ67" i="48"/>
  <c r="CY67" i="48"/>
  <c r="CX67" i="48"/>
  <c r="CW67" i="48"/>
  <c r="CV67" i="48"/>
  <c r="CU67" i="48"/>
  <c r="CT67" i="48"/>
  <c r="CS67" i="48"/>
  <c r="CR67" i="48"/>
  <c r="CQ67" i="48"/>
  <c r="CP67" i="48"/>
  <c r="CJ67" i="48"/>
  <c r="CI67" i="48"/>
  <c r="CH67" i="48"/>
  <c r="CG67" i="48"/>
  <c r="CF67" i="48"/>
  <c r="CE67" i="48"/>
  <c r="CD67" i="48"/>
  <c r="CC67" i="48"/>
  <c r="CB67" i="48"/>
  <c r="CA67" i="48"/>
  <c r="BZ67" i="48"/>
  <c r="BY67" i="48"/>
  <c r="BU67" i="48"/>
  <c r="BT67" i="48"/>
  <c r="BS67" i="48"/>
  <c r="BR67" i="48"/>
  <c r="BQ67" i="48"/>
  <c r="BP67" i="48"/>
  <c r="BO67" i="48"/>
  <c r="BN67" i="48"/>
  <c r="BM67" i="48"/>
  <c r="BL67" i="48"/>
  <c r="BK67" i="48"/>
  <c r="BJ67" i="48"/>
  <c r="R80" i="48"/>
  <c r="EG66" i="48"/>
  <c r="EF66" i="48"/>
  <c r="EE66" i="48"/>
  <c r="ED66" i="48"/>
  <c r="EC66" i="48"/>
  <c r="EB66" i="48"/>
  <c r="EA66" i="48"/>
  <c r="DZ66" i="48"/>
  <c r="DY66" i="48"/>
  <c r="DX66" i="48"/>
  <c r="DW66" i="48"/>
  <c r="DV66" i="48"/>
  <c r="DP66" i="48"/>
  <c r="DO66" i="48"/>
  <c r="DN66" i="48"/>
  <c r="DM66" i="48"/>
  <c r="DL66" i="48"/>
  <c r="DK66" i="48"/>
  <c r="DJ66" i="48"/>
  <c r="DI66" i="48"/>
  <c r="DH66" i="48"/>
  <c r="DG66" i="48"/>
  <c r="DF66" i="48"/>
  <c r="DE66" i="48"/>
  <c r="DA66" i="48"/>
  <c r="CZ66" i="48"/>
  <c r="CY66" i="48"/>
  <c r="CX66" i="48"/>
  <c r="CW66" i="48"/>
  <c r="CV66" i="48"/>
  <c r="CU66" i="48"/>
  <c r="CT66" i="48"/>
  <c r="CS66" i="48"/>
  <c r="CR66" i="48"/>
  <c r="CQ66" i="48"/>
  <c r="CP66" i="48"/>
  <c r="CJ66" i="48"/>
  <c r="CI66" i="48"/>
  <c r="CH66" i="48"/>
  <c r="CG66" i="48"/>
  <c r="CF66" i="48"/>
  <c r="CE66" i="48"/>
  <c r="CD66" i="48"/>
  <c r="CC66" i="48"/>
  <c r="CB66" i="48"/>
  <c r="CA66" i="48"/>
  <c r="BZ66" i="48"/>
  <c r="BY66" i="48"/>
  <c r="BU66" i="48"/>
  <c r="BT66" i="48"/>
  <c r="BS66" i="48"/>
  <c r="BR66" i="48"/>
  <c r="BQ66" i="48"/>
  <c r="BP66" i="48"/>
  <c r="BO66" i="48"/>
  <c r="BN66" i="48"/>
  <c r="BM66" i="48"/>
  <c r="BL66" i="48"/>
  <c r="BK66" i="48"/>
  <c r="BJ66" i="48"/>
  <c r="R79" i="48"/>
  <c r="EG65" i="48"/>
  <c r="EF65" i="48"/>
  <c r="EE65" i="48"/>
  <c r="ED65" i="48"/>
  <c r="EC65" i="48"/>
  <c r="EB65" i="48"/>
  <c r="EA65" i="48"/>
  <c r="DZ65" i="48"/>
  <c r="DY65" i="48"/>
  <c r="DX65" i="48"/>
  <c r="DW65" i="48"/>
  <c r="DV65" i="48"/>
  <c r="DP65" i="48"/>
  <c r="DO65" i="48"/>
  <c r="DN65" i="48"/>
  <c r="DM65" i="48"/>
  <c r="DL65" i="48"/>
  <c r="DK65" i="48"/>
  <c r="DJ65" i="48"/>
  <c r="DI65" i="48"/>
  <c r="DH65" i="48"/>
  <c r="DG65" i="48"/>
  <c r="DF65" i="48"/>
  <c r="DE65" i="48"/>
  <c r="DA65" i="48"/>
  <c r="CZ65" i="48"/>
  <c r="CY65" i="48"/>
  <c r="CX65" i="48"/>
  <c r="CW65" i="48"/>
  <c r="CV65" i="48"/>
  <c r="CU65" i="48"/>
  <c r="CT65" i="48"/>
  <c r="CS65" i="48"/>
  <c r="CR65" i="48"/>
  <c r="CQ65" i="48"/>
  <c r="CP65" i="48"/>
  <c r="CJ65" i="48"/>
  <c r="CI65" i="48"/>
  <c r="CH65" i="48"/>
  <c r="CG65" i="48"/>
  <c r="CF65" i="48"/>
  <c r="CE65" i="48"/>
  <c r="CD65" i="48"/>
  <c r="CC65" i="48"/>
  <c r="CB65" i="48"/>
  <c r="CA65" i="48"/>
  <c r="BZ65" i="48"/>
  <c r="BY65" i="48"/>
  <c r="BU65" i="48"/>
  <c r="BT65" i="48"/>
  <c r="BS65" i="48"/>
  <c r="BR65" i="48"/>
  <c r="BQ65" i="48"/>
  <c r="BP65" i="48"/>
  <c r="BO65" i="48"/>
  <c r="BN65" i="48"/>
  <c r="BM65" i="48"/>
  <c r="BL65" i="48"/>
  <c r="BK65" i="48"/>
  <c r="BJ65" i="48"/>
  <c r="EG64" i="48"/>
  <c r="EF64" i="48"/>
  <c r="EE64" i="48"/>
  <c r="ED64" i="48"/>
  <c r="EC64" i="48"/>
  <c r="EB64" i="48"/>
  <c r="EA64" i="48"/>
  <c r="DZ64" i="48"/>
  <c r="DY64" i="48"/>
  <c r="DX64" i="48"/>
  <c r="DW64" i="48"/>
  <c r="DV64" i="48"/>
  <c r="DP64" i="48"/>
  <c r="DO64" i="48"/>
  <c r="DN64" i="48"/>
  <c r="DM64" i="48"/>
  <c r="DL64" i="48"/>
  <c r="DK64" i="48"/>
  <c r="DJ64" i="48"/>
  <c r="DI64" i="48"/>
  <c r="DH64" i="48"/>
  <c r="DG64" i="48"/>
  <c r="DF64" i="48"/>
  <c r="DE64" i="48"/>
  <c r="DA64" i="48"/>
  <c r="CZ64" i="48"/>
  <c r="CY64" i="48"/>
  <c r="CX64" i="48"/>
  <c r="CW64" i="48"/>
  <c r="CV64" i="48"/>
  <c r="CU64" i="48"/>
  <c r="CT64" i="48"/>
  <c r="CS64" i="48"/>
  <c r="CR64" i="48"/>
  <c r="CQ64" i="48"/>
  <c r="CP64" i="48"/>
  <c r="CJ64" i="48"/>
  <c r="CI64" i="48"/>
  <c r="CH64" i="48"/>
  <c r="CG64" i="48"/>
  <c r="CF64" i="48"/>
  <c r="CE64" i="48"/>
  <c r="CD64" i="48"/>
  <c r="CC64" i="48"/>
  <c r="CB64" i="48"/>
  <c r="CA64" i="48"/>
  <c r="BZ64" i="48"/>
  <c r="BY64" i="48"/>
  <c r="BU64" i="48"/>
  <c r="BT64" i="48"/>
  <c r="BS64" i="48"/>
  <c r="BR64" i="48"/>
  <c r="BQ64" i="48"/>
  <c r="BP64" i="48"/>
  <c r="BO64" i="48"/>
  <c r="BN64" i="48"/>
  <c r="BM64" i="48"/>
  <c r="BL64" i="48"/>
  <c r="BK64" i="48"/>
  <c r="BJ64" i="48"/>
  <c r="R76" i="48"/>
  <c r="R74" i="48"/>
  <c r="R73" i="48"/>
  <c r="L73" i="48"/>
  <c r="N73" i="48" s="1"/>
  <c r="EG61" i="48"/>
  <c r="EF61" i="48"/>
  <c r="EE61" i="48"/>
  <c r="ED61" i="48"/>
  <c r="EC61" i="48"/>
  <c r="EB61" i="48"/>
  <c r="EA61" i="48"/>
  <c r="DZ61" i="48"/>
  <c r="DY61" i="48"/>
  <c r="DX61" i="48"/>
  <c r="DW61" i="48"/>
  <c r="DV61" i="48"/>
  <c r="DP61" i="48"/>
  <c r="DO61" i="48"/>
  <c r="DN61" i="48"/>
  <c r="DM61" i="48"/>
  <c r="DL61" i="48"/>
  <c r="DK61" i="48"/>
  <c r="DJ61" i="48"/>
  <c r="DI61" i="48"/>
  <c r="DH61" i="48"/>
  <c r="DG61" i="48"/>
  <c r="DF61" i="48"/>
  <c r="DE61" i="48"/>
  <c r="DA61" i="48"/>
  <c r="CZ61" i="48"/>
  <c r="CY61" i="48"/>
  <c r="CX61" i="48"/>
  <c r="CW61" i="48"/>
  <c r="CV61" i="48"/>
  <c r="CU61" i="48"/>
  <c r="CT61" i="48"/>
  <c r="CS61" i="48"/>
  <c r="CR61" i="48"/>
  <c r="CQ61" i="48"/>
  <c r="CP61" i="48"/>
  <c r="CJ61" i="48"/>
  <c r="CI61" i="48"/>
  <c r="CH61" i="48"/>
  <c r="CG61" i="48"/>
  <c r="CF61" i="48"/>
  <c r="CE61" i="48"/>
  <c r="CD61" i="48"/>
  <c r="CC61" i="48"/>
  <c r="CB61" i="48"/>
  <c r="CA61" i="48"/>
  <c r="BZ61" i="48"/>
  <c r="BY61" i="48"/>
  <c r="BU61" i="48"/>
  <c r="BT61" i="48"/>
  <c r="BS61" i="48"/>
  <c r="BR61" i="48"/>
  <c r="BQ61" i="48"/>
  <c r="BP61" i="48"/>
  <c r="BO61" i="48"/>
  <c r="BN61" i="48"/>
  <c r="BM61" i="48"/>
  <c r="BL61" i="48"/>
  <c r="BK61" i="48"/>
  <c r="BJ61" i="48"/>
  <c r="R70" i="48"/>
  <c r="P70" i="48"/>
  <c r="EG60" i="48"/>
  <c r="EF60" i="48"/>
  <c r="EE60" i="48"/>
  <c r="ED60" i="48"/>
  <c r="EC60" i="48"/>
  <c r="EB60" i="48"/>
  <c r="EA60" i="48"/>
  <c r="DZ60" i="48"/>
  <c r="DY60" i="48"/>
  <c r="DX60" i="48"/>
  <c r="DW60" i="48"/>
  <c r="DV60" i="48"/>
  <c r="DP60" i="48"/>
  <c r="DO60" i="48"/>
  <c r="DN60" i="48"/>
  <c r="DM60" i="48"/>
  <c r="DL60" i="48"/>
  <c r="DK60" i="48"/>
  <c r="DJ60" i="48"/>
  <c r="DI60" i="48"/>
  <c r="DH60" i="48"/>
  <c r="DG60" i="48"/>
  <c r="DF60" i="48"/>
  <c r="DE60" i="48"/>
  <c r="DA60" i="48"/>
  <c r="CZ60" i="48"/>
  <c r="CY60" i="48"/>
  <c r="CX60" i="48"/>
  <c r="CW60" i="48"/>
  <c r="CV60" i="48"/>
  <c r="CU60" i="48"/>
  <c r="CT60" i="48"/>
  <c r="CS60" i="48"/>
  <c r="CR60" i="48"/>
  <c r="CQ60" i="48"/>
  <c r="CP60" i="48"/>
  <c r="CJ60" i="48"/>
  <c r="CI60" i="48"/>
  <c r="CH60" i="48"/>
  <c r="CG60" i="48"/>
  <c r="CF60" i="48"/>
  <c r="CE60" i="48"/>
  <c r="CD60" i="48"/>
  <c r="CC60" i="48"/>
  <c r="CB60" i="48"/>
  <c r="CA60" i="48"/>
  <c r="BZ60" i="48"/>
  <c r="BY60" i="48"/>
  <c r="BU60" i="48"/>
  <c r="BT60" i="48"/>
  <c r="BS60" i="48"/>
  <c r="BR60" i="48"/>
  <c r="BQ60" i="48"/>
  <c r="BP60" i="48"/>
  <c r="BO60" i="48"/>
  <c r="BN60" i="48"/>
  <c r="BM60" i="48"/>
  <c r="BL60" i="48"/>
  <c r="BK60" i="48"/>
  <c r="BJ60" i="48"/>
  <c r="R69" i="48"/>
  <c r="EG59" i="48"/>
  <c r="EF59" i="48"/>
  <c r="EE59" i="48"/>
  <c r="ED59" i="48"/>
  <c r="EC59" i="48"/>
  <c r="EB59" i="48"/>
  <c r="EA59" i="48"/>
  <c r="DZ59" i="48"/>
  <c r="DY59" i="48"/>
  <c r="DX59" i="48"/>
  <c r="DW59" i="48"/>
  <c r="DV59" i="48"/>
  <c r="DP59" i="48"/>
  <c r="DO59" i="48"/>
  <c r="DN59" i="48"/>
  <c r="DM59" i="48"/>
  <c r="DL59" i="48"/>
  <c r="DK59" i="48"/>
  <c r="DJ59" i="48"/>
  <c r="DI59" i="48"/>
  <c r="DH59" i="48"/>
  <c r="DG59" i="48"/>
  <c r="DF59" i="48"/>
  <c r="DE59" i="48"/>
  <c r="DA59" i="48"/>
  <c r="CZ59" i="48"/>
  <c r="CY59" i="48"/>
  <c r="CX59" i="48"/>
  <c r="CW59" i="48"/>
  <c r="CV59" i="48"/>
  <c r="CU59" i="48"/>
  <c r="CT59" i="48"/>
  <c r="CS59" i="48"/>
  <c r="CR59" i="48"/>
  <c r="CQ59" i="48"/>
  <c r="CP59" i="48"/>
  <c r="CJ59" i="48"/>
  <c r="CI59" i="48"/>
  <c r="CH59" i="48"/>
  <c r="CG59" i="48"/>
  <c r="CF59" i="48"/>
  <c r="CE59" i="48"/>
  <c r="CD59" i="48"/>
  <c r="CC59" i="48"/>
  <c r="CB59" i="48"/>
  <c r="CA59" i="48"/>
  <c r="BZ59" i="48"/>
  <c r="BY59" i="48"/>
  <c r="BU59" i="48"/>
  <c r="BT59" i="48"/>
  <c r="BS59" i="48"/>
  <c r="BR59" i="48"/>
  <c r="BQ59" i="48"/>
  <c r="BP59" i="48"/>
  <c r="BO59" i="48"/>
  <c r="BN59" i="48"/>
  <c r="BM59" i="48"/>
  <c r="BL59" i="48"/>
  <c r="BK59" i="48"/>
  <c r="BJ59" i="48"/>
  <c r="R68" i="48"/>
  <c r="O68" i="48"/>
  <c r="L68" i="48"/>
  <c r="EG58" i="48"/>
  <c r="EF58" i="48"/>
  <c r="EE58" i="48"/>
  <c r="ED58" i="48"/>
  <c r="EC58" i="48"/>
  <c r="EB58" i="48"/>
  <c r="EA58" i="48"/>
  <c r="DZ58" i="48"/>
  <c r="DY58" i="48"/>
  <c r="DX58" i="48"/>
  <c r="DW58" i="48"/>
  <c r="DV58" i="48"/>
  <c r="DP58" i="48"/>
  <c r="DO58" i="48"/>
  <c r="DN58" i="48"/>
  <c r="DM58" i="48"/>
  <c r="DL58" i="48"/>
  <c r="DK58" i="48"/>
  <c r="DJ58" i="48"/>
  <c r="DI58" i="48"/>
  <c r="DH58" i="48"/>
  <c r="DG58" i="48"/>
  <c r="DF58" i="48"/>
  <c r="DE58" i="48"/>
  <c r="DA58" i="48"/>
  <c r="CZ58" i="48"/>
  <c r="CY58" i="48"/>
  <c r="CX58" i="48"/>
  <c r="CW58" i="48"/>
  <c r="CV58" i="48"/>
  <c r="CU58" i="48"/>
  <c r="CT58" i="48"/>
  <c r="CS58" i="48"/>
  <c r="CR58" i="48"/>
  <c r="CQ58" i="48"/>
  <c r="CP58" i="48"/>
  <c r="CJ58" i="48"/>
  <c r="CI58" i="48"/>
  <c r="CH58" i="48"/>
  <c r="CG58" i="48"/>
  <c r="CF58" i="48"/>
  <c r="CE58" i="48"/>
  <c r="CD58" i="48"/>
  <c r="CC58" i="48"/>
  <c r="CB58" i="48"/>
  <c r="CA58" i="48"/>
  <c r="BZ58" i="48"/>
  <c r="BY58" i="48"/>
  <c r="BU58" i="48"/>
  <c r="BT58" i="48"/>
  <c r="BS58" i="48"/>
  <c r="BR58" i="48"/>
  <c r="BQ58" i="48"/>
  <c r="BP58" i="48"/>
  <c r="BO58" i="48"/>
  <c r="BN58" i="48"/>
  <c r="BM58" i="48"/>
  <c r="BL58" i="48"/>
  <c r="BK58" i="48"/>
  <c r="BJ58" i="48"/>
  <c r="R67" i="48"/>
  <c r="P67" i="48"/>
  <c r="R62" i="48"/>
  <c r="O62" i="48"/>
  <c r="R59" i="48"/>
  <c r="L59" i="48"/>
  <c r="P59" i="48" s="1"/>
  <c r="R58" i="48"/>
  <c r="R57" i="48"/>
  <c r="R56" i="48"/>
  <c r="DP46" i="48"/>
  <c r="DO46" i="48"/>
  <c r="DN46" i="48"/>
  <c r="DM46" i="48"/>
  <c r="DL46" i="48"/>
  <c r="DK46" i="48"/>
  <c r="DJ46" i="48"/>
  <c r="DI46" i="48"/>
  <c r="DH46" i="48"/>
  <c r="DG46" i="48"/>
  <c r="DF46" i="48"/>
  <c r="DE46" i="48"/>
  <c r="DA46" i="48"/>
  <c r="CZ46" i="48"/>
  <c r="CY46" i="48"/>
  <c r="CX46" i="48"/>
  <c r="CW46" i="48"/>
  <c r="CV46" i="48"/>
  <c r="CU46" i="48"/>
  <c r="CT46" i="48"/>
  <c r="CS46" i="48"/>
  <c r="CR46" i="48"/>
  <c r="CQ46" i="48"/>
  <c r="CP46" i="48"/>
  <c r="CJ46" i="48"/>
  <c r="CI46" i="48"/>
  <c r="CH46" i="48"/>
  <c r="CG46" i="48"/>
  <c r="CF46" i="48"/>
  <c r="CE46" i="48"/>
  <c r="CD46" i="48"/>
  <c r="CC46" i="48"/>
  <c r="CB46" i="48"/>
  <c r="CA46" i="48"/>
  <c r="BZ46" i="48"/>
  <c r="BY46" i="48"/>
  <c r="BU46" i="48"/>
  <c r="BT46" i="48"/>
  <c r="BS46" i="48"/>
  <c r="BR46" i="48"/>
  <c r="BQ46" i="48"/>
  <c r="BP46" i="48"/>
  <c r="BO46" i="48"/>
  <c r="BN46" i="48"/>
  <c r="BM46" i="48"/>
  <c r="BL46" i="48"/>
  <c r="BK46" i="48"/>
  <c r="BJ46" i="48"/>
  <c r="R54" i="48"/>
  <c r="DP45" i="48"/>
  <c r="DO45" i="48"/>
  <c r="DN45" i="48"/>
  <c r="DM45" i="48"/>
  <c r="DL45" i="48"/>
  <c r="DK45" i="48"/>
  <c r="DJ45" i="48"/>
  <c r="DI45" i="48"/>
  <c r="DH45" i="48"/>
  <c r="DG45" i="48"/>
  <c r="DF45" i="48"/>
  <c r="DE45" i="48"/>
  <c r="DA45" i="48"/>
  <c r="CZ45" i="48"/>
  <c r="CY45" i="48"/>
  <c r="CX45" i="48"/>
  <c r="CW45" i="48"/>
  <c r="CV45" i="48"/>
  <c r="CU45" i="48"/>
  <c r="CT45" i="48"/>
  <c r="CS45" i="48"/>
  <c r="CR45" i="48"/>
  <c r="CQ45" i="48"/>
  <c r="CP45" i="48"/>
  <c r="CJ45" i="48"/>
  <c r="CI45" i="48"/>
  <c r="CH45" i="48"/>
  <c r="CG45" i="48"/>
  <c r="CF45" i="48"/>
  <c r="CE45" i="48"/>
  <c r="CD45" i="48"/>
  <c r="CC45" i="48"/>
  <c r="CB45" i="48"/>
  <c r="CA45" i="48"/>
  <c r="BZ45" i="48"/>
  <c r="BY45" i="48"/>
  <c r="BU45" i="48"/>
  <c r="BT45" i="48"/>
  <c r="BS45" i="48"/>
  <c r="BR45" i="48"/>
  <c r="BQ45" i="48"/>
  <c r="BP45" i="48"/>
  <c r="BO45" i="48"/>
  <c r="BN45" i="48"/>
  <c r="BM45" i="48"/>
  <c r="BL45" i="48"/>
  <c r="BK45" i="48"/>
  <c r="BJ45" i="48"/>
  <c r="R53" i="48"/>
  <c r="DP44" i="48"/>
  <c r="DO44" i="48"/>
  <c r="DN44" i="48"/>
  <c r="DM44" i="48"/>
  <c r="DL44" i="48"/>
  <c r="DK44" i="48"/>
  <c r="DJ44" i="48"/>
  <c r="DI44" i="48"/>
  <c r="DH44" i="48"/>
  <c r="DG44" i="48"/>
  <c r="DF44" i="48"/>
  <c r="DE44" i="48"/>
  <c r="DA44" i="48"/>
  <c r="CZ44" i="48"/>
  <c r="CY44" i="48"/>
  <c r="CX44" i="48"/>
  <c r="CW44" i="48"/>
  <c r="CV44" i="48"/>
  <c r="CU44" i="48"/>
  <c r="CT44" i="48"/>
  <c r="CS44" i="48"/>
  <c r="CR44" i="48"/>
  <c r="CQ44" i="48"/>
  <c r="CP44" i="48"/>
  <c r="CJ44" i="48"/>
  <c r="CI44" i="48"/>
  <c r="CH44" i="48"/>
  <c r="CG44" i="48"/>
  <c r="CF44" i="48"/>
  <c r="CE44" i="48"/>
  <c r="CD44" i="48"/>
  <c r="CC44" i="48"/>
  <c r="CB44" i="48"/>
  <c r="CA44" i="48"/>
  <c r="BZ44" i="48"/>
  <c r="BY44" i="48"/>
  <c r="BU44" i="48"/>
  <c r="BT44" i="48"/>
  <c r="BS44" i="48"/>
  <c r="BR44" i="48"/>
  <c r="BQ44" i="48"/>
  <c r="BP44" i="48"/>
  <c r="BO44" i="48"/>
  <c r="BN44" i="48"/>
  <c r="BM44" i="48"/>
  <c r="BL44" i="48"/>
  <c r="BK44" i="48"/>
  <c r="BJ44" i="48"/>
  <c r="R52" i="48"/>
  <c r="L52" i="48"/>
  <c r="M52" i="48" s="1"/>
  <c r="DP43" i="48"/>
  <c r="DO43" i="48"/>
  <c r="DN43" i="48"/>
  <c r="DM43" i="48"/>
  <c r="DL43" i="48"/>
  <c r="DK43" i="48"/>
  <c r="DJ43" i="48"/>
  <c r="DI43" i="48"/>
  <c r="DH43" i="48"/>
  <c r="DG43" i="48"/>
  <c r="DF43" i="48"/>
  <c r="DE43" i="48"/>
  <c r="DA43" i="48"/>
  <c r="CZ43" i="48"/>
  <c r="CY43" i="48"/>
  <c r="CX43" i="48"/>
  <c r="CW43" i="48"/>
  <c r="CV43" i="48"/>
  <c r="CU43" i="48"/>
  <c r="CT43" i="48"/>
  <c r="CS43" i="48"/>
  <c r="CR43" i="48"/>
  <c r="CQ43" i="48"/>
  <c r="CP43" i="48"/>
  <c r="CJ43" i="48"/>
  <c r="CI43" i="48"/>
  <c r="CH43" i="48"/>
  <c r="CG43" i="48"/>
  <c r="CF43" i="48"/>
  <c r="CE43" i="48"/>
  <c r="CD43" i="48"/>
  <c r="CC43" i="48"/>
  <c r="CB43" i="48"/>
  <c r="CA43" i="48"/>
  <c r="BZ43" i="48"/>
  <c r="BY43" i="48"/>
  <c r="BU43" i="48"/>
  <c r="BT43" i="48"/>
  <c r="BS43" i="48"/>
  <c r="BR43" i="48"/>
  <c r="BQ43" i="48"/>
  <c r="BP43" i="48"/>
  <c r="BO43" i="48"/>
  <c r="BN43" i="48"/>
  <c r="BM43" i="48"/>
  <c r="BL43" i="48"/>
  <c r="BK43" i="48"/>
  <c r="BJ43" i="48"/>
  <c r="R51" i="48"/>
  <c r="O51" i="48"/>
  <c r="L51" i="48"/>
  <c r="M51" i="48" s="1"/>
  <c r="R50" i="48"/>
  <c r="O50" i="48"/>
  <c r="L50" i="48"/>
  <c r="M50" i="48" s="1"/>
  <c r="R49" i="48"/>
  <c r="EG40" i="48"/>
  <c r="EF40" i="48"/>
  <c r="EE40" i="48"/>
  <c r="ED40" i="48"/>
  <c r="EC40" i="48"/>
  <c r="EB40" i="48"/>
  <c r="EA40" i="48"/>
  <c r="DZ40" i="48"/>
  <c r="DY40" i="48"/>
  <c r="DX40" i="48"/>
  <c r="DW40" i="48"/>
  <c r="DV40" i="48"/>
  <c r="DP40" i="48"/>
  <c r="DO40" i="48"/>
  <c r="DN40" i="48"/>
  <c r="DM40" i="48"/>
  <c r="DL40" i="48"/>
  <c r="DK40" i="48"/>
  <c r="DJ40" i="48"/>
  <c r="DI40" i="48"/>
  <c r="DH40" i="48"/>
  <c r="DG40" i="48"/>
  <c r="DF40" i="48"/>
  <c r="DE40" i="48"/>
  <c r="DA40" i="48"/>
  <c r="CZ40" i="48"/>
  <c r="CY40" i="48"/>
  <c r="CX40" i="48"/>
  <c r="CW40" i="48"/>
  <c r="CV40" i="48"/>
  <c r="CU40" i="48"/>
  <c r="CT40" i="48"/>
  <c r="CS40" i="48"/>
  <c r="CR40" i="48"/>
  <c r="CQ40" i="48"/>
  <c r="CP40" i="48"/>
  <c r="CJ40" i="48"/>
  <c r="CI40" i="48"/>
  <c r="CH40" i="48"/>
  <c r="CG40" i="48"/>
  <c r="CF40" i="48"/>
  <c r="CE40" i="48"/>
  <c r="CD40" i="48"/>
  <c r="CC40" i="48"/>
  <c r="CB40" i="48"/>
  <c r="CA40" i="48"/>
  <c r="BZ40" i="48"/>
  <c r="BY40" i="48"/>
  <c r="BU40" i="48"/>
  <c r="BT40" i="48"/>
  <c r="BS40" i="48"/>
  <c r="BR40" i="48"/>
  <c r="BQ40" i="48"/>
  <c r="BP40" i="48"/>
  <c r="BO40" i="48"/>
  <c r="BN40" i="48"/>
  <c r="BM40" i="48"/>
  <c r="BL40" i="48"/>
  <c r="BK40" i="48"/>
  <c r="BJ40" i="48"/>
  <c r="R48" i="48"/>
  <c r="EG39" i="48"/>
  <c r="EF39" i="48"/>
  <c r="EE39" i="48"/>
  <c r="ED39" i="48"/>
  <c r="EC39" i="48"/>
  <c r="EB39" i="48"/>
  <c r="EA39" i="48"/>
  <c r="DZ39" i="48"/>
  <c r="DY39" i="48"/>
  <c r="DX39" i="48"/>
  <c r="DW39" i="48"/>
  <c r="DV39" i="48"/>
  <c r="DP39" i="48"/>
  <c r="DO39" i="48"/>
  <c r="DN39" i="48"/>
  <c r="DM39" i="48"/>
  <c r="DL39" i="48"/>
  <c r="DK39" i="48"/>
  <c r="DJ39" i="48"/>
  <c r="DI39" i="48"/>
  <c r="DH39" i="48"/>
  <c r="DG39" i="48"/>
  <c r="DF39" i="48"/>
  <c r="DE39" i="48"/>
  <c r="DA39" i="48"/>
  <c r="CZ39" i="48"/>
  <c r="CY39" i="48"/>
  <c r="CX39" i="48"/>
  <c r="CW39" i="48"/>
  <c r="CV39" i="48"/>
  <c r="CU39" i="48"/>
  <c r="CT39" i="48"/>
  <c r="CS39" i="48"/>
  <c r="CR39" i="48"/>
  <c r="CQ39" i="48"/>
  <c r="CP39" i="48"/>
  <c r="CJ39" i="48"/>
  <c r="CI39" i="48"/>
  <c r="CH39" i="48"/>
  <c r="CG39" i="48"/>
  <c r="CF39" i="48"/>
  <c r="CE39" i="48"/>
  <c r="CD39" i="48"/>
  <c r="CC39" i="48"/>
  <c r="CB39" i="48"/>
  <c r="CA39" i="48"/>
  <c r="BZ39" i="48"/>
  <c r="BY39" i="48"/>
  <c r="BU39" i="48"/>
  <c r="BT39" i="48"/>
  <c r="BS39" i="48"/>
  <c r="BR39" i="48"/>
  <c r="BQ39" i="48"/>
  <c r="BP39" i="48"/>
  <c r="BO39" i="48"/>
  <c r="BN39" i="48"/>
  <c r="BM39" i="48"/>
  <c r="BL39" i="48"/>
  <c r="BK39" i="48"/>
  <c r="BJ39" i="48"/>
  <c r="EG38" i="48"/>
  <c r="EF38" i="48"/>
  <c r="EE38" i="48"/>
  <c r="ED38" i="48"/>
  <c r="EC38" i="48"/>
  <c r="EB38" i="48"/>
  <c r="EA38" i="48"/>
  <c r="DZ38" i="48"/>
  <c r="DY38" i="48"/>
  <c r="DX38" i="48"/>
  <c r="DW38" i="48"/>
  <c r="DV38" i="48"/>
  <c r="DP38" i="48"/>
  <c r="DO38" i="48"/>
  <c r="DN38" i="48"/>
  <c r="DM38" i="48"/>
  <c r="DL38" i="48"/>
  <c r="DK38" i="48"/>
  <c r="DJ38" i="48"/>
  <c r="DI38" i="48"/>
  <c r="DH38" i="48"/>
  <c r="DG38" i="48"/>
  <c r="DF38" i="48"/>
  <c r="DE38" i="48"/>
  <c r="DA38" i="48"/>
  <c r="CZ38" i="48"/>
  <c r="CY38" i="48"/>
  <c r="CX38" i="48"/>
  <c r="CW38" i="48"/>
  <c r="CV38" i="48"/>
  <c r="CU38" i="48"/>
  <c r="CT38" i="48"/>
  <c r="CS38" i="48"/>
  <c r="CR38" i="48"/>
  <c r="CQ38" i="48"/>
  <c r="CP38" i="48"/>
  <c r="CJ38" i="48"/>
  <c r="CI38" i="48"/>
  <c r="CH38" i="48"/>
  <c r="CG38" i="48"/>
  <c r="CF38" i="48"/>
  <c r="CE38" i="48"/>
  <c r="CD38" i="48"/>
  <c r="CC38" i="48"/>
  <c r="CB38" i="48"/>
  <c r="CA38" i="48"/>
  <c r="BZ38" i="48"/>
  <c r="BY38" i="48"/>
  <c r="BU38" i="48"/>
  <c r="BT38" i="48"/>
  <c r="BS38" i="48"/>
  <c r="BR38" i="48"/>
  <c r="BQ38" i="48"/>
  <c r="BP38" i="48"/>
  <c r="BO38" i="48"/>
  <c r="BN38" i="48"/>
  <c r="BM38" i="48"/>
  <c r="BL38" i="48"/>
  <c r="BK38" i="48"/>
  <c r="BJ38" i="48"/>
  <c r="R45" i="48"/>
  <c r="EG37" i="48"/>
  <c r="EF37" i="48"/>
  <c r="EE37" i="48"/>
  <c r="ED37" i="48"/>
  <c r="EC37" i="48"/>
  <c r="EB37" i="48"/>
  <c r="EA37" i="48"/>
  <c r="DZ37" i="48"/>
  <c r="DY37" i="48"/>
  <c r="DX37" i="48"/>
  <c r="DW37" i="48"/>
  <c r="DV37" i="48"/>
  <c r="DP37" i="48"/>
  <c r="DO37" i="48"/>
  <c r="DN37" i="48"/>
  <c r="DM37" i="48"/>
  <c r="DL37" i="48"/>
  <c r="DK37" i="48"/>
  <c r="DJ37" i="48"/>
  <c r="DI37" i="48"/>
  <c r="DH37" i="48"/>
  <c r="DG37" i="48"/>
  <c r="DF37" i="48"/>
  <c r="DE37" i="48"/>
  <c r="DA37" i="48"/>
  <c r="CZ37" i="48"/>
  <c r="CY37" i="48"/>
  <c r="CX37" i="48"/>
  <c r="CW37" i="48"/>
  <c r="CV37" i="48"/>
  <c r="CU37" i="48"/>
  <c r="CT37" i="48"/>
  <c r="CS37" i="48"/>
  <c r="CR37" i="48"/>
  <c r="CQ37" i="48"/>
  <c r="CP37" i="48"/>
  <c r="CJ37" i="48"/>
  <c r="CI37" i="48"/>
  <c r="CH37" i="48"/>
  <c r="CG37" i="48"/>
  <c r="CF37" i="48"/>
  <c r="CE37" i="48"/>
  <c r="CD37" i="48"/>
  <c r="CC37" i="48"/>
  <c r="CB37" i="48"/>
  <c r="CA37" i="48"/>
  <c r="BZ37" i="48"/>
  <c r="BY37" i="48"/>
  <c r="BU37" i="48"/>
  <c r="BT37" i="48"/>
  <c r="BS37" i="48"/>
  <c r="BR37" i="48"/>
  <c r="BQ37" i="48"/>
  <c r="BP37" i="48"/>
  <c r="BO37" i="48"/>
  <c r="BN37" i="48"/>
  <c r="BM37" i="48"/>
  <c r="BL37" i="48"/>
  <c r="BK37" i="48"/>
  <c r="BJ37" i="48"/>
  <c r="R44" i="48"/>
  <c r="R42" i="48"/>
  <c r="R41" i="48"/>
  <c r="L41" i="48"/>
  <c r="EG34" i="48"/>
  <c r="EF34" i="48"/>
  <c r="EE34" i="48"/>
  <c r="ED34" i="48"/>
  <c r="EC34" i="48"/>
  <c r="EB34" i="48"/>
  <c r="EA34" i="48"/>
  <c r="DZ34" i="48"/>
  <c r="DY34" i="48"/>
  <c r="DX34" i="48"/>
  <c r="DW34" i="48"/>
  <c r="DV34" i="48"/>
  <c r="DP34" i="48"/>
  <c r="DO34" i="48"/>
  <c r="DN34" i="48"/>
  <c r="DM34" i="48"/>
  <c r="DL34" i="48"/>
  <c r="DK34" i="48"/>
  <c r="DJ34" i="48"/>
  <c r="DI34" i="48"/>
  <c r="DH34" i="48"/>
  <c r="DG34" i="48"/>
  <c r="DF34" i="48"/>
  <c r="DE34" i="48"/>
  <c r="DA34" i="48"/>
  <c r="CZ34" i="48"/>
  <c r="CY34" i="48"/>
  <c r="CX34" i="48"/>
  <c r="CW34" i="48"/>
  <c r="CV34" i="48"/>
  <c r="CU34" i="48"/>
  <c r="CT34" i="48"/>
  <c r="CS34" i="48"/>
  <c r="CR34" i="48"/>
  <c r="CQ34" i="48"/>
  <c r="CP34" i="48"/>
  <c r="CJ34" i="48"/>
  <c r="CI34" i="48"/>
  <c r="CH34" i="48"/>
  <c r="CG34" i="48"/>
  <c r="CF34" i="48"/>
  <c r="CE34" i="48"/>
  <c r="CD34" i="48"/>
  <c r="CC34" i="48"/>
  <c r="CB34" i="48"/>
  <c r="CA34" i="48"/>
  <c r="BZ34" i="48"/>
  <c r="BY34" i="48"/>
  <c r="BU34" i="48"/>
  <c r="BT34" i="48"/>
  <c r="BS34" i="48"/>
  <c r="BR34" i="48"/>
  <c r="BQ34" i="48"/>
  <c r="BP34" i="48"/>
  <c r="BO34" i="48"/>
  <c r="BN34" i="48"/>
  <c r="BM34" i="48"/>
  <c r="BL34" i="48"/>
  <c r="BK34" i="48"/>
  <c r="BJ34" i="48"/>
  <c r="R38" i="48"/>
  <c r="M38" i="48"/>
  <c r="EG33" i="48"/>
  <c r="EF33" i="48"/>
  <c r="EE33" i="48"/>
  <c r="ED33" i="48"/>
  <c r="EC33" i="48"/>
  <c r="EB33" i="48"/>
  <c r="EA33" i="48"/>
  <c r="DZ33" i="48"/>
  <c r="DY33" i="48"/>
  <c r="DX33" i="48"/>
  <c r="DW33" i="48"/>
  <c r="DV33" i="48"/>
  <c r="DP33" i="48"/>
  <c r="DO33" i="48"/>
  <c r="DN33" i="48"/>
  <c r="DM33" i="48"/>
  <c r="DL33" i="48"/>
  <c r="DK33" i="48"/>
  <c r="DJ33" i="48"/>
  <c r="DI33" i="48"/>
  <c r="DH33" i="48"/>
  <c r="DG33" i="48"/>
  <c r="DF33" i="48"/>
  <c r="DE33" i="48"/>
  <c r="DA33" i="48"/>
  <c r="CZ33" i="48"/>
  <c r="CY33" i="48"/>
  <c r="CX33" i="48"/>
  <c r="CW33" i="48"/>
  <c r="CV33" i="48"/>
  <c r="CU33" i="48"/>
  <c r="CT33" i="48"/>
  <c r="CS33" i="48"/>
  <c r="CR33" i="48"/>
  <c r="CQ33" i="48"/>
  <c r="CP33" i="48"/>
  <c r="CJ33" i="48"/>
  <c r="CI33" i="48"/>
  <c r="CH33" i="48"/>
  <c r="CG33" i="48"/>
  <c r="CF33" i="48"/>
  <c r="CE33" i="48"/>
  <c r="CD33" i="48"/>
  <c r="CC33" i="48"/>
  <c r="CB33" i="48"/>
  <c r="CA33" i="48"/>
  <c r="BZ33" i="48"/>
  <c r="BY33" i="48"/>
  <c r="BU33" i="48"/>
  <c r="BT33" i="48"/>
  <c r="BS33" i="48"/>
  <c r="BR33" i="48"/>
  <c r="BQ33" i="48"/>
  <c r="BP33" i="48"/>
  <c r="BO33" i="48"/>
  <c r="BN33" i="48"/>
  <c r="BM33" i="48"/>
  <c r="BL33" i="48"/>
  <c r="BK33" i="48"/>
  <c r="BJ33" i="48"/>
  <c r="R37" i="48"/>
  <c r="P37" i="48"/>
  <c r="EG32" i="48"/>
  <c r="EF32" i="48"/>
  <c r="EE32" i="48"/>
  <c r="ED32" i="48"/>
  <c r="EC32" i="48"/>
  <c r="EB32" i="48"/>
  <c r="EA32" i="48"/>
  <c r="DZ32" i="48"/>
  <c r="DY32" i="48"/>
  <c r="DX32" i="48"/>
  <c r="DW32" i="48"/>
  <c r="DV32" i="48"/>
  <c r="DP32" i="48"/>
  <c r="DO32" i="48"/>
  <c r="DN32" i="48"/>
  <c r="DM32" i="48"/>
  <c r="DL32" i="48"/>
  <c r="DK32" i="48"/>
  <c r="DJ32" i="48"/>
  <c r="DI32" i="48"/>
  <c r="DH32" i="48"/>
  <c r="DG32" i="48"/>
  <c r="DF32" i="48"/>
  <c r="DE32" i="48"/>
  <c r="DA32" i="48"/>
  <c r="CZ32" i="48"/>
  <c r="CY32" i="48"/>
  <c r="CX32" i="48"/>
  <c r="CW32" i="48"/>
  <c r="CV32" i="48"/>
  <c r="CU32" i="48"/>
  <c r="CT32" i="48"/>
  <c r="CS32" i="48"/>
  <c r="CR32" i="48"/>
  <c r="CQ32" i="48"/>
  <c r="CP32" i="48"/>
  <c r="CJ32" i="48"/>
  <c r="CI32" i="48"/>
  <c r="CH32" i="48"/>
  <c r="CG32" i="48"/>
  <c r="CF32" i="48"/>
  <c r="CE32" i="48"/>
  <c r="CD32" i="48"/>
  <c r="CC32" i="48"/>
  <c r="CB32" i="48"/>
  <c r="CA32" i="48"/>
  <c r="BZ32" i="48"/>
  <c r="BY32" i="48"/>
  <c r="BU32" i="48"/>
  <c r="BT32" i="48"/>
  <c r="BS32" i="48"/>
  <c r="BR32" i="48"/>
  <c r="BQ32" i="48"/>
  <c r="BP32" i="48"/>
  <c r="BO32" i="48"/>
  <c r="BN32" i="48"/>
  <c r="BM32" i="48"/>
  <c r="BL32" i="48"/>
  <c r="BK32" i="48"/>
  <c r="BJ32" i="48"/>
  <c r="R36" i="48"/>
  <c r="L36" i="48"/>
  <c r="EG31" i="48"/>
  <c r="EF31" i="48"/>
  <c r="EE31" i="48"/>
  <c r="ED31" i="48"/>
  <c r="EC31" i="48"/>
  <c r="EB31" i="48"/>
  <c r="EA31" i="48"/>
  <c r="DZ31" i="48"/>
  <c r="DY31" i="48"/>
  <c r="DX31" i="48"/>
  <c r="DW31" i="48"/>
  <c r="DV31" i="48"/>
  <c r="DP31" i="48"/>
  <c r="DO31" i="48"/>
  <c r="DN31" i="48"/>
  <c r="DM31" i="48"/>
  <c r="DL31" i="48"/>
  <c r="DK31" i="48"/>
  <c r="DJ31" i="48"/>
  <c r="DI31" i="48"/>
  <c r="DH31" i="48"/>
  <c r="DG31" i="48"/>
  <c r="DF31" i="48"/>
  <c r="DE31" i="48"/>
  <c r="DA31" i="48"/>
  <c r="CZ31" i="48"/>
  <c r="CY31" i="48"/>
  <c r="CX31" i="48"/>
  <c r="CW31" i="48"/>
  <c r="CV31" i="48"/>
  <c r="CU31" i="48"/>
  <c r="CT31" i="48"/>
  <c r="CS31" i="48"/>
  <c r="CR31" i="48"/>
  <c r="CQ31" i="48"/>
  <c r="CP31" i="48"/>
  <c r="CJ31" i="48"/>
  <c r="CI31" i="48"/>
  <c r="CH31" i="48"/>
  <c r="CG31" i="48"/>
  <c r="CF31" i="48"/>
  <c r="CE31" i="48"/>
  <c r="CD31" i="48"/>
  <c r="CC31" i="48"/>
  <c r="CB31" i="48"/>
  <c r="CA31" i="48"/>
  <c r="BZ31" i="48"/>
  <c r="BY31" i="48"/>
  <c r="BU31" i="48"/>
  <c r="BT31" i="48"/>
  <c r="BS31" i="48"/>
  <c r="BR31" i="48"/>
  <c r="BQ31" i="48"/>
  <c r="BP31" i="48"/>
  <c r="BO31" i="48"/>
  <c r="BN31" i="48"/>
  <c r="BM31" i="48"/>
  <c r="BL31" i="48"/>
  <c r="BK31" i="48"/>
  <c r="BJ31" i="48"/>
  <c r="P35" i="48"/>
  <c r="S35" i="48" s="1"/>
  <c r="AK25" i="48"/>
  <c r="AN25" i="48" s="1"/>
  <c r="R30" i="48"/>
  <c r="AO24" i="48"/>
  <c r="AN24" i="48"/>
  <c r="AL24" i="48"/>
  <c r="AO23" i="48"/>
  <c r="AN23" i="48"/>
  <c r="AL23" i="48"/>
  <c r="R27" i="48"/>
  <c r="AO22" i="48"/>
  <c r="AN22" i="48"/>
  <c r="AL22" i="48"/>
  <c r="R26" i="48"/>
  <c r="R25" i="48"/>
  <c r="R24" i="48"/>
  <c r="AD19" i="48"/>
  <c r="R22" i="48"/>
  <c r="AD18" i="48"/>
  <c r="R21" i="48"/>
  <c r="AD17" i="48"/>
  <c r="R20" i="48"/>
  <c r="L20" i="48"/>
  <c r="P20" i="48" s="1"/>
  <c r="S20" i="48" s="1"/>
  <c r="AE16" i="48"/>
  <c r="AD16" i="48"/>
  <c r="R19" i="48"/>
  <c r="O19" i="48"/>
  <c r="L19" i="48"/>
  <c r="P19" i="48" s="1"/>
  <c r="S19" i="48" s="1"/>
  <c r="R18" i="48"/>
  <c r="O18" i="48"/>
  <c r="GQ17" i="48"/>
  <c r="GP17" i="48"/>
  <c r="GO17" i="48"/>
  <c r="GN17" i="48"/>
  <c r="GM17" i="48"/>
  <c r="GL17" i="48"/>
  <c r="GK17" i="48"/>
  <c r="GK178" i="48" s="1"/>
  <c r="GJ17" i="48"/>
  <c r="GJ178" i="48" s="1"/>
  <c r="GI17" i="48"/>
  <c r="GH17" i="48"/>
  <c r="GF17" i="48"/>
  <c r="GB17" i="48"/>
  <c r="GA17" i="48"/>
  <c r="FZ17" i="48"/>
  <c r="FZ72" i="48" s="1"/>
  <c r="FY17" i="48"/>
  <c r="FX17" i="48"/>
  <c r="FW17" i="48"/>
  <c r="FV17" i="48"/>
  <c r="FV45" i="48" s="1"/>
  <c r="FU17" i="48"/>
  <c r="FU45" i="48" s="1"/>
  <c r="FT17" i="48"/>
  <c r="FS17" i="48"/>
  <c r="FQ17" i="48"/>
  <c r="FM17" i="48"/>
  <c r="FL17" i="48"/>
  <c r="FK17" i="48"/>
  <c r="FJ17" i="48"/>
  <c r="FI17" i="48"/>
  <c r="FH17" i="48"/>
  <c r="FG17" i="48"/>
  <c r="FF17" i="48"/>
  <c r="FF178" i="48" s="1"/>
  <c r="FE17" i="48"/>
  <c r="FD17" i="48"/>
  <c r="FB17" i="48"/>
  <c r="EX17" i="48"/>
  <c r="EW17" i="48"/>
  <c r="EV17" i="48"/>
  <c r="EU17" i="48"/>
  <c r="ET17" i="48"/>
  <c r="ES17" i="48"/>
  <c r="ER17" i="48"/>
  <c r="ER45" i="48" s="1"/>
  <c r="EQ17" i="48"/>
  <c r="EQ45" i="48" s="1"/>
  <c r="EP17" i="48"/>
  <c r="EP45" i="48" s="1"/>
  <c r="EM17" i="48"/>
  <c r="AD14" i="48"/>
  <c r="R17" i="48"/>
  <c r="GQ16" i="48"/>
  <c r="GP16" i="48"/>
  <c r="GO16" i="48"/>
  <c r="GN16" i="48"/>
  <c r="GN44" i="48" s="1"/>
  <c r="GM16" i="48"/>
  <c r="GM44" i="48" s="1"/>
  <c r="GL16" i="48"/>
  <c r="GK16" i="48"/>
  <c r="GK44" i="48" s="1"/>
  <c r="GJ16" i="48"/>
  <c r="GI16" i="48"/>
  <c r="GH16" i="48"/>
  <c r="GF16" i="48"/>
  <c r="GB16" i="48"/>
  <c r="GA16" i="48"/>
  <c r="FZ16" i="48"/>
  <c r="FZ44" i="48" s="1"/>
  <c r="FY16" i="48"/>
  <c r="FX16" i="48"/>
  <c r="FX177" i="48" s="1"/>
  <c r="FW16" i="48"/>
  <c r="FV16" i="48"/>
  <c r="FU16" i="48"/>
  <c r="FT16" i="48"/>
  <c r="FS16" i="48"/>
  <c r="FQ16" i="48"/>
  <c r="FM16" i="48"/>
  <c r="FL16" i="48"/>
  <c r="FK16" i="48"/>
  <c r="FJ16" i="48"/>
  <c r="FJ44" i="48" s="1"/>
  <c r="FI16" i="48"/>
  <c r="FI177" i="48" s="1"/>
  <c r="FH16" i="48"/>
  <c r="FG16" i="48"/>
  <c r="FG44" i="48" s="1"/>
  <c r="FF16" i="48"/>
  <c r="FE16" i="48"/>
  <c r="FD16" i="48"/>
  <c r="FB16" i="48"/>
  <c r="EX16" i="48"/>
  <c r="EW16" i="48"/>
  <c r="EV16" i="48"/>
  <c r="EU16" i="48"/>
  <c r="ET16" i="48"/>
  <c r="ET44" i="48" s="1"/>
  <c r="ES16" i="48"/>
  <c r="ER16" i="48"/>
  <c r="EQ16" i="48"/>
  <c r="EP16" i="48"/>
  <c r="EM16" i="48"/>
  <c r="R16" i="48"/>
  <c r="R15" i="48"/>
  <c r="AD11" i="48"/>
  <c r="AE11" i="48" s="1"/>
  <c r="AD12" i="48" s="1"/>
  <c r="AD13" i="48" s="1"/>
  <c r="R13" i="48"/>
  <c r="HF11" i="48"/>
  <c r="HE11" i="48"/>
  <c r="HD11" i="48"/>
  <c r="HC11" i="48"/>
  <c r="HB11" i="48"/>
  <c r="HA11" i="48"/>
  <c r="GZ11" i="48"/>
  <c r="GY11" i="48"/>
  <c r="GX11" i="48"/>
  <c r="GW11" i="48"/>
  <c r="GU11" i="48"/>
  <c r="GQ11" i="48"/>
  <c r="GP11" i="48"/>
  <c r="GO11" i="48"/>
  <c r="GN11" i="48"/>
  <c r="GM11" i="48"/>
  <c r="GL11" i="48"/>
  <c r="GK11" i="48"/>
  <c r="GK39" i="48" s="1"/>
  <c r="GJ11" i="48"/>
  <c r="GI11" i="48"/>
  <c r="GI39" i="48" s="1"/>
  <c r="GH11" i="48"/>
  <c r="GF11" i="48"/>
  <c r="GB11" i="48"/>
  <c r="GA11" i="48"/>
  <c r="FZ11" i="48"/>
  <c r="FY11" i="48"/>
  <c r="FX11" i="48"/>
  <c r="FW11" i="48"/>
  <c r="FV11" i="48"/>
  <c r="FU11" i="48"/>
  <c r="FT11" i="48"/>
  <c r="FT39" i="48" s="1"/>
  <c r="FS11" i="48"/>
  <c r="FR39" i="48"/>
  <c r="FQ11" i="48"/>
  <c r="FQ66" i="48" s="1"/>
  <c r="FM11" i="48"/>
  <c r="FM39" i="48" s="1"/>
  <c r="FL11" i="48"/>
  <c r="FK11" i="48"/>
  <c r="FJ11" i="48"/>
  <c r="FI11" i="48"/>
  <c r="FH11" i="48"/>
  <c r="FG11" i="48"/>
  <c r="FF11" i="48"/>
  <c r="FE11" i="48"/>
  <c r="FD11" i="48"/>
  <c r="FB11" i="48"/>
  <c r="EX11" i="48"/>
  <c r="EX173" i="48" s="1"/>
  <c r="EW11" i="48"/>
  <c r="EV11" i="48"/>
  <c r="EU11" i="48"/>
  <c r="ET11" i="48"/>
  <c r="ES11" i="48"/>
  <c r="ER11" i="48"/>
  <c r="ER39" i="48" s="1"/>
  <c r="EQ11" i="48"/>
  <c r="EP11" i="48"/>
  <c r="EM11" i="48"/>
  <c r="R11" i="48"/>
  <c r="HF10" i="48"/>
  <c r="HE10" i="48"/>
  <c r="HD10" i="48"/>
  <c r="HC10" i="48"/>
  <c r="HB10" i="48"/>
  <c r="HB38" i="48" s="1"/>
  <c r="HA10" i="48"/>
  <c r="GZ10" i="48"/>
  <c r="GY10" i="48"/>
  <c r="GX10" i="48"/>
  <c r="GW10" i="48"/>
  <c r="GU10" i="48"/>
  <c r="GQ10" i="48"/>
  <c r="GP10" i="48"/>
  <c r="GO10" i="48"/>
  <c r="GN10" i="48"/>
  <c r="GM10" i="48"/>
  <c r="GL10" i="48"/>
  <c r="GK10" i="48"/>
  <c r="GJ10" i="48"/>
  <c r="GJ38" i="48" s="1"/>
  <c r="GI10" i="48"/>
  <c r="GH10" i="48"/>
  <c r="GH38" i="48" s="1"/>
  <c r="GF10" i="48"/>
  <c r="GF38" i="48" s="1"/>
  <c r="GB10" i="48"/>
  <c r="GA10" i="48"/>
  <c r="FZ10" i="48"/>
  <c r="FY10" i="48"/>
  <c r="FX10" i="48"/>
  <c r="FW10" i="48"/>
  <c r="FV10" i="48"/>
  <c r="FU10" i="48"/>
  <c r="FT10" i="48"/>
  <c r="FS10" i="48"/>
  <c r="FS38" i="48" s="1"/>
  <c r="FQ10" i="48"/>
  <c r="FQ38" i="48" s="1"/>
  <c r="FM10" i="48"/>
  <c r="FL10" i="48"/>
  <c r="FK10" i="48"/>
  <c r="FJ10" i="48"/>
  <c r="FI10" i="48"/>
  <c r="FH10" i="48"/>
  <c r="FG10" i="48"/>
  <c r="FF10" i="48"/>
  <c r="FE10" i="48"/>
  <c r="FD10" i="48"/>
  <c r="FD65" i="48" s="1"/>
  <c r="FB10" i="48"/>
  <c r="EX10" i="48"/>
  <c r="EW10" i="48"/>
  <c r="EV10" i="48"/>
  <c r="EV172" i="48" s="1"/>
  <c r="EU10" i="48"/>
  <c r="ET10" i="48"/>
  <c r="ES10" i="48"/>
  <c r="ES38" i="48" s="1"/>
  <c r="ER10" i="48"/>
  <c r="EQ10" i="48"/>
  <c r="EP10" i="48"/>
  <c r="EM10" i="48"/>
  <c r="EM38" i="48" s="1"/>
  <c r="R10" i="48"/>
  <c r="R9" i="48"/>
  <c r="N9" i="48"/>
  <c r="R6" i="48"/>
  <c r="N6" i="48"/>
  <c r="R5" i="48"/>
  <c r="P5" i="48"/>
  <c r="S5" i="48" s="1"/>
  <c r="HF5" i="48"/>
  <c r="HE5" i="48"/>
  <c r="HD5" i="48"/>
  <c r="HD60" i="48" s="1"/>
  <c r="HC5" i="48"/>
  <c r="HB5" i="48"/>
  <c r="HA5" i="48"/>
  <c r="GZ5" i="48"/>
  <c r="GY5" i="48"/>
  <c r="GY60" i="48" s="1"/>
  <c r="Z65" i="48" s="1"/>
  <c r="O80" i="48" s="1"/>
  <c r="GX5" i="48"/>
  <c r="GW5" i="48"/>
  <c r="GV33" i="48"/>
  <c r="GU5" i="48"/>
  <c r="GQ5" i="48"/>
  <c r="GQ33" i="48" s="1"/>
  <c r="GP5" i="48"/>
  <c r="GO5" i="48"/>
  <c r="GN5" i="48"/>
  <c r="GN33" i="48" s="1"/>
  <c r="GM5" i="48"/>
  <c r="GL5" i="48"/>
  <c r="GK5" i="48"/>
  <c r="GJ5" i="48"/>
  <c r="GI5" i="48"/>
  <c r="GH5" i="48"/>
  <c r="GH60" i="48" s="1"/>
  <c r="GF5" i="48"/>
  <c r="GF33" i="48" s="1"/>
  <c r="GB5" i="48"/>
  <c r="GA5" i="48"/>
  <c r="GA33" i="48" s="1"/>
  <c r="FZ5" i="48"/>
  <c r="FY5" i="48"/>
  <c r="FY33" i="48" s="1"/>
  <c r="FX5" i="48"/>
  <c r="FW5" i="48"/>
  <c r="FV5" i="48"/>
  <c r="FU5" i="48"/>
  <c r="FT5" i="48"/>
  <c r="FS5" i="48"/>
  <c r="FQ5" i="48"/>
  <c r="FQ33" i="48" s="1"/>
  <c r="FM5" i="48"/>
  <c r="FL5" i="48"/>
  <c r="FL33" i="48" s="1"/>
  <c r="FK5" i="48"/>
  <c r="FJ5" i="48"/>
  <c r="FJ33" i="48" s="1"/>
  <c r="FI5" i="48"/>
  <c r="FH5" i="48"/>
  <c r="FG5" i="48"/>
  <c r="FF5" i="48"/>
  <c r="FE5" i="48"/>
  <c r="FB5" i="48"/>
  <c r="EX5" i="48"/>
  <c r="EW5" i="48"/>
  <c r="EV5" i="48"/>
  <c r="EV168" i="48" s="1"/>
  <c r="EU5" i="48"/>
  <c r="ET5" i="48"/>
  <c r="ES5" i="48"/>
  <c r="ER5" i="48"/>
  <c r="EQ5" i="48"/>
  <c r="EP5" i="48"/>
  <c r="EN5" i="48"/>
  <c r="EM5" i="48"/>
  <c r="EM33" i="48" s="1"/>
  <c r="R4" i="48"/>
  <c r="P4" i="48"/>
  <c r="HF4" i="48"/>
  <c r="HE4" i="48"/>
  <c r="HD4" i="48"/>
  <c r="HC4" i="48"/>
  <c r="HB4" i="48"/>
  <c r="HA4" i="48"/>
  <c r="GZ4" i="48"/>
  <c r="GY4" i="48"/>
  <c r="GX4" i="48"/>
  <c r="GX32" i="48" s="1"/>
  <c r="GW4" i="48"/>
  <c r="GU4" i="48"/>
  <c r="GQ4" i="48"/>
  <c r="GQ32" i="48" s="1"/>
  <c r="GP4" i="48"/>
  <c r="GO4" i="48"/>
  <c r="GN4" i="48"/>
  <c r="GM4" i="48"/>
  <c r="GL4" i="48"/>
  <c r="GK4" i="48"/>
  <c r="GJ4" i="48"/>
  <c r="GI4" i="48"/>
  <c r="GI32" i="48" s="1"/>
  <c r="GH4" i="48"/>
  <c r="GG167" i="48"/>
  <c r="GF4" i="48"/>
  <c r="GB4" i="48"/>
  <c r="GB32" i="48" s="1"/>
  <c r="GA4" i="48"/>
  <c r="FZ4" i="48"/>
  <c r="FY4" i="48"/>
  <c r="FX4" i="48"/>
  <c r="FW4" i="48"/>
  <c r="FV4" i="48"/>
  <c r="FU4" i="48"/>
  <c r="FT4" i="48"/>
  <c r="FT32" i="48" s="1"/>
  <c r="FS4" i="48"/>
  <c r="FR32" i="48"/>
  <c r="FQ4" i="48"/>
  <c r="FM4" i="48"/>
  <c r="FM32" i="48" s="1"/>
  <c r="FL4" i="48"/>
  <c r="FK4" i="48"/>
  <c r="FJ4" i="48"/>
  <c r="FI4" i="48"/>
  <c r="FH4" i="48"/>
  <c r="FG4" i="48"/>
  <c r="FF4" i="48"/>
  <c r="FE4" i="48"/>
  <c r="FE32" i="48" s="1"/>
  <c r="FB4" i="48"/>
  <c r="EX4" i="48"/>
  <c r="EW4" i="48"/>
  <c r="EV4" i="48"/>
  <c r="EU4" i="48"/>
  <c r="ET4" i="48"/>
  <c r="ES4" i="48"/>
  <c r="ER4" i="48"/>
  <c r="EQ4" i="48"/>
  <c r="EP4" i="48"/>
  <c r="EP32" i="48" s="1"/>
  <c r="EN4" i="48"/>
  <c r="EM4" i="48"/>
  <c r="EM32" i="48" s="1"/>
  <c r="R3" i="48"/>
  <c r="N3" i="48"/>
  <c r="FF120" i="48" l="1"/>
  <c r="FF198" i="48"/>
  <c r="ES113" i="48"/>
  <c r="ES189" i="48"/>
  <c r="FE113" i="48"/>
  <c r="FE189" i="48"/>
  <c r="FT113" i="48"/>
  <c r="FT189" i="48"/>
  <c r="GF113" i="48"/>
  <c r="GF189" i="48"/>
  <c r="ET114" i="48"/>
  <c r="ET190" i="48"/>
  <c r="FF114" i="48"/>
  <c r="FF190" i="48"/>
  <c r="FU114" i="48"/>
  <c r="FU190" i="48"/>
  <c r="GG114" i="48"/>
  <c r="GG190" i="48"/>
  <c r="FV119" i="48"/>
  <c r="FV197" i="48"/>
  <c r="GH119" i="48"/>
  <c r="GH197" i="48"/>
  <c r="EU120" i="48"/>
  <c r="EU121" i="48" s="1"/>
  <c r="EU198" i="48"/>
  <c r="FG120" i="48"/>
  <c r="FG198" i="48"/>
  <c r="FV120" i="48"/>
  <c r="FV198" i="48"/>
  <c r="GH120" i="48"/>
  <c r="GH198" i="48"/>
  <c r="FS113" i="48"/>
  <c r="FS189" i="48"/>
  <c r="EU113" i="48"/>
  <c r="EU189" i="48"/>
  <c r="EV114" i="48"/>
  <c r="EV190" i="48"/>
  <c r="FH114" i="48"/>
  <c r="FH190" i="48"/>
  <c r="FW114" i="48"/>
  <c r="FW190" i="48"/>
  <c r="GI114" i="48"/>
  <c r="GI190" i="48"/>
  <c r="EV119" i="48"/>
  <c r="EV197" i="48"/>
  <c r="FH119" i="48"/>
  <c r="FH197" i="48"/>
  <c r="EW120" i="48"/>
  <c r="EW198" i="48"/>
  <c r="FI120" i="48"/>
  <c r="FI198" i="48"/>
  <c r="FX120" i="48"/>
  <c r="FX198" i="48"/>
  <c r="EW114" i="48"/>
  <c r="EW190" i="48"/>
  <c r="FI114" i="48"/>
  <c r="FI190" i="48"/>
  <c r="FX114" i="48"/>
  <c r="FX115" i="48" s="1"/>
  <c r="FX190" i="48"/>
  <c r="EX120" i="48"/>
  <c r="EX198" i="48"/>
  <c r="FY120" i="48"/>
  <c r="FY198" i="48"/>
  <c r="FE119" i="48"/>
  <c r="FE197" i="48"/>
  <c r="GG120" i="48"/>
  <c r="GG198" i="48"/>
  <c r="EU119" i="48"/>
  <c r="EU197" i="48"/>
  <c r="EW113" i="48"/>
  <c r="EW115" i="48" s="1"/>
  <c r="EW189" i="48"/>
  <c r="FI113" i="48"/>
  <c r="FI189" i="48"/>
  <c r="FX113" i="48"/>
  <c r="FX189" i="48"/>
  <c r="EX114" i="48"/>
  <c r="EX190" i="48"/>
  <c r="FM114" i="48"/>
  <c r="FM190" i="48"/>
  <c r="FY114" i="48"/>
  <c r="FY190" i="48"/>
  <c r="FZ119" i="48"/>
  <c r="FZ121" i="48" s="1"/>
  <c r="FZ197" i="48"/>
  <c r="EM120" i="48"/>
  <c r="EM121" i="48" s="1"/>
  <c r="EM198" i="48"/>
  <c r="EY120" i="48"/>
  <c r="EY198" i="48"/>
  <c r="FZ120" i="48"/>
  <c r="FZ198" i="48"/>
  <c r="FD113" i="48"/>
  <c r="FD189" i="48"/>
  <c r="FU120" i="48"/>
  <c r="FU198" i="48"/>
  <c r="EX113" i="48"/>
  <c r="EX115" i="48" s="1"/>
  <c r="EX189" i="48"/>
  <c r="FY113" i="48"/>
  <c r="FY189" i="48"/>
  <c r="EY114" i="48"/>
  <c r="EY190" i="48"/>
  <c r="FZ114" i="48"/>
  <c r="FZ190" i="48"/>
  <c r="EM119" i="48"/>
  <c r="EM197" i="48"/>
  <c r="EY119" i="48"/>
  <c r="EY121" i="48" s="1"/>
  <c r="EY197" i="48"/>
  <c r="FN119" i="48"/>
  <c r="FN197" i="48"/>
  <c r="EN120" i="48"/>
  <c r="EN198" i="48"/>
  <c r="EZ120" i="48"/>
  <c r="EZ198" i="48"/>
  <c r="GA120" i="48"/>
  <c r="GA198" i="48"/>
  <c r="GE113" i="48"/>
  <c r="GE189" i="48"/>
  <c r="FV114" i="48"/>
  <c r="FV190" i="48"/>
  <c r="FH120" i="48"/>
  <c r="FH198" i="48"/>
  <c r="EY113" i="48"/>
  <c r="EY115" i="48" s="1"/>
  <c r="EY189" i="48"/>
  <c r="FZ113" i="48"/>
  <c r="FZ189" i="48"/>
  <c r="EM114" i="48"/>
  <c r="EM190" i="48"/>
  <c r="EZ114" i="48"/>
  <c r="EZ190" i="48"/>
  <c r="GA114" i="48"/>
  <c r="GA190" i="48"/>
  <c r="FP119" i="48"/>
  <c r="FP121" i="48" s="1"/>
  <c r="FP197" i="48"/>
  <c r="GB119" i="48"/>
  <c r="GB121" i="48" s="1"/>
  <c r="GB197" i="48"/>
  <c r="FA120" i="48"/>
  <c r="FA198" i="48"/>
  <c r="FP120" i="48"/>
  <c r="FP198" i="48"/>
  <c r="GB120" i="48"/>
  <c r="GB198" i="48"/>
  <c r="EU114" i="48"/>
  <c r="EU190" i="48"/>
  <c r="GH114" i="48"/>
  <c r="GH190" i="48"/>
  <c r="FW119" i="48"/>
  <c r="FW121" i="48" s="1"/>
  <c r="FW197" i="48"/>
  <c r="EZ113" i="48"/>
  <c r="EZ189" i="48"/>
  <c r="GA113" i="48"/>
  <c r="GA189" i="48"/>
  <c r="EN114" i="48"/>
  <c r="EN190" i="48"/>
  <c r="FA114" i="48"/>
  <c r="FA190" i="48"/>
  <c r="FP114" i="48"/>
  <c r="FP190" i="48"/>
  <c r="GB114" i="48"/>
  <c r="GB115" i="48" s="1"/>
  <c r="GB190" i="48"/>
  <c r="FA119" i="48"/>
  <c r="FA197" i="48"/>
  <c r="EP120" i="48"/>
  <c r="EP198" i="48"/>
  <c r="FB120" i="48"/>
  <c r="FB198" i="48"/>
  <c r="FQ120" i="48"/>
  <c r="FQ198" i="48"/>
  <c r="GC120" i="48"/>
  <c r="GC198" i="48"/>
  <c r="ET120" i="48"/>
  <c r="ET198" i="48"/>
  <c r="FG114" i="48"/>
  <c r="FG190" i="48"/>
  <c r="FG119" i="48"/>
  <c r="FG197" i="48"/>
  <c r="FW120" i="48"/>
  <c r="FW198" i="48"/>
  <c r="EO113" i="48"/>
  <c r="EO189" i="48"/>
  <c r="FA113" i="48"/>
  <c r="FA115" i="48" s="1"/>
  <c r="FA189" i="48"/>
  <c r="FP113" i="48"/>
  <c r="FP189" i="48"/>
  <c r="GB113" i="48"/>
  <c r="GB189" i="48"/>
  <c r="EP114" i="48"/>
  <c r="EP190" i="48"/>
  <c r="FB114" i="48"/>
  <c r="FB190" i="48"/>
  <c r="FQ114" i="48"/>
  <c r="FQ190" i="48"/>
  <c r="GC114" i="48"/>
  <c r="GC190" i="48"/>
  <c r="FB119" i="48"/>
  <c r="FB121" i="48" s="1"/>
  <c r="FB197" i="48"/>
  <c r="FR119" i="48"/>
  <c r="FR197" i="48"/>
  <c r="GD119" i="48"/>
  <c r="GD197" i="48"/>
  <c r="EQ120" i="48"/>
  <c r="EQ198" i="48"/>
  <c r="FC120" i="48"/>
  <c r="FC198" i="48"/>
  <c r="FR120" i="48"/>
  <c r="FR121" i="48" s="1"/>
  <c r="FR198" i="48"/>
  <c r="ER113" i="48"/>
  <c r="ER189" i="48"/>
  <c r="EQ114" i="48"/>
  <c r="EQ190" i="48"/>
  <c r="FC114" i="48"/>
  <c r="FC190" i="48"/>
  <c r="FR114" i="48"/>
  <c r="FR190" i="48"/>
  <c r="GD114" i="48"/>
  <c r="GD190" i="48"/>
  <c r="EQ119" i="48"/>
  <c r="EQ121" i="48" s="1"/>
  <c r="EQ197" i="48"/>
  <c r="FC119" i="48"/>
  <c r="FC197" i="48"/>
  <c r="FS119" i="48"/>
  <c r="FS197" i="48"/>
  <c r="GE119" i="48"/>
  <c r="GE197" i="48"/>
  <c r="ER120" i="48"/>
  <c r="ER198" i="48"/>
  <c r="FD120" i="48"/>
  <c r="FD198" i="48"/>
  <c r="FS120" i="48"/>
  <c r="FS121" i="48" s="1"/>
  <c r="FS198" i="48"/>
  <c r="GE120" i="48"/>
  <c r="GE121" i="48" s="1"/>
  <c r="GE198" i="48"/>
  <c r="EV120" i="48"/>
  <c r="EV198" i="48"/>
  <c r="EQ113" i="48"/>
  <c r="EQ189" i="48"/>
  <c r="FC113" i="48"/>
  <c r="FC189" i="48"/>
  <c r="FR113" i="48"/>
  <c r="FR115" i="48" s="1"/>
  <c r="FR189" i="48"/>
  <c r="GD113" i="48"/>
  <c r="GD115" i="48" s="1"/>
  <c r="GD189" i="48"/>
  <c r="ER114" i="48"/>
  <c r="ER190" i="48"/>
  <c r="FD114" i="48"/>
  <c r="FD190" i="48"/>
  <c r="FS114" i="48"/>
  <c r="FS190" i="48"/>
  <c r="GE114" i="48"/>
  <c r="GE190" i="48"/>
  <c r="ER119" i="48"/>
  <c r="ER121" i="48" s="1"/>
  <c r="ER197" i="48"/>
  <c r="FD119" i="48"/>
  <c r="FD121" i="48" s="1"/>
  <c r="FD197" i="48"/>
  <c r="FT119" i="48"/>
  <c r="FT121" i="48" s="1"/>
  <c r="FT197" i="48"/>
  <c r="GF119" i="48"/>
  <c r="GF197" i="48"/>
  <c r="ES120" i="48"/>
  <c r="ES198" i="48"/>
  <c r="FE120" i="48"/>
  <c r="FE198" i="48"/>
  <c r="FT120" i="48"/>
  <c r="FT198" i="48"/>
  <c r="GF120" i="48"/>
  <c r="GF121" i="48" s="1"/>
  <c r="GF198" i="48"/>
  <c r="L139" i="48"/>
  <c r="L138" i="48"/>
  <c r="EO119" i="48"/>
  <c r="Y96" i="48"/>
  <c r="O111" i="48" s="1"/>
  <c r="AM197" i="48"/>
  <c r="N137" i="48"/>
  <c r="U94" i="48"/>
  <c r="U62" i="48"/>
  <c r="L43" i="48"/>
  <c r="L42" i="48"/>
  <c r="O222" i="48"/>
  <c r="EM59" i="48"/>
  <c r="FM113" i="48"/>
  <c r="FM115" i="48" s="1"/>
  <c r="FM88" i="48"/>
  <c r="FM191" i="48" s="1"/>
  <c r="FM120" i="48"/>
  <c r="O266" i="48"/>
  <c r="CO197" i="48"/>
  <c r="AL26" i="48"/>
  <c r="AN26" i="48"/>
  <c r="N105" i="48"/>
  <c r="P41" i="48"/>
  <c r="S41" i="48" s="1"/>
  <c r="EN142" i="48"/>
  <c r="EZ142" i="48"/>
  <c r="EV149" i="48"/>
  <c r="FH149" i="48"/>
  <c r="FW149" i="48"/>
  <c r="GI149" i="48"/>
  <c r="FF18" i="48"/>
  <c r="FF46" i="48" s="1"/>
  <c r="U15" i="48"/>
  <c r="GQ6" i="48"/>
  <c r="GQ169" i="48" s="1"/>
  <c r="FP149" i="48"/>
  <c r="GB149" i="48"/>
  <c r="GI120" i="48"/>
  <c r="BI197" i="48"/>
  <c r="EM113" i="48"/>
  <c r="EM115" i="48" s="1"/>
  <c r="EM88" i="48"/>
  <c r="EM191" i="48" s="1"/>
  <c r="EO169" i="48"/>
  <c r="EM96" i="48"/>
  <c r="EM199" i="48" s="1"/>
  <c r="GI119" i="48"/>
  <c r="O265" i="48"/>
  <c r="DD187" i="48"/>
  <c r="CO192" i="48"/>
  <c r="Q30" i="48"/>
  <c r="O234" i="48"/>
  <c r="U234" i="48" s="1"/>
  <c r="O235" i="48"/>
  <c r="U235" i="48" s="1"/>
  <c r="ER18" i="48"/>
  <c r="ER73" i="48" s="1"/>
  <c r="FV18" i="48"/>
  <c r="FV73" i="48" s="1"/>
  <c r="U237" i="48"/>
  <c r="FA121" i="48"/>
  <c r="ES96" i="48"/>
  <c r="ES199" i="48" s="1"/>
  <c r="GW6" i="48"/>
  <c r="GW34" i="48" s="1"/>
  <c r="T263" i="48"/>
  <c r="U263" i="48"/>
  <c r="Q263" i="48"/>
  <c r="Q274" i="48"/>
  <c r="T274" i="48"/>
  <c r="U274" i="48"/>
  <c r="O241" i="48"/>
  <c r="U241" i="48" s="1"/>
  <c r="GF6" i="48"/>
  <c r="GF169" i="48" s="1"/>
  <c r="FM12" i="48"/>
  <c r="FM40" i="48" s="1"/>
  <c r="EM149" i="48"/>
  <c r="EY149" i="48"/>
  <c r="FQ6" i="48"/>
  <c r="FQ169" i="48" s="1"/>
  <c r="ET142" i="48"/>
  <c r="FF142" i="48"/>
  <c r="FU142" i="48"/>
  <c r="GG142" i="48"/>
  <c r="GU6" i="48"/>
  <c r="GU34" i="48" s="1"/>
  <c r="GV67" i="48"/>
  <c r="FI18" i="48"/>
  <c r="FI46" i="48" s="1"/>
  <c r="O206" i="48"/>
  <c r="O210" i="48" s="1"/>
  <c r="FV149" i="48"/>
  <c r="O180" i="48"/>
  <c r="U180" i="48" s="1"/>
  <c r="GZ12" i="48"/>
  <c r="GZ174" i="48" s="1"/>
  <c r="FD115" i="48"/>
  <c r="FS115" i="48"/>
  <c r="GE115" i="48"/>
  <c r="EM142" i="48"/>
  <c r="EY142" i="48"/>
  <c r="FZ142" i="48"/>
  <c r="GK18" i="48"/>
  <c r="GK46" i="48" s="1"/>
  <c r="M99" i="48"/>
  <c r="AM144" i="48"/>
  <c r="FZ149" i="48"/>
  <c r="FR88" i="48"/>
  <c r="FR191" i="48" s="1"/>
  <c r="AJ119" i="48"/>
  <c r="EN115" i="48"/>
  <c r="EZ115" i="48"/>
  <c r="GA115" i="48"/>
  <c r="AJ176" i="48"/>
  <c r="EW12" i="48"/>
  <c r="EW67" i="48" s="1"/>
  <c r="FL12" i="48"/>
  <c r="FL174" i="48" s="1"/>
  <c r="GA12" i="48"/>
  <c r="GA174" i="48" s="1"/>
  <c r="GP12" i="48"/>
  <c r="GP174" i="48" s="1"/>
  <c r="EV142" i="48"/>
  <c r="FH142" i="48"/>
  <c r="FW142" i="48"/>
  <c r="GI142" i="48"/>
  <c r="FD149" i="48"/>
  <c r="U146" i="48"/>
  <c r="GH6" i="48"/>
  <c r="GH169" i="48" s="1"/>
  <c r="ET149" i="48"/>
  <c r="FF149" i="48"/>
  <c r="FU149" i="48"/>
  <c r="GG149" i="48"/>
  <c r="U194" i="48"/>
  <c r="EQ6" i="48"/>
  <c r="EQ169" i="48" s="1"/>
  <c r="FU6" i="48"/>
  <c r="FU169" i="48" s="1"/>
  <c r="GJ6" i="48"/>
  <c r="GJ169" i="48" s="1"/>
  <c r="GY6" i="48"/>
  <c r="GY169" i="48" s="1"/>
  <c r="FY6" i="48"/>
  <c r="FY169" i="48" s="1"/>
  <c r="FB12" i="48"/>
  <c r="FB174" i="48" s="1"/>
  <c r="GU12" i="48"/>
  <c r="GU174" i="48" s="1"/>
  <c r="FK18" i="48"/>
  <c r="FK179" i="48" s="1"/>
  <c r="GD96" i="48"/>
  <c r="GD199" i="48" s="1"/>
  <c r="U114" i="48"/>
  <c r="N204" i="48"/>
  <c r="O116" i="48"/>
  <c r="O117" i="48" s="1"/>
  <c r="U117" i="48" s="1"/>
  <c r="ER149" i="48"/>
  <c r="N35" i="48"/>
  <c r="N221" i="48"/>
  <c r="FV6" i="48"/>
  <c r="FV34" i="48" s="1"/>
  <c r="EO174" i="48"/>
  <c r="GW12" i="48"/>
  <c r="GW174" i="48" s="1"/>
  <c r="ER12" i="48"/>
  <c r="ER174" i="48" s="1"/>
  <c r="EQ96" i="48"/>
  <c r="EQ199" i="48" s="1"/>
  <c r="ES119" i="48"/>
  <c r="ES121" i="48" s="1"/>
  <c r="Q158" i="48"/>
  <c r="FY142" i="48"/>
  <c r="EW149" i="48"/>
  <c r="FI149" i="48"/>
  <c r="FX149" i="48"/>
  <c r="ES149" i="48"/>
  <c r="FE149" i="48"/>
  <c r="FT149" i="48"/>
  <c r="GF149" i="48"/>
  <c r="AL175" i="48"/>
  <c r="AL176" i="48" s="1"/>
  <c r="FG6" i="48"/>
  <c r="FG169" i="48" s="1"/>
  <c r="GZ6" i="48"/>
  <c r="GZ169" i="48" s="1"/>
  <c r="FX6" i="48"/>
  <c r="FX61" i="48" s="1"/>
  <c r="HB6" i="48"/>
  <c r="HB169" i="48" s="1"/>
  <c r="FJ12" i="48"/>
  <c r="FJ174" i="48" s="1"/>
  <c r="FS12" i="48"/>
  <c r="FS174" i="48" s="1"/>
  <c r="U68" i="48"/>
  <c r="EY96" i="48"/>
  <c r="EY199" i="48" s="1"/>
  <c r="EX149" i="48"/>
  <c r="FM149" i="48"/>
  <c r="FY149" i="48"/>
  <c r="Q188" i="48"/>
  <c r="FC174" i="48"/>
  <c r="GG174" i="48"/>
  <c r="AK92" i="48"/>
  <c r="FZ96" i="48"/>
  <c r="FZ199" i="48" s="1"/>
  <c r="FG149" i="48"/>
  <c r="ER6" i="48"/>
  <c r="ER169" i="48" s="1"/>
  <c r="GK6" i="48"/>
  <c r="GK61" i="48" s="1"/>
  <c r="FK12" i="48"/>
  <c r="FK174" i="48" s="1"/>
  <c r="GH12" i="48"/>
  <c r="GH174" i="48" s="1"/>
  <c r="FZ6" i="48"/>
  <c r="FZ61" i="48" s="1"/>
  <c r="GO6" i="48"/>
  <c r="GO61" i="48" s="1"/>
  <c r="HD6" i="48"/>
  <c r="HD169" i="48" s="1"/>
  <c r="ET18" i="48"/>
  <c r="ET179" i="48" s="1"/>
  <c r="FX18" i="48"/>
  <c r="FX179" i="48" s="1"/>
  <c r="EP96" i="48"/>
  <c r="EP199" i="48" s="1"/>
  <c r="FQ96" i="48"/>
  <c r="FQ199" i="48" s="1"/>
  <c r="GC96" i="48"/>
  <c r="GC199" i="48" s="1"/>
  <c r="GB142" i="48"/>
  <c r="EN149" i="48"/>
  <c r="EZ149" i="48"/>
  <c r="GA149" i="48"/>
  <c r="U51" i="48"/>
  <c r="FR67" i="48"/>
  <c r="GP6" i="48"/>
  <c r="GP169" i="48" s="1"/>
  <c r="EP18" i="48"/>
  <c r="EP179" i="48" s="1"/>
  <c r="GI18" i="48"/>
  <c r="GI179" i="48" s="1"/>
  <c r="FZ115" i="48"/>
  <c r="ES142" i="48"/>
  <c r="FE142" i="48"/>
  <c r="FT142" i="48"/>
  <c r="GF142" i="48"/>
  <c r="M67" i="48"/>
  <c r="U113" i="48"/>
  <c r="FD88" i="48"/>
  <c r="FD191" i="48" s="1"/>
  <c r="U111" i="48"/>
  <c r="EU142" i="48"/>
  <c r="FG142" i="48"/>
  <c r="N4" i="48"/>
  <c r="N134" i="48"/>
  <c r="N238" i="48"/>
  <c r="U18" i="48"/>
  <c r="T30" i="48"/>
  <c r="EQ115" i="48"/>
  <c r="FC115" i="48"/>
  <c r="FG121" i="48"/>
  <c r="FV121" i="48"/>
  <c r="GH121" i="48"/>
  <c r="EW142" i="48"/>
  <c r="FI142" i="48"/>
  <c r="FX142" i="48"/>
  <c r="FA149" i="48"/>
  <c r="Q184" i="48"/>
  <c r="U82" i="48"/>
  <c r="T183" i="48"/>
  <c r="Q204" i="48"/>
  <c r="S204" i="48"/>
  <c r="T204" i="48" s="1"/>
  <c r="GI96" i="48"/>
  <c r="GI199" i="48" s="1"/>
  <c r="M6" i="48"/>
  <c r="N19" i="48"/>
  <c r="FJ6" i="48"/>
  <c r="FJ169" i="48" s="1"/>
  <c r="HC6" i="48"/>
  <c r="HC169" i="48" s="1"/>
  <c r="ET12" i="48"/>
  <c r="ET174" i="48" s="1"/>
  <c r="HB12" i="48"/>
  <c r="HB174" i="48" s="1"/>
  <c r="GM18" i="48"/>
  <c r="GM179" i="48" s="1"/>
  <c r="GF96" i="48"/>
  <c r="GF199" i="48" s="1"/>
  <c r="O133" i="48"/>
  <c r="EP119" i="48"/>
  <c r="EP121" i="48" s="1"/>
  <c r="ER142" i="48"/>
  <c r="FD142" i="48"/>
  <c r="FS142" i="48"/>
  <c r="GE142" i="48"/>
  <c r="T188" i="48"/>
  <c r="M9" i="48"/>
  <c r="N20" i="48"/>
  <c r="N5" i="48"/>
  <c r="P18" i="48"/>
  <c r="S18" i="48" s="1"/>
  <c r="T18" i="48" s="1"/>
  <c r="M35" i="48"/>
  <c r="N38" i="48"/>
  <c r="P38" i="48"/>
  <c r="S38" i="48" s="1"/>
  <c r="M73" i="48"/>
  <c r="P73" i="48"/>
  <c r="S73" i="48" s="1"/>
  <c r="U83" i="48"/>
  <c r="M105" i="48"/>
  <c r="P105" i="48"/>
  <c r="S105" i="48" s="1"/>
  <c r="U115" i="48"/>
  <c r="M137" i="48"/>
  <c r="P137" i="48"/>
  <c r="S137" i="48" s="1"/>
  <c r="U147" i="48"/>
  <c r="M205" i="48"/>
  <c r="M239" i="48"/>
  <c r="P237" i="48"/>
  <c r="M131" i="48"/>
  <c r="EW6" i="48"/>
  <c r="EW61" i="48" s="1"/>
  <c r="FF12" i="48"/>
  <c r="FF40" i="48" s="1"/>
  <c r="FU12" i="48"/>
  <c r="FU174" i="48" s="1"/>
  <c r="GY12" i="48"/>
  <c r="GY174" i="48" s="1"/>
  <c r="ET88" i="48"/>
  <c r="ET191" i="48" s="1"/>
  <c r="FF88" i="48"/>
  <c r="FF191" i="48" s="1"/>
  <c r="FU88" i="48"/>
  <c r="FU191" i="48" s="1"/>
  <c r="GG88" i="48"/>
  <c r="GG191" i="48" s="1"/>
  <c r="FZ88" i="48"/>
  <c r="FZ191" i="48" s="1"/>
  <c r="AM91" i="48"/>
  <c r="AM92" i="48" s="1"/>
  <c r="FB96" i="48"/>
  <c r="FB199" i="48" s="1"/>
  <c r="EX142" i="48"/>
  <c r="FM142" i="48"/>
  <c r="M20" i="48"/>
  <c r="M5" i="48"/>
  <c r="N18" i="48"/>
  <c r="P3" i="48"/>
  <c r="S3" i="48" s="1"/>
  <c r="N37" i="48"/>
  <c r="P52" i="48"/>
  <c r="S52" i="48" s="1"/>
  <c r="P36" i="48"/>
  <c r="S36" i="48" s="1"/>
  <c r="U50" i="48"/>
  <c r="N67" i="48"/>
  <c r="M70" i="48"/>
  <c r="P69" i="48"/>
  <c r="S69" i="48" s="1"/>
  <c r="N99" i="48"/>
  <c r="M102" i="48"/>
  <c r="P101" i="48"/>
  <c r="S101" i="48" s="1"/>
  <c r="N131" i="48"/>
  <c r="M134" i="48"/>
  <c r="P133" i="48"/>
  <c r="S133" i="48" s="1"/>
  <c r="N163" i="48"/>
  <c r="M204" i="48"/>
  <c r="M238" i="48"/>
  <c r="M221" i="48"/>
  <c r="GA6" i="48"/>
  <c r="GA169" i="48" s="1"/>
  <c r="FG12" i="48"/>
  <c r="FG174" i="48" s="1"/>
  <c r="FC96" i="48"/>
  <c r="FC199" i="48" s="1"/>
  <c r="O140" i="48"/>
  <c r="U140" i="48" s="1"/>
  <c r="U173" i="48"/>
  <c r="M19" i="48"/>
  <c r="M4" i="48"/>
  <c r="M37" i="48"/>
  <c r="P51" i="48"/>
  <c r="S51" i="48" s="1"/>
  <c r="T51" i="48" s="1"/>
  <c r="N69" i="48"/>
  <c r="P84" i="48"/>
  <c r="S84" i="48" s="1"/>
  <c r="P68" i="48"/>
  <c r="S68" i="48" s="1"/>
  <c r="T68" i="48" s="1"/>
  <c r="P116" i="48"/>
  <c r="S116" i="48" s="1"/>
  <c r="P100" i="48"/>
  <c r="S100" i="48" s="1"/>
  <c r="N133" i="48"/>
  <c r="P148" i="48"/>
  <c r="S148" i="48" s="1"/>
  <c r="P132" i="48"/>
  <c r="S132" i="48" s="1"/>
  <c r="N166" i="48"/>
  <c r="N237" i="48"/>
  <c r="N70" i="48"/>
  <c r="EQ18" i="48"/>
  <c r="EQ179" i="48" s="1"/>
  <c r="GJ18" i="48"/>
  <c r="AO25" i="48"/>
  <c r="FB38" i="48"/>
  <c r="EV88" i="48"/>
  <c r="EV191" i="48" s="1"/>
  <c r="FH88" i="48"/>
  <c r="FH191" i="48" s="1"/>
  <c r="FW88" i="48"/>
  <c r="FW191" i="48" s="1"/>
  <c r="GI88" i="48"/>
  <c r="GI191" i="48" s="1"/>
  <c r="FQ119" i="48"/>
  <c r="AL118" i="48"/>
  <c r="AL119" i="48" s="1"/>
  <c r="GA142" i="48"/>
  <c r="EQ149" i="48"/>
  <c r="FC149" i="48"/>
  <c r="W154" i="48" s="1"/>
  <c r="O175" i="48" s="1"/>
  <c r="FR149" i="48"/>
  <c r="GD149" i="48"/>
  <c r="Q183" i="48"/>
  <c r="M18" i="48"/>
  <c r="M3" i="48"/>
  <c r="N59" i="48"/>
  <c r="N52" i="48"/>
  <c r="N36" i="48"/>
  <c r="P50" i="48"/>
  <c r="S50" i="48" s="1"/>
  <c r="T50" i="48" s="1"/>
  <c r="M69" i="48"/>
  <c r="P83" i="48"/>
  <c r="M101" i="48"/>
  <c r="P115" i="48"/>
  <c r="S115" i="48" s="1"/>
  <c r="M133" i="48"/>
  <c r="P147" i="48"/>
  <c r="M166" i="48"/>
  <c r="U177" i="48"/>
  <c r="M237" i="48"/>
  <c r="GV61" i="48"/>
  <c r="FQ12" i="48"/>
  <c r="FQ40" i="48" s="1"/>
  <c r="FL18" i="48"/>
  <c r="FL179" i="48" s="1"/>
  <c r="U67" i="48"/>
  <c r="FP96" i="48"/>
  <c r="FP199" i="48" s="1"/>
  <c r="FH113" i="48"/>
  <c r="FH115" i="48" s="1"/>
  <c r="FA142" i="48"/>
  <c r="FP142" i="48"/>
  <c r="FS149" i="48"/>
  <c r="GE149" i="48"/>
  <c r="M59" i="48"/>
  <c r="M36" i="48"/>
  <c r="N84" i="48"/>
  <c r="N68" i="48"/>
  <c r="P82" i="48"/>
  <c r="S82" i="48" s="1"/>
  <c r="T82" i="48" s="1"/>
  <c r="N116" i="48"/>
  <c r="N100" i="48"/>
  <c r="P114" i="48"/>
  <c r="S114" i="48" s="1"/>
  <c r="N148" i="48"/>
  <c r="N132" i="48"/>
  <c r="P146" i="48"/>
  <c r="N178" i="48"/>
  <c r="N165" i="48"/>
  <c r="P178" i="48"/>
  <c r="S178" i="48" s="1"/>
  <c r="P165" i="48"/>
  <c r="S165" i="48" s="1"/>
  <c r="U176" i="48"/>
  <c r="M193" i="48"/>
  <c r="N196" i="48"/>
  <c r="P196" i="48"/>
  <c r="S196" i="48" s="1"/>
  <c r="U205" i="48"/>
  <c r="U238" i="48"/>
  <c r="GK12" i="48"/>
  <c r="GK40" i="48" s="1"/>
  <c r="GB12" i="48"/>
  <c r="GB40" i="48" s="1"/>
  <c r="U44" i="48"/>
  <c r="FU113" i="48"/>
  <c r="FU115" i="48" s="1"/>
  <c r="GC119" i="48"/>
  <c r="EP142" i="48"/>
  <c r="FB142" i="48"/>
  <c r="FQ142" i="48"/>
  <c r="GC142" i="48"/>
  <c r="N51" i="48"/>
  <c r="M84" i="48"/>
  <c r="M68" i="48"/>
  <c r="M100" i="48"/>
  <c r="M132" i="48"/>
  <c r="P177" i="48"/>
  <c r="P164" i="48"/>
  <c r="S164" i="48" s="1"/>
  <c r="N193" i="48"/>
  <c r="P195" i="48"/>
  <c r="S195" i="48" s="1"/>
  <c r="U204" i="48"/>
  <c r="P220" i="48"/>
  <c r="S220" i="48" s="1"/>
  <c r="FV12" i="48"/>
  <c r="FV67" i="48" s="1"/>
  <c r="FG18" i="48"/>
  <c r="FG46" i="48" s="1"/>
  <c r="FF72" i="48"/>
  <c r="FR96" i="48"/>
  <c r="FR199" i="48" s="1"/>
  <c r="GI113" i="48"/>
  <c r="GI115" i="48" s="1"/>
  <c r="EQ142" i="48"/>
  <c r="FC142" i="48"/>
  <c r="FR142" i="48"/>
  <c r="GD142" i="48"/>
  <c r="O174" i="48"/>
  <c r="U174" i="48" s="1"/>
  <c r="O193" i="48"/>
  <c r="O212" i="48" s="1"/>
  <c r="U212" i="48" s="1"/>
  <c r="N83" i="48"/>
  <c r="N115" i="48"/>
  <c r="N147" i="48"/>
  <c r="N177" i="48"/>
  <c r="N164" i="48"/>
  <c r="P176" i="48"/>
  <c r="N195" i="48"/>
  <c r="P206" i="48"/>
  <c r="S206" i="48" s="1"/>
  <c r="P194" i="48"/>
  <c r="Q194" i="48" s="1"/>
  <c r="M220" i="48"/>
  <c r="GF12" i="48"/>
  <c r="GF174" i="48" s="1"/>
  <c r="FX44" i="48"/>
  <c r="FT96" i="48"/>
  <c r="FT199" i="48" s="1"/>
  <c r="O143" i="48"/>
  <c r="U143" i="48" s="1"/>
  <c r="S166" i="48"/>
  <c r="EU149" i="48"/>
  <c r="GH149" i="48"/>
  <c r="P9" i="48"/>
  <c r="S9" i="48" s="1"/>
  <c r="U19" i="48"/>
  <c r="N50" i="48"/>
  <c r="P205" i="48"/>
  <c r="S205" i="48" s="1"/>
  <c r="T205" i="48" s="1"/>
  <c r="N220" i="48"/>
  <c r="EX88" i="48"/>
  <c r="EX191" i="48" s="1"/>
  <c r="O106" i="48"/>
  <c r="U169" i="48"/>
  <c r="P6" i="48"/>
  <c r="S6" i="48" s="1"/>
  <c r="N82" i="48"/>
  <c r="N114" i="48"/>
  <c r="N146" i="48"/>
  <c r="N176" i="48"/>
  <c r="P163" i="48"/>
  <c r="S163" i="48" s="1"/>
  <c r="N206" i="48"/>
  <c r="N194" i="48"/>
  <c r="N223" i="48"/>
  <c r="P223" i="48"/>
  <c r="S223" i="48" s="1"/>
  <c r="EV65" i="48"/>
  <c r="FC88" i="48"/>
  <c r="FC191" i="48" s="1"/>
  <c r="GB96" i="48"/>
  <c r="GB199" i="48" s="1"/>
  <c r="O148" i="48"/>
  <c r="O149" i="48" s="1"/>
  <c r="U149" i="48" s="1"/>
  <c r="N41" i="48"/>
  <c r="M114" i="48"/>
  <c r="M194" i="48"/>
  <c r="P239" i="48"/>
  <c r="S239" i="48" s="1"/>
  <c r="P222" i="48"/>
  <c r="O202" i="48"/>
  <c r="U202" i="48" s="1"/>
  <c r="U30" i="48"/>
  <c r="M41" i="48"/>
  <c r="T153" i="48"/>
  <c r="N222" i="48"/>
  <c r="P221" i="48"/>
  <c r="AO196" i="48"/>
  <c r="AO197" i="48" s="1"/>
  <c r="T171" i="48"/>
  <c r="Q171" i="48"/>
  <c r="N226" i="48"/>
  <c r="M226" i="48"/>
  <c r="T19" i="48"/>
  <c r="GV34" i="48"/>
  <c r="ET167" i="48"/>
  <c r="ET59" i="48"/>
  <c r="ET32" i="48"/>
  <c r="FI167" i="48"/>
  <c r="FI59" i="48"/>
  <c r="FI32" i="48"/>
  <c r="FX167" i="48"/>
  <c r="FX59" i="48"/>
  <c r="FX32" i="48"/>
  <c r="GM167" i="48"/>
  <c r="GM59" i="48"/>
  <c r="GM32" i="48"/>
  <c r="HB167" i="48"/>
  <c r="HB59" i="48"/>
  <c r="HB32" i="48"/>
  <c r="ER168" i="48"/>
  <c r="ER60" i="48"/>
  <c r="ER33" i="48"/>
  <c r="FG168" i="48"/>
  <c r="FG60" i="48"/>
  <c r="FG33" i="48"/>
  <c r="FV168" i="48"/>
  <c r="FV60" i="48"/>
  <c r="FV33" i="48"/>
  <c r="GK168" i="48"/>
  <c r="GK60" i="48"/>
  <c r="GK33" i="48"/>
  <c r="GZ168" i="48"/>
  <c r="GZ60" i="48"/>
  <c r="GZ33" i="48"/>
  <c r="FI6" i="48"/>
  <c r="ES173" i="48"/>
  <c r="ES66" i="48"/>
  <c r="ES39" i="48"/>
  <c r="FH173" i="48"/>
  <c r="FH66" i="48"/>
  <c r="FH39" i="48"/>
  <c r="FW173" i="48"/>
  <c r="FW66" i="48"/>
  <c r="FW39" i="48"/>
  <c r="GL173" i="48"/>
  <c r="GL66" i="48"/>
  <c r="GL39" i="48"/>
  <c r="HA173" i="48"/>
  <c r="HA66" i="48"/>
  <c r="HA39" i="48"/>
  <c r="EW177" i="48"/>
  <c r="EW71" i="48"/>
  <c r="EW44" i="48"/>
  <c r="FL177" i="48"/>
  <c r="FL71" i="48"/>
  <c r="FL44" i="48"/>
  <c r="GA177" i="48"/>
  <c r="GA71" i="48"/>
  <c r="GA44" i="48"/>
  <c r="GP177" i="48"/>
  <c r="GP71" i="48"/>
  <c r="GP44" i="48"/>
  <c r="EV38" i="48"/>
  <c r="EX39" i="48"/>
  <c r="GO177" i="48"/>
  <c r="GO71" i="48"/>
  <c r="GO44" i="48"/>
  <c r="GN178" i="48"/>
  <c r="GN72" i="48"/>
  <c r="GN45" i="48"/>
  <c r="GN18" i="48"/>
  <c r="EU167" i="48"/>
  <c r="EU59" i="48"/>
  <c r="EU32" i="48"/>
  <c r="GB177" i="48"/>
  <c r="GB71" i="48"/>
  <c r="GB44" i="48"/>
  <c r="GB18" i="48"/>
  <c r="EV167" i="48"/>
  <c r="EV59" i="48"/>
  <c r="EV32" i="48"/>
  <c r="FK167" i="48"/>
  <c r="FK59" i="48"/>
  <c r="FK32" i="48"/>
  <c r="ET168" i="48"/>
  <c r="ET33" i="48"/>
  <c r="ET60" i="48"/>
  <c r="FI168" i="48"/>
  <c r="FI60" i="48"/>
  <c r="FI33" i="48"/>
  <c r="FX168" i="48"/>
  <c r="FX60" i="48"/>
  <c r="FX33" i="48"/>
  <c r="GM168" i="48"/>
  <c r="GM33" i="48"/>
  <c r="HB168" i="48"/>
  <c r="HB33" i="48"/>
  <c r="HB60" i="48"/>
  <c r="ET6" i="48"/>
  <c r="FK6" i="48"/>
  <c r="GB6" i="48"/>
  <c r="FK172" i="48"/>
  <c r="FK65" i="48"/>
  <c r="FZ172" i="48"/>
  <c r="FZ38" i="48"/>
  <c r="FZ65" i="48"/>
  <c r="GO172" i="48"/>
  <c r="GO65" i="48"/>
  <c r="GO38" i="48"/>
  <c r="HD172" i="48"/>
  <c r="HD65" i="48"/>
  <c r="HD38" i="48"/>
  <c r="EV12" i="48"/>
  <c r="EM177" i="48"/>
  <c r="EM44" i="48"/>
  <c r="EM71" i="48"/>
  <c r="FB177" i="48"/>
  <c r="FB44" i="48"/>
  <c r="FB71" i="48"/>
  <c r="FQ177" i="48"/>
  <c r="FQ44" i="48"/>
  <c r="FQ71" i="48"/>
  <c r="GF177" i="48"/>
  <c r="GF44" i="48"/>
  <c r="GF71" i="48"/>
  <c r="GF18" i="48"/>
  <c r="EX178" i="48"/>
  <c r="EX72" i="48"/>
  <c r="EX45" i="48"/>
  <c r="FM178" i="48"/>
  <c r="FM72" i="48"/>
  <c r="FM45" i="48"/>
  <c r="GB178" i="48"/>
  <c r="GB72" i="48"/>
  <c r="GB45" i="48"/>
  <c r="GQ178" i="48"/>
  <c r="GQ72" i="48"/>
  <c r="GQ45" i="48"/>
  <c r="EM18" i="48"/>
  <c r="FK38" i="48"/>
  <c r="EN177" i="48"/>
  <c r="EN44" i="48"/>
  <c r="EN71" i="48"/>
  <c r="FC177" i="48"/>
  <c r="FC71" i="48"/>
  <c r="FC44" i="48"/>
  <c r="FR177" i="48"/>
  <c r="FR44" i="48"/>
  <c r="FR71" i="48"/>
  <c r="GG177" i="48"/>
  <c r="GG44" i="48"/>
  <c r="GG71" i="48"/>
  <c r="EM178" i="48"/>
  <c r="EM45" i="48"/>
  <c r="EM72" i="48"/>
  <c r="FB178" i="48"/>
  <c r="FB45" i="48"/>
  <c r="FQ178" i="48"/>
  <c r="FQ45" i="48"/>
  <c r="FQ72" i="48"/>
  <c r="GF178" i="48"/>
  <c r="GF72" i="48"/>
  <c r="GF45" i="48"/>
  <c r="GO18" i="48"/>
  <c r="FB72" i="48"/>
  <c r="FH167" i="48"/>
  <c r="FH59" i="48"/>
  <c r="FH6" i="48"/>
  <c r="FH32" i="48"/>
  <c r="GJ168" i="48"/>
  <c r="GJ33" i="48"/>
  <c r="GJ60" i="48"/>
  <c r="FZ173" i="48"/>
  <c r="FZ39" i="48"/>
  <c r="FZ66" i="48"/>
  <c r="AC20" i="48"/>
  <c r="EX167" i="48"/>
  <c r="EX59" i="48"/>
  <c r="FM167" i="48"/>
  <c r="FM59" i="48"/>
  <c r="GB167" i="48"/>
  <c r="GB59" i="48"/>
  <c r="GQ167" i="48"/>
  <c r="GQ59" i="48"/>
  <c r="HF167" i="48"/>
  <c r="HF59" i="48"/>
  <c r="EV6" i="48"/>
  <c r="FM6" i="48"/>
  <c r="EX172" i="48"/>
  <c r="EX65" i="48"/>
  <c r="EX38" i="48"/>
  <c r="FM172" i="48"/>
  <c r="FM65" i="48"/>
  <c r="FM38" i="48"/>
  <c r="GB172" i="48"/>
  <c r="GB65" i="48"/>
  <c r="GB38" i="48"/>
  <c r="GQ172" i="48"/>
  <c r="GQ65" i="48"/>
  <c r="GQ38" i="48"/>
  <c r="HF172" i="48"/>
  <c r="HF65" i="48"/>
  <c r="HF38" i="48"/>
  <c r="EW173" i="48"/>
  <c r="EW66" i="48"/>
  <c r="EW39" i="48"/>
  <c r="FL173" i="48"/>
  <c r="FL66" i="48"/>
  <c r="FL39" i="48"/>
  <c r="GA173" i="48"/>
  <c r="GA66" i="48"/>
  <c r="GA39" i="48"/>
  <c r="GP173" i="48"/>
  <c r="GP66" i="48"/>
  <c r="GP39" i="48"/>
  <c r="HE173" i="48"/>
  <c r="HE66" i="48"/>
  <c r="HE39" i="48"/>
  <c r="EX12" i="48"/>
  <c r="GJ12" i="48"/>
  <c r="EO177" i="48"/>
  <c r="EO71" i="48"/>
  <c r="EO44" i="48"/>
  <c r="FD177" i="48"/>
  <c r="FD71" i="48"/>
  <c r="FD44" i="48"/>
  <c r="FD18" i="48"/>
  <c r="FS177" i="48"/>
  <c r="FS71" i="48"/>
  <c r="FS44" i="48"/>
  <c r="FS18" i="48"/>
  <c r="GH177" i="48"/>
  <c r="GH71" i="48"/>
  <c r="GH44" i="48"/>
  <c r="GH18" i="48"/>
  <c r="EN178" i="48"/>
  <c r="EN72" i="48"/>
  <c r="EN45" i="48"/>
  <c r="FC178" i="48"/>
  <c r="FC72" i="48"/>
  <c r="FC45" i="48"/>
  <c r="FR178" i="48"/>
  <c r="FR72" i="48"/>
  <c r="FR45" i="48"/>
  <c r="GG178" i="48"/>
  <c r="GG72" i="48"/>
  <c r="GG45" i="48"/>
  <c r="FQ18" i="48"/>
  <c r="GP18" i="48"/>
  <c r="GG32" i="48"/>
  <c r="FW167" i="48"/>
  <c r="FW59" i="48"/>
  <c r="FW6" i="48"/>
  <c r="FW32" i="48"/>
  <c r="HA167" i="48"/>
  <c r="HA6" i="48"/>
  <c r="HA59" i="48"/>
  <c r="HA32" i="48"/>
  <c r="FF168" i="48"/>
  <c r="FF60" i="48"/>
  <c r="FF33" i="48"/>
  <c r="FU168" i="48"/>
  <c r="FU60" i="48"/>
  <c r="FU33" i="48"/>
  <c r="ES172" i="48"/>
  <c r="ES65" i="48"/>
  <c r="ES12" i="48"/>
  <c r="EU172" i="48"/>
  <c r="EU65" i="48"/>
  <c r="EU38" i="48"/>
  <c r="FJ172" i="48"/>
  <c r="FJ65" i="48"/>
  <c r="FJ38" i="48"/>
  <c r="GN172" i="48"/>
  <c r="GN65" i="48"/>
  <c r="GN38" i="48"/>
  <c r="HC172" i="48"/>
  <c r="HC65" i="48"/>
  <c r="HC38" i="48"/>
  <c r="ET173" i="48"/>
  <c r="ET66" i="48"/>
  <c r="ET39" i="48"/>
  <c r="FX173" i="48"/>
  <c r="FX66" i="48"/>
  <c r="FX39" i="48"/>
  <c r="GM173" i="48"/>
  <c r="GM66" i="48"/>
  <c r="GM39" i="48"/>
  <c r="EU12" i="48"/>
  <c r="EX177" i="48"/>
  <c r="EX71" i="48"/>
  <c r="EX44" i="48"/>
  <c r="EX18" i="48"/>
  <c r="FL178" i="48"/>
  <c r="FL45" i="48"/>
  <c r="FL72" i="48"/>
  <c r="HE167" i="48"/>
  <c r="HE59" i="48"/>
  <c r="HE32" i="48"/>
  <c r="FY168" i="48"/>
  <c r="FY60" i="48"/>
  <c r="EW168" i="48"/>
  <c r="EW60" i="48"/>
  <c r="GA168" i="48"/>
  <c r="GA60" i="48"/>
  <c r="FM173" i="48"/>
  <c r="FM66" i="48"/>
  <c r="GB173" i="48"/>
  <c r="GB66" i="48"/>
  <c r="GB39" i="48"/>
  <c r="GQ173" i="48"/>
  <c r="GQ66" i="48"/>
  <c r="HF173" i="48"/>
  <c r="HF66" i="48"/>
  <c r="HC12" i="48"/>
  <c r="EP177" i="48"/>
  <c r="EP44" i="48"/>
  <c r="EP71" i="48"/>
  <c r="FE177" i="48"/>
  <c r="FE44" i="48"/>
  <c r="FE71" i="48"/>
  <c r="FT177" i="48"/>
  <c r="FT44" i="48"/>
  <c r="FT71" i="48"/>
  <c r="GI177" i="48"/>
  <c r="GI44" i="48"/>
  <c r="GI71" i="48"/>
  <c r="O22" i="48"/>
  <c r="U22" i="48" s="1"/>
  <c r="O25" i="48"/>
  <c r="U25" i="48" s="1"/>
  <c r="O20" i="48"/>
  <c r="U20" i="48" s="1"/>
  <c r="FT18" i="48"/>
  <c r="EQ168" i="48"/>
  <c r="EQ60" i="48"/>
  <c r="EQ33" i="48"/>
  <c r="FL167" i="48"/>
  <c r="FL32" i="48"/>
  <c r="FL59" i="48"/>
  <c r="EU6" i="48"/>
  <c r="EM167" i="48"/>
  <c r="FL168" i="48"/>
  <c r="FL60" i="48"/>
  <c r="GP168" i="48"/>
  <c r="GP60" i="48"/>
  <c r="GP33" i="48"/>
  <c r="HE168" i="48"/>
  <c r="HE60" i="48"/>
  <c r="EM172" i="48"/>
  <c r="EM65" i="48"/>
  <c r="FB172" i="48"/>
  <c r="FB65" i="48"/>
  <c r="FQ172" i="48"/>
  <c r="FQ65" i="48"/>
  <c r="GF172" i="48"/>
  <c r="GF65" i="48"/>
  <c r="GU172" i="48"/>
  <c r="GU65" i="48"/>
  <c r="GU38" i="48"/>
  <c r="EN167" i="48"/>
  <c r="EN59" i="48"/>
  <c r="FC167" i="48"/>
  <c r="FC59" i="48"/>
  <c r="FR167" i="48"/>
  <c r="FR59" i="48"/>
  <c r="GV167" i="48"/>
  <c r="GV59" i="48"/>
  <c r="EX6" i="48"/>
  <c r="EM173" i="48"/>
  <c r="EM66" i="48"/>
  <c r="EM39" i="48"/>
  <c r="FB173" i="48"/>
  <c r="FB66" i="48"/>
  <c r="FB39" i="48"/>
  <c r="FQ173" i="48"/>
  <c r="FQ39" i="48"/>
  <c r="GF173" i="48"/>
  <c r="GF66" i="48"/>
  <c r="GF39" i="48"/>
  <c r="GU173" i="48"/>
  <c r="GU66" i="48"/>
  <c r="U80" i="48" s="1"/>
  <c r="GU39" i="48"/>
  <c r="GM12" i="48"/>
  <c r="HD12" i="48"/>
  <c r="EQ177" i="48"/>
  <c r="EQ71" i="48"/>
  <c r="EQ44" i="48"/>
  <c r="FF177" i="48"/>
  <c r="FF71" i="48"/>
  <c r="FF44" i="48"/>
  <c r="FU177" i="48"/>
  <c r="FU71" i="48"/>
  <c r="FU44" i="48"/>
  <c r="GJ177" i="48"/>
  <c r="GJ71" i="48"/>
  <c r="GJ44" i="48"/>
  <c r="EP178" i="48"/>
  <c r="EP72" i="48"/>
  <c r="FE178" i="48"/>
  <c r="FE45" i="48"/>
  <c r="FE72" i="48"/>
  <c r="FT178" i="48"/>
  <c r="FT72" i="48"/>
  <c r="GI178" i="48"/>
  <c r="GI72" i="48"/>
  <c r="GI45" i="48"/>
  <c r="FU18" i="48"/>
  <c r="GQ39" i="48"/>
  <c r="FT45" i="48"/>
  <c r="FH172" i="48"/>
  <c r="FH65" i="48"/>
  <c r="FH38" i="48"/>
  <c r="FH12" i="48"/>
  <c r="HA172" i="48"/>
  <c r="HA65" i="48"/>
  <c r="HA12" i="48"/>
  <c r="EV177" i="48"/>
  <c r="EV71" i="48"/>
  <c r="EU178" i="48"/>
  <c r="EU45" i="48"/>
  <c r="EU72" i="48"/>
  <c r="EU18" i="48"/>
  <c r="FY167" i="48"/>
  <c r="FY59" i="48"/>
  <c r="FY32" i="48"/>
  <c r="HC168" i="48"/>
  <c r="HC60" i="48"/>
  <c r="HC33" i="48"/>
  <c r="EV173" i="48"/>
  <c r="EV39" i="48"/>
  <c r="EV66" i="48"/>
  <c r="FK173" i="48"/>
  <c r="FK39" i="48"/>
  <c r="FK66" i="48"/>
  <c r="GO173" i="48"/>
  <c r="GO39" i="48"/>
  <c r="GO66" i="48"/>
  <c r="HD173" i="48"/>
  <c r="HD39" i="48"/>
  <c r="HD66" i="48"/>
  <c r="FB167" i="48"/>
  <c r="FB59" i="48"/>
  <c r="FB32" i="48"/>
  <c r="FQ167" i="48"/>
  <c r="FQ59" i="48"/>
  <c r="FQ32" i="48"/>
  <c r="GF167" i="48"/>
  <c r="GF59" i="48"/>
  <c r="GF32" i="48"/>
  <c r="GU167" i="48"/>
  <c r="GU32" i="48"/>
  <c r="EX168" i="48"/>
  <c r="EX60" i="48"/>
  <c r="EX33" i="48"/>
  <c r="FM168" i="48"/>
  <c r="FM60" i="48"/>
  <c r="FM33" i="48"/>
  <c r="GB168" i="48"/>
  <c r="GB60" i="48"/>
  <c r="GB33" i="48"/>
  <c r="GQ168" i="48"/>
  <c r="GQ60" i="48"/>
  <c r="HF168" i="48"/>
  <c r="HF60" i="48"/>
  <c r="HF33" i="48"/>
  <c r="EN172" i="48"/>
  <c r="EN65" i="48"/>
  <c r="EN38" i="48"/>
  <c r="FC172" i="48"/>
  <c r="FC65" i="48"/>
  <c r="FC38" i="48"/>
  <c r="FR172" i="48"/>
  <c r="FR65" i="48"/>
  <c r="FR38" i="48"/>
  <c r="GG172" i="48"/>
  <c r="GG65" i="48"/>
  <c r="GG38" i="48"/>
  <c r="GV172" i="48"/>
  <c r="GV65" i="48"/>
  <c r="GV38" i="48"/>
  <c r="EO167" i="48"/>
  <c r="EO59" i="48"/>
  <c r="EO32" i="48"/>
  <c r="FD167" i="48"/>
  <c r="FD59" i="48"/>
  <c r="FD32" i="48"/>
  <c r="FS167" i="48"/>
  <c r="FS59" i="48"/>
  <c r="FS32" i="48"/>
  <c r="GH167" i="48"/>
  <c r="GH59" i="48"/>
  <c r="GH32" i="48"/>
  <c r="GW167" i="48"/>
  <c r="GW59" i="48"/>
  <c r="GW32" i="48"/>
  <c r="EM168" i="48"/>
  <c r="EM60" i="48"/>
  <c r="FB168" i="48"/>
  <c r="FB60" i="48"/>
  <c r="FQ168" i="48"/>
  <c r="FQ60" i="48"/>
  <c r="GF168" i="48"/>
  <c r="GF60" i="48"/>
  <c r="GU168" i="48"/>
  <c r="GU60" i="48"/>
  <c r="GU33" i="48"/>
  <c r="FB6" i="48"/>
  <c r="FS6" i="48"/>
  <c r="EO172" i="48"/>
  <c r="EO65" i="48"/>
  <c r="EO38" i="48"/>
  <c r="FD172" i="48"/>
  <c r="FD38" i="48"/>
  <c r="FS172" i="48"/>
  <c r="FS65" i="48"/>
  <c r="GH172" i="48"/>
  <c r="GH65" i="48"/>
  <c r="GW172" i="48"/>
  <c r="GW65" i="48"/>
  <c r="EN173" i="48"/>
  <c r="EN66" i="48"/>
  <c r="EN39" i="48"/>
  <c r="FC173" i="48"/>
  <c r="FC66" i="48"/>
  <c r="FC39" i="48"/>
  <c r="FR173" i="48"/>
  <c r="FR66" i="48"/>
  <c r="GG173" i="48"/>
  <c r="GG66" i="48"/>
  <c r="GG39" i="48"/>
  <c r="GV173" i="48"/>
  <c r="GV66" i="48"/>
  <c r="GV39" i="48"/>
  <c r="EM12" i="48"/>
  <c r="FD12" i="48"/>
  <c r="GN12" i="48"/>
  <c r="HE12" i="48"/>
  <c r="EV18" i="48"/>
  <c r="EN32" i="48"/>
  <c r="GV32" i="48"/>
  <c r="HF39" i="48"/>
  <c r="ES167" i="48"/>
  <c r="ES6" i="48"/>
  <c r="ES59" i="48"/>
  <c r="ES32" i="48"/>
  <c r="GY168" i="48"/>
  <c r="GY33" i="48"/>
  <c r="Z35" i="48" s="1"/>
  <c r="O48" i="48" s="1"/>
  <c r="U48" i="48" s="1"/>
  <c r="FK177" i="48"/>
  <c r="FK71" i="48"/>
  <c r="FK44" i="48"/>
  <c r="FZ177" i="48"/>
  <c r="FZ71" i="48"/>
  <c r="FJ178" i="48"/>
  <c r="FJ45" i="48"/>
  <c r="FJ72" i="48"/>
  <c r="FJ18" i="48"/>
  <c r="FY178" i="48"/>
  <c r="FY72" i="48"/>
  <c r="FY45" i="48"/>
  <c r="FY18" i="48"/>
  <c r="FJ167" i="48"/>
  <c r="FJ59" i="48"/>
  <c r="FJ32" i="48"/>
  <c r="FY172" i="48"/>
  <c r="FY65" i="48"/>
  <c r="FY38" i="48"/>
  <c r="FM177" i="48"/>
  <c r="FM44" i="48"/>
  <c r="FM71" i="48"/>
  <c r="FM18" i="48"/>
  <c r="GQ177" i="48"/>
  <c r="GQ71" i="48"/>
  <c r="GQ44" i="48"/>
  <c r="GQ18" i="48"/>
  <c r="GA178" i="48"/>
  <c r="GA72" i="48"/>
  <c r="GA45" i="48"/>
  <c r="GK179" i="48"/>
  <c r="GA167" i="48"/>
  <c r="GA59" i="48"/>
  <c r="GA32" i="48"/>
  <c r="EU168" i="48"/>
  <c r="EU60" i="48"/>
  <c r="GN168" i="48"/>
  <c r="GN60" i="48"/>
  <c r="FL6" i="48"/>
  <c r="GM6" i="48"/>
  <c r="EP172" i="48"/>
  <c r="EP65" i="48"/>
  <c r="EP38" i="48"/>
  <c r="EP12" i="48"/>
  <c r="FE172" i="48"/>
  <c r="FE38" i="48"/>
  <c r="FE12" i="48"/>
  <c r="FE65" i="48"/>
  <c r="FT172" i="48"/>
  <c r="FT65" i="48"/>
  <c r="FT12" i="48"/>
  <c r="FT38" i="48"/>
  <c r="GI172" i="48"/>
  <c r="GI65" i="48"/>
  <c r="GI12" i="48"/>
  <c r="GI38" i="48"/>
  <c r="GX172" i="48"/>
  <c r="GX65" i="48"/>
  <c r="GX38" i="48"/>
  <c r="GX12" i="48"/>
  <c r="EO173" i="48"/>
  <c r="EO66" i="48"/>
  <c r="EO39" i="48"/>
  <c r="FD173" i="48"/>
  <c r="FD66" i="48"/>
  <c r="FD39" i="48"/>
  <c r="FS173" i="48"/>
  <c r="FS66" i="48"/>
  <c r="FS39" i="48"/>
  <c r="GH173" i="48"/>
  <c r="GH39" i="48"/>
  <c r="GH66" i="48"/>
  <c r="GW173" i="48"/>
  <c r="GW66" i="48"/>
  <c r="GW39" i="48"/>
  <c r="FX12" i="48"/>
  <c r="GO12" i="48"/>
  <c r="HF12" i="48"/>
  <c r="ES177" i="48"/>
  <c r="ES71" i="48"/>
  <c r="ES18" i="48"/>
  <c r="ES44" i="48"/>
  <c r="FH177" i="48"/>
  <c r="FH18" i="48"/>
  <c r="FH71" i="48"/>
  <c r="FH44" i="48"/>
  <c r="FW177" i="48"/>
  <c r="FW71" i="48"/>
  <c r="FW18" i="48"/>
  <c r="FW44" i="48"/>
  <c r="GL177" i="48"/>
  <c r="GL71" i="48"/>
  <c r="GL18" i="48"/>
  <c r="GL44" i="48"/>
  <c r="EW18" i="48"/>
  <c r="Q19" i="48"/>
  <c r="EU33" i="48"/>
  <c r="HE33" i="48"/>
  <c r="GW38" i="48"/>
  <c r="FW172" i="48"/>
  <c r="FW65" i="48"/>
  <c r="FW12" i="48"/>
  <c r="FW38" i="48"/>
  <c r="GN167" i="48"/>
  <c r="GN59" i="48"/>
  <c r="GN32" i="48"/>
  <c r="GP178" i="48"/>
  <c r="GP45" i="48"/>
  <c r="GP72" i="48"/>
  <c r="EQ167" i="48"/>
  <c r="EQ59" i="48"/>
  <c r="EQ32" i="48"/>
  <c r="FF167" i="48"/>
  <c r="FF59" i="48"/>
  <c r="FF32" i="48"/>
  <c r="FU167" i="48"/>
  <c r="FU59" i="48"/>
  <c r="FU32" i="48"/>
  <c r="GJ167" i="48"/>
  <c r="GJ59" i="48"/>
  <c r="GJ32" i="48"/>
  <c r="GY167" i="48"/>
  <c r="GY59" i="48"/>
  <c r="Y65" i="48" s="1"/>
  <c r="O79" i="48" s="1"/>
  <c r="GY32" i="48"/>
  <c r="Y35" i="48" s="1"/>
  <c r="O47" i="48" s="1"/>
  <c r="S4" i="48"/>
  <c r="EO168" i="48"/>
  <c r="EO60" i="48"/>
  <c r="EO33" i="48"/>
  <c r="FD168" i="48"/>
  <c r="FD60" i="48"/>
  <c r="FD33" i="48"/>
  <c r="FS168" i="48"/>
  <c r="FS60" i="48"/>
  <c r="FS33" i="48"/>
  <c r="GH168" i="48"/>
  <c r="GH33" i="48"/>
  <c r="GW168" i="48"/>
  <c r="GW60" i="48"/>
  <c r="GW33" i="48"/>
  <c r="EM6" i="48"/>
  <c r="GN6" i="48"/>
  <c r="EQ172" i="48"/>
  <c r="EQ65" i="48"/>
  <c r="EQ38" i="48"/>
  <c r="FF172" i="48"/>
  <c r="FF65" i="48"/>
  <c r="FF38" i="48"/>
  <c r="FU172" i="48"/>
  <c r="FU65" i="48"/>
  <c r="FU38" i="48"/>
  <c r="GJ172" i="48"/>
  <c r="GJ65" i="48"/>
  <c r="GY172" i="48"/>
  <c r="GY65" i="48"/>
  <c r="EP173" i="48"/>
  <c r="EP66" i="48"/>
  <c r="FE173" i="48"/>
  <c r="FE66" i="48"/>
  <c r="FE39" i="48"/>
  <c r="FT173" i="48"/>
  <c r="FT66" i="48"/>
  <c r="GI173" i="48"/>
  <c r="GI66" i="48"/>
  <c r="GX173" i="48"/>
  <c r="GX66" i="48"/>
  <c r="GX39" i="48"/>
  <c r="FY12" i="48"/>
  <c r="ES178" i="48"/>
  <c r="ES72" i="48"/>
  <c r="ES45" i="48"/>
  <c r="FH178" i="48"/>
  <c r="FH72" i="48"/>
  <c r="FH45" i="48"/>
  <c r="FW178" i="48"/>
  <c r="FW72" i="48"/>
  <c r="FW45" i="48"/>
  <c r="GL178" i="48"/>
  <c r="GL72" i="48"/>
  <c r="GL45" i="48"/>
  <c r="FB18" i="48"/>
  <c r="FZ18" i="48"/>
  <c r="EX32" i="48"/>
  <c r="HF32" i="48"/>
  <c r="EW33" i="48"/>
  <c r="S37" i="48"/>
  <c r="GY38" i="48"/>
  <c r="EV44" i="48"/>
  <c r="GG59" i="48"/>
  <c r="GM60" i="48"/>
  <c r="GL167" i="48"/>
  <c r="GL59" i="48"/>
  <c r="GL6" i="48"/>
  <c r="GL32" i="48"/>
  <c r="GL172" i="48"/>
  <c r="GL65" i="48"/>
  <c r="GL12" i="48"/>
  <c r="GL38" i="48"/>
  <c r="HC167" i="48"/>
  <c r="HC59" i="48"/>
  <c r="HC32" i="48"/>
  <c r="FI173" i="48"/>
  <c r="FI66" i="48"/>
  <c r="FI39" i="48"/>
  <c r="HB173" i="48"/>
  <c r="HB66" i="48"/>
  <c r="HB39" i="48"/>
  <c r="EW178" i="48"/>
  <c r="EW72" i="48"/>
  <c r="EW45" i="48"/>
  <c r="EW167" i="48"/>
  <c r="EW59" i="48"/>
  <c r="EW32" i="48"/>
  <c r="GP167" i="48"/>
  <c r="GP59" i="48"/>
  <c r="GP32" i="48"/>
  <c r="FJ168" i="48"/>
  <c r="FJ60" i="48"/>
  <c r="EP167" i="48"/>
  <c r="EP6" i="48"/>
  <c r="EP59" i="48"/>
  <c r="FE167" i="48"/>
  <c r="FE59" i="48"/>
  <c r="FE6" i="48"/>
  <c r="FT167" i="48"/>
  <c r="FT59" i="48"/>
  <c r="FT6" i="48"/>
  <c r="GI167" i="48"/>
  <c r="GI6" i="48"/>
  <c r="GI59" i="48"/>
  <c r="GX167" i="48"/>
  <c r="GX6" i="48"/>
  <c r="GX59" i="48"/>
  <c r="EN168" i="48"/>
  <c r="EN60" i="48"/>
  <c r="EN33" i="48"/>
  <c r="FC168" i="48"/>
  <c r="FC60" i="48"/>
  <c r="FC33" i="48"/>
  <c r="FR168" i="48"/>
  <c r="FR60" i="48"/>
  <c r="FR33" i="48"/>
  <c r="GG168" i="48"/>
  <c r="GG60" i="48"/>
  <c r="GG33" i="48"/>
  <c r="GV168" i="48"/>
  <c r="GV60" i="48"/>
  <c r="HE6" i="48"/>
  <c r="ER167" i="48"/>
  <c r="ER59" i="48"/>
  <c r="ER32" i="48"/>
  <c r="FG167" i="48"/>
  <c r="FG59" i="48"/>
  <c r="FG32" i="48"/>
  <c r="FV167" i="48"/>
  <c r="FV59" i="48"/>
  <c r="FV32" i="48"/>
  <c r="GK167" i="48"/>
  <c r="GK59" i="48"/>
  <c r="GK32" i="48"/>
  <c r="GZ167" i="48"/>
  <c r="GZ59" i="48"/>
  <c r="GZ32" i="48"/>
  <c r="EP168" i="48"/>
  <c r="EP33" i="48"/>
  <c r="EP60" i="48"/>
  <c r="FE168" i="48"/>
  <c r="FE60" i="48"/>
  <c r="FE33" i="48"/>
  <c r="FT168" i="48"/>
  <c r="FT60" i="48"/>
  <c r="FT33" i="48"/>
  <c r="GI168" i="48"/>
  <c r="GI60" i="48"/>
  <c r="GI33" i="48"/>
  <c r="GX168" i="48"/>
  <c r="GX33" i="48"/>
  <c r="GX60" i="48"/>
  <c r="EN6" i="48"/>
  <c r="FF6" i="48"/>
  <c r="HF6" i="48"/>
  <c r="ER172" i="48"/>
  <c r="ER65" i="48"/>
  <c r="ER38" i="48"/>
  <c r="FG172" i="48"/>
  <c r="FG65" i="48"/>
  <c r="FG38" i="48"/>
  <c r="FV172" i="48"/>
  <c r="FV65" i="48"/>
  <c r="FV38" i="48"/>
  <c r="GK172" i="48"/>
  <c r="GK65" i="48"/>
  <c r="GK38" i="48"/>
  <c r="GZ172" i="48"/>
  <c r="GZ65" i="48"/>
  <c r="GZ38" i="48"/>
  <c r="EQ173" i="48"/>
  <c r="EQ66" i="48"/>
  <c r="EQ39" i="48"/>
  <c r="FF173" i="48"/>
  <c r="FF66" i="48"/>
  <c r="FF39" i="48"/>
  <c r="FU173" i="48"/>
  <c r="FU66" i="48"/>
  <c r="FU39" i="48"/>
  <c r="GJ173" i="48"/>
  <c r="GJ66" i="48"/>
  <c r="GJ39" i="48"/>
  <c r="GY173" i="48"/>
  <c r="GY66" i="48"/>
  <c r="GY39" i="48"/>
  <c r="EQ12" i="48"/>
  <c r="FI12" i="48"/>
  <c r="FZ12" i="48"/>
  <c r="GQ12" i="48"/>
  <c r="ET178" i="48"/>
  <c r="ET72" i="48"/>
  <c r="ET45" i="48"/>
  <c r="FI178" i="48"/>
  <c r="FI72" i="48"/>
  <c r="FI45" i="48"/>
  <c r="FX178" i="48"/>
  <c r="FX72" i="48"/>
  <c r="FX45" i="48"/>
  <c r="GM178" i="48"/>
  <c r="GM72" i="48"/>
  <c r="GM45" i="48"/>
  <c r="FE18" i="48"/>
  <c r="GA18" i="48"/>
  <c r="FC32" i="48"/>
  <c r="FB33" i="48"/>
  <c r="HA38" i="48"/>
  <c r="EP39" i="48"/>
  <c r="S62" i="48"/>
  <c r="T62" i="48" s="1"/>
  <c r="Q62" i="48"/>
  <c r="GU59" i="48"/>
  <c r="EX66" i="48"/>
  <c r="FZ167" i="48"/>
  <c r="FZ59" i="48"/>
  <c r="GO167" i="48"/>
  <c r="GO59" i="48"/>
  <c r="HD167" i="48"/>
  <c r="HD59" i="48"/>
  <c r="ES168" i="48"/>
  <c r="ES60" i="48"/>
  <c r="FH168" i="48"/>
  <c r="FH60" i="48"/>
  <c r="FW168" i="48"/>
  <c r="FW60" i="48"/>
  <c r="GL168" i="48"/>
  <c r="GL60" i="48"/>
  <c r="HA168" i="48"/>
  <c r="HA60" i="48"/>
  <c r="ET172" i="48"/>
  <c r="ET65" i="48"/>
  <c r="FI172" i="48"/>
  <c r="FI65" i="48"/>
  <c r="FX172" i="48"/>
  <c r="FX65" i="48"/>
  <c r="GM172" i="48"/>
  <c r="GM65" i="48"/>
  <c r="HB172" i="48"/>
  <c r="HB65" i="48"/>
  <c r="ER173" i="48"/>
  <c r="ER66" i="48"/>
  <c r="FG173" i="48"/>
  <c r="FG66" i="48"/>
  <c r="FV173" i="48"/>
  <c r="FV66" i="48"/>
  <c r="GK173" i="48"/>
  <c r="GK66" i="48"/>
  <c r="GZ173" i="48"/>
  <c r="GZ66" i="48"/>
  <c r="ER177" i="48"/>
  <c r="ER71" i="48"/>
  <c r="FG177" i="48"/>
  <c r="FG71" i="48"/>
  <c r="FV177" i="48"/>
  <c r="FV71" i="48"/>
  <c r="GK177" i="48"/>
  <c r="GK71" i="48"/>
  <c r="EO178" i="48"/>
  <c r="EO72" i="48"/>
  <c r="FD178" i="48"/>
  <c r="FD72" i="48"/>
  <c r="FS178" i="48"/>
  <c r="FS72" i="48"/>
  <c r="GH178" i="48"/>
  <c r="GH72" i="48"/>
  <c r="FV39" i="48"/>
  <c r="FI44" i="48"/>
  <c r="GM38" i="48"/>
  <c r="FD45" i="48"/>
  <c r="GH45" i="48"/>
  <c r="EV60" i="48"/>
  <c r="GJ72" i="48"/>
  <c r="ET177" i="48"/>
  <c r="ET71" i="48"/>
  <c r="GM177" i="48"/>
  <c r="GM71" i="48"/>
  <c r="EQ178" i="48"/>
  <c r="EQ72" i="48"/>
  <c r="FU178" i="48"/>
  <c r="FU72" i="48"/>
  <c r="U76" i="48"/>
  <c r="GK72" i="48"/>
  <c r="FK168" i="48"/>
  <c r="FK60" i="48"/>
  <c r="FZ168" i="48"/>
  <c r="FZ60" i="48"/>
  <c r="GO168" i="48"/>
  <c r="GO33" i="48"/>
  <c r="GO60" i="48"/>
  <c r="HD168" i="48"/>
  <c r="HD33" i="48"/>
  <c r="EW172" i="48"/>
  <c r="EW65" i="48"/>
  <c r="EW38" i="48"/>
  <c r="FL172" i="48"/>
  <c r="FL65" i="48"/>
  <c r="FL38" i="48"/>
  <c r="GA172" i="48"/>
  <c r="GA38" i="48"/>
  <c r="GP172" i="48"/>
  <c r="GP65" i="48"/>
  <c r="GP38" i="48"/>
  <c r="HE172" i="48"/>
  <c r="HE65" i="48"/>
  <c r="HE38" i="48"/>
  <c r="EU173" i="48"/>
  <c r="EU39" i="48"/>
  <c r="EU66" i="48"/>
  <c r="FJ173" i="48"/>
  <c r="FJ66" i="48"/>
  <c r="FJ39" i="48"/>
  <c r="FY173" i="48"/>
  <c r="FY39" i="48"/>
  <c r="FY66" i="48"/>
  <c r="GN173" i="48"/>
  <c r="GN39" i="48"/>
  <c r="GN66" i="48"/>
  <c r="HC173" i="48"/>
  <c r="HC66" i="48"/>
  <c r="HC39" i="48"/>
  <c r="EU177" i="48"/>
  <c r="EU71" i="48"/>
  <c r="FJ177" i="48"/>
  <c r="FJ71" i="48"/>
  <c r="FY177" i="48"/>
  <c r="FY71" i="48"/>
  <c r="GN177" i="48"/>
  <c r="GN71" i="48"/>
  <c r="ER178" i="48"/>
  <c r="ER72" i="48"/>
  <c r="FG178" i="48"/>
  <c r="FG72" i="48"/>
  <c r="FV178" i="48"/>
  <c r="FV72" i="48"/>
  <c r="HA33" i="48"/>
  <c r="FX38" i="48"/>
  <c r="FF45" i="48"/>
  <c r="GJ45" i="48"/>
  <c r="U69" i="48"/>
  <c r="S70" i="48"/>
  <c r="GA65" i="48"/>
  <c r="FI71" i="48"/>
  <c r="FZ32" i="48"/>
  <c r="GO32" i="48"/>
  <c r="HD32" i="48"/>
  <c r="ES33" i="48"/>
  <c r="FH33" i="48"/>
  <c r="FW33" i="48"/>
  <c r="GL33" i="48"/>
  <c r="FG39" i="48"/>
  <c r="GZ39" i="48"/>
  <c r="ER44" i="48"/>
  <c r="FV44" i="48"/>
  <c r="FG45" i="48"/>
  <c r="GK45" i="48"/>
  <c r="S59" i="48"/>
  <c r="S67" i="48"/>
  <c r="FX71" i="48"/>
  <c r="EU88" i="48"/>
  <c r="EU191" i="48" s="1"/>
  <c r="FI38" i="48"/>
  <c r="FG113" i="48"/>
  <c r="FG115" i="48" s="1"/>
  <c r="FG88" i="48"/>
  <c r="FG191" i="48" s="1"/>
  <c r="FV113" i="48"/>
  <c r="FV115" i="48" s="1"/>
  <c r="FV88" i="48"/>
  <c r="FV191" i="48" s="1"/>
  <c r="GH113" i="48"/>
  <c r="GH88" i="48"/>
  <c r="GH191" i="48" s="1"/>
  <c r="EV178" i="48"/>
  <c r="EV72" i="48"/>
  <c r="EV45" i="48"/>
  <c r="FK178" i="48"/>
  <c r="FK72" i="48"/>
  <c r="FK45" i="48"/>
  <c r="FZ178" i="48"/>
  <c r="FZ45" i="48"/>
  <c r="GO178" i="48"/>
  <c r="GO72" i="48"/>
  <c r="GO45" i="48"/>
  <c r="EV33" i="48"/>
  <c r="FK33" i="48"/>
  <c r="FZ33" i="48"/>
  <c r="ET38" i="48"/>
  <c r="EU44" i="48"/>
  <c r="FY44" i="48"/>
  <c r="EO45" i="48"/>
  <c r="FS45" i="48"/>
  <c r="O52" i="48"/>
  <c r="U52" i="48" s="1"/>
  <c r="O84" i="48"/>
  <c r="Q94" i="48"/>
  <c r="T121" i="48"/>
  <c r="Q121" i="48"/>
  <c r="T94" i="48"/>
  <c r="EN119" i="48"/>
  <c r="EN96" i="48"/>
  <c r="EN199" i="48" s="1"/>
  <c r="EZ119" i="48"/>
  <c r="EZ121" i="48" s="1"/>
  <c r="EZ96" i="48"/>
  <c r="EZ199" i="48" s="1"/>
  <c r="FO119" i="48"/>
  <c r="GA119" i="48"/>
  <c r="GA121" i="48" s="1"/>
  <c r="GA96" i="48"/>
  <c r="GA199" i="48" s="1"/>
  <c r="ES114" i="48"/>
  <c r="ES115" i="48" s="1"/>
  <c r="ES88" i="48"/>
  <c r="ES191" i="48" s="1"/>
  <c r="FE114" i="48"/>
  <c r="FE115" i="48" s="1"/>
  <c r="FE88" i="48"/>
  <c r="FE191" i="48" s="1"/>
  <c r="FT114" i="48"/>
  <c r="FT88" i="48"/>
  <c r="FT191" i="48" s="1"/>
  <c r="GF114" i="48"/>
  <c r="GF88" i="48"/>
  <c r="GF191" i="48" s="1"/>
  <c r="O57" i="48"/>
  <c r="U57" i="48" s="1"/>
  <c r="O89" i="48"/>
  <c r="U89" i="48" s="1"/>
  <c r="O86" i="48"/>
  <c r="U86" i="48" s="1"/>
  <c r="EW88" i="48"/>
  <c r="EW191" i="48" s="1"/>
  <c r="FP88" i="48"/>
  <c r="FP191" i="48" s="1"/>
  <c r="ER96" i="48"/>
  <c r="ER199" i="48" s="1"/>
  <c r="FN113" i="48"/>
  <c r="U112" i="48"/>
  <c r="EY88" i="48"/>
  <c r="EY191" i="48" s="1"/>
  <c r="FS88" i="48"/>
  <c r="FS191" i="48" s="1"/>
  <c r="EV96" i="48"/>
  <c r="EV199" i="48" s="1"/>
  <c r="FS96" i="48"/>
  <c r="FS199" i="48" s="1"/>
  <c r="FW113" i="48"/>
  <c r="FW115" i="48" s="1"/>
  <c r="O145" i="48"/>
  <c r="EZ88" i="48"/>
  <c r="EZ191" i="48" s="1"/>
  <c r="FE121" i="48"/>
  <c r="GD120" i="48"/>
  <c r="GD121" i="48" s="1"/>
  <c r="AL145" i="48"/>
  <c r="FA88" i="48"/>
  <c r="FA191" i="48" s="1"/>
  <c r="FX88" i="48"/>
  <c r="FX191" i="48" s="1"/>
  <c r="FA96" i="48"/>
  <c r="FA199" i="48" s="1"/>
  <c r="FW96" i="48"/>
  <c r="FW199" i="48" s="1"/>
  <c r="GG113" i="48"/>
  <c r="GG115" i="48" s="1"/>
  <c r="O144" i="48"/>
  <c r="U144" i="48" s="1"/>
  <c r="FY88" i="48"/>
  <c r="FY191" i="48" s="1"/>
  <c r="ET96" i="48"/>
  <c r="ET199" i="48" s="1"/>
  <c r="ET119" i="48"/>
  <c r="FF96" i="48"/>
  <c r="FF199" i="48" s="1"/>
  <c r="FF119" i="48"/>
  <c r="FF121" i="48" s="1"/>
  <c r="FU96" i="48"/>
  <c r="FU199" i="48" s="1"/>
  <c r="FU119" i="48"/>
  <c r="GG96" i="48"/>
  <c r="GG199" i="48" s="1"/>
  <c r="GG119" i="48"/>
  <c r="GG121" i="48" s="1"/>
  <c r="T126" i="48"/>
  <c r="Q126" i="48"/>
  <c r="T122" i="48"/>
  <c r="Q122" i="48"/>
  <c r="EN88" i="48"/>
  <c r="EN191" i="48" s="1"/>
  <c r="GA88" i="48"/>
  <c r="GA191" i="48" s="1"/>
  <c r="FD96" i="48"/>
  <c r="FD199" i="48" s="1"/>
  <c r="ET113" i="48"/>
  <c r="EP88" i="48"/>
  <c r="EP191" i="48" s="1"/>
  <c r="EP113" i="48"/>
  <c r="EP115" i="48" s="1"/>
  <c r="FB88" i="48"/>
  <c r="FB191" i="48" s="1"/>
  <c r="FB113" i="48"/>
  <c r="FB115" i="48" s="1"/>
  <c r="FQ88" i="48"/>
  <c r="FQ191" i="48" s="1"/>
  <c r="FQ113" i="48"/>
  <c r="FQ115" i="48" s="1"/>
  <c r="GC88" i="48"/>
  <c r="GC191" i="48" s="1"/>
  <c r="GC113" i="48"/>
  <c r="GC115" i="48" s="1"/>
  <c r="FI88" i="48"/>
  <c r="FI191" i="48" s="1"/>
  <c r="GB88" i="48"/>
  <c r="GB191" i="48" s="1"/>
  <c r="EW119" i="48"/>
  <c r="EW96" i="48"/>
  <c r="EW199" i="48" s="1"/>
  <c r="FI119" i="48"/>
  <c r="FI121" i="48" s="1"/>
  <c r="FI96" i="48"/>
  <c r="FI199" i="48" s="1"/>
  <c r="FX119" i="48"/>
  <c r="FX121" i="48" s="1"/>
  <c r="FX96" i="48"/>
  <c r="FX199" i="48" s="1"/>
  <c r="FE96" i="48"/>
  <c r="FE199" i="48" s="1"/>
  <c r="EV113" i="48"/>
  <c r="T158" i="48"/>
  <c r="EQ88" i="48"/>
  <c r="EQ191" i="48" s="1"/>
  <c r="GD88" i="48"/>
  <c r="GD191" i="48" s="1"/>
  <c r="EX119" i="48"/>
  <c r="EX96" i="48"/>
  <c r="EX199" i="48" s="1"/>
  <c r="FM119" i="48"/>
  <c r="FM121" i="48" s="1"/>
  <c r="FM96" i="48"/>
  <c r="FM199" i="48" s="1"/>
  <c r="FY119" i="48"/>
  <c r="FY121" i="48" s="1"/>
  <c r="FY96" i="48"/>
  <c r="FY199" i="48" s="1"/>
  <c r="FH96" i="48"/>
  <c r="FH199" i="48" s="1"/>
  <c r="GE96" i="48"/>
  <c r="GE199" i="48" s="1"/>
  <c r="ER88" i="48"/>
  <c r="ER191" i="48" s="1"/>
  <c r="GE88" i="48"/>
  <c r="GE191" i="48" s="1"/>
  <c r="FF113" i="48"/>
  <c r="FF115" i="48" s="1"/>
  <c r="T154" i="48"/>
  <c r="Q154" i="48"/>
  <c r="EU96" i="48"/>
  <c r="EU199" i="48" s="1"/>
  <c r="FG96" i="48"/>
  <c r="FG199" i="48" s="1"/>
  <c r="FV96" i="48"/>
  <c r="FV199" i="48" s="1"/>
  <c r="GH96" i="48"/>
  <c r="GH199" i="48" s="1"/>
  <c r="U175" i="48"/>
  <c r="EP149" i="48"/>
  <c r="FB149" i="48"/>
  <c r="FQ149" i="48"/>
  <c r="GC149" i="48"/>
  <c r="FV142" i="48"/>
  <c r="GH142" i="48"/>
  <c r="O203" i="48"/>
  <c r="U203" i="48" s="1"/>
  <c r="O201" i="48"/>
  <c r="U201" i="48" s="1"/>
  <c r="T214" i="48"/>
  <c r="Q214" i="48"/>
  <c r="Q153" i="48"/>
  <c r="O199" i="48"/>
  <c r="U199" i="48" s="1"/>
  <c r="AH177" i="48"/>
  <c r="O195" i="48"/>
  <c r="U195" i="48" s="1"/>
  <c r="AJ145" i="48"/>
  <c r="O178" i="48"/>
  <c r="U178" i="48" s="1"/>
  <c r="S184" i="48"/>
  <c r="T184" i="48" s="1"/>
  <c r="O244" i="48"/>
  <c r="U244" i="48" s="1"/>
  <c r="Q250" i="48"/>
  <c r="U239" i="48"/>
  <c r="T250" i="48"/>
  <c r="EV121" i="48" l="1"/>
  <c r="EX121" i="48"/>
  <c r="ET121" i="48"/>
  <c r="ER115" i="48"/>
  <c r="FP115" i="48"/>
  <c r="FH121" i="48"/>
  <c r="EU115" i="48"/>
  <c r="EV115" i="48"/>
  <c r="FC121" i="48"/>
  <c r="FY115" i="48"/>
  <c r="FI115" i="48"/>
  <c r="EN121" i="48"/>
  <c r="ET115" i="48"/>
  <c r="EW121" i="48"/>
  <c r="U84" i="48"/>
  <c r="O85" i="48"/>
  <c r="U85" i="48" s="1"/>
  <c r="GH115" i="48"/>
  <c r="FQ121" i="48"/>
  <c r="FU121" i="48"/>
  <c r="GF115" i="48"/>
  <c r="GC121" i="48"/>
  <c r="FT115" i="48"/>
  <c r="S176" i="48"/>
  <c r="T176" i="48" s="1"/>
  <c r="S147" i="48"/>
  <c r="T147" i="48" s="1"/>
  <c r="S146" i="48"/>
  <c r="T146" i="48" s="1"/>
  <c r="FV46" i="48"/>
  <c r="GZ34" i="48"/>
  <c r="FV179" i="48"/>
  <c r="GZ61" i="48"/>
  <c r="FU61" i="48"/>
  <c r="Q47" i="48"/>
  <c r="U47" i="48"/>
  <c r="T47" i="48"/>
  <c r="U79" i="48"/>
  <c r="U222" i="48"/>
  <c r="GH40" i="48"/>
  <c r="GH67" i="48"/>
  <c r="EW174" i="48"/>
  <c r="GB67" i="48"/>
  <c r="O138" i="48"/>
  <c r="O139" i="48" s="1"/>
  <c r="S222" i="48"/>
  <c r="T222" i="48" s="1"/>
  <c r="FQ34" i="48"/>
  <c r="S221" i="48"/>
  <c r="FZ34" i="48"/>
  <c r="FQ61" i="48"/>
  <c r="P138" i="48"/>
  <c r="S138" i="48" s="1"/>
  <c r="M138" i="48"/>
  <c r="N138" i="48"/>
  <c r="FZ169" i="48"/>
  <c r="N139" i="48"/>
  <c r="M139" i="48"/>
  <c r="P139" i="48"/>
  <c r="S139" i="48" s="1"/>
  <c r="Q237" i="48"/>
  <c r="S237" i="48"/>
  <c r="T237" i="48" s="1"/>
  <c r="U145" i="48"/>
  <c r="FU34" i="48"/>
  <c r="O107" i="48"/>
  <c r="O109" i="48" s="1"/>
  <c r="T115" i="48"/>
  <c r="FF73" i="48"/>
  <c r="GK73" i="48"/>
  <c r="GH34" i="48"/>
  <c r="GH61" i="48"/>
  <c r="ER67" i="48"/>
  <c r="ER40" i="48"/>
  <c r="GU40" i="48"/>
  <c r="GU67" i="48"/>
  <c r="Q51" i="48"/>
  <c r="FI73" i="48"/>
  <c r="FI179" i="48"/>
  <c r="ER179" i="48"/>
  <c r="U133" i="48"/>
  <c r="T180" i="48"/>
  <c r="GQ34" i="48"/>
  <c r="GQ61" i="48"/>
  <c r="EW169" i="48"/>
  <c r="FL67" i="48"/>
  <c r="FU40" i="48"/>
  <c r="FL40" i="48"/>
  <c r="FU67" i="48"/>
  <c r="O223" i="48"/>
  <c r="O224" i="48" s="1"/>
  <c r="O227" i="48"/>
  <c r="O228" i="48" s="1"/>
  <c r="O230" i="48"/>
  <c r="O229" i="48" s="1"/>
  <c r="O167" i="48"/>
  <c r="U167" i="48" s="1"/>
  <c r="U165" i="48"/>
  <c r="O168" i="48"/>
  <c r="U168" i="48" s="1"/>
  <c r="GB174" i="48"/>
  <c r="O134" i="48"/>
  <c r="Q134" i="48" s="1"/>
  <c r="GV174" i="48"/>
  <c r="FM174" i="48"/>
  <c r="ET67" i="48"/>
  <c r="FR40" i="48"/>
  <c r="ET40" i="48"/>
  <c r="FR174" i="48"/>
  <c r="GY40" i="48"/>
  <c r="FC40" i="48"/>
  <c r="GY67" i="48"/>
  <c r="FC67" i="48"/>
  <c r="GA67" i="48"/>
  <c r="ET46" i="48"/>
  <c r="GO34" i="48"/>
  <c r="ET73" i="48"/>
  <c r="GO169" i="48"/>
  <c r="FG34" i="48"/>
  <c r="FF67" i="48"/>
  <c r="EQ34" i="48"/>
  <c r="FG61" i="48"/>
  <c r="GV40" i="48"/>
  <c r="FM67" i="48"/>
  <c r="EQ61" i="48"/>
  <c r="P106" i="48"/>
  <c r="S106" i="48" s="1"/>
  <c r="M106" i="48"/>
  <c r="N106" i="48"/>
  <c r="FF179" i="48"/>
  <c r="U101" i="48"/>
  <c r="FX169" i="48"/>
  <c r="T173" i="48"/>
  <c r="EP46" i="48"/>
  <c r="EP73" i="48"/>
  <c r="HB67" i="48"/>
  <c r="HB40" i="48"/>
  <c r="N42" i="48"/>
  <c r="P42" i="48"/>
  <c r="S42" i="48" s="1"/>
  <c r="M42" i="48"/>
  <c r="N43" i="48"/>
  <c r="P43" i="48"/>
  <c r="S43" i="48" s="1"/>
  <c r="M43" i="48"/>
  <c r="Q173" i="48"/>
  <c r="O42" i="48"/>
  <c r="O43" i="48" s="1"/>
  <c r="FS40" i="48"/>
  <c r="FB40" i="48"/>
  <c r="FS67" i="48"/>
  <c r="FB67" i="48"/>
  <c r="ER34" i="48"/>
  <c r="ER61" i="48"/>
  <c r="GZ67" i="48"/>
  <c r="GZ40" i="48"/>
  <c r="FQ67" i="48"/>
  <c r="GW40" i="48"/>
  <c r="FQ174" i="48"/>
  <c r="ER46" i="48"/>
  <c r="GW67" i="48"/>
  <c r="FV61" i="48"/>
  <c r="FJ40" i="48"/>
  <c r="GV169" i="48"/>
  <c r="FJ67" i="48"/>
  <c r="GM73" i="48"/>
  <c r="GM46" i="48"/>
  <c r="FY34" i="48"/>
  <c r="FY61" i="48"/>
  <c r="GI46" i="48"/>
  <c r="GY34" i="48"/>
  <c r="Q180" i="48"/>
  <c r="EO40" i="48"/>
  <c r="GI73" i="48"/>
  <c r="FV40" i="48"/>
  <c r="EO67" i="48"/>
  <c r="O7" i="48"/>
  <c r="O8" i="48" s="1"/>
  <c r="GI121" i="48"/>
  <c r="FK73" i="48"/>
  <c r="GF34" i="48"/>
  <c r="FJ34" i="48"/>
  <c r="GF61" i="48"/>
  <c r="O118" i="48"/>
  <c r="U118" i="48" s="1"/>
  <c r="HD61" i="48"/>
  <c r="HD34" i="48"/>
  <c r="GU61" i="48"/>
  <c r="U116" i="48"/>
  <c r="GU169" i="48"/>
  <c r="FV174" i="48"/>
  <c r="Q146" i="48"/>
  <c r="T113" i="48"/>
  <c r="Q113" i="48"/>
  <c r="U210" i="48"/>
  <c r="Q210" i="48"/>
  <c r="T210" i="48"/>
  <c r="EO34" i="48"/>
  <c r="GJ34" i="48"/>
  <c r="O208" i="48"/>
  <c r="EO61" i="48"/>
  <c r="GJ61" i="48"/>
  <c r="O207" i="48"/>
  <c r="U206" i="48"/>
  <c r="T206" i="48"/>
  <c r="GG40" i="48"/>
  <c r="FX34" i="48"/>
  <c r="U16" i="48"/>
  <c r="Q16" i="48"/>
  <c r="U5" i="48"/>
  <c r="U27" i="48"/>
  <c r="FV169" i="48"/>
  <c r="GG67" i="48"/>
  <c r="GY61" i="48"/>
  <c r="W65" i="48" s="1"/>
  <c r="O81" i="48" s="1"/>
  <c r="FX73" i="48"/>
  <c r="FX46" i="48"/>
  <c r="HB34" i="48"/>
  <c r="GP34" i="48"/>
  <c r="HB61" i="48"/>
  <c r="GP61" i="48"/>
  <c r="GF67" i="48"/>
  <c r="FF174" i="48"/>
  <c r="U265" i="48"/>
  <c r="T265" i="48"/>
  <c r="Q265" i="48"/>
  <c r="FK46" i="48"/>
  <c r="HC34" i="48"/>
  <c r="GJ73" i="48"/>
  <c r="U17" i="48"/>
  <c r="HC61" i="48"/>
  <c r="O226" i="48"/>
  <c r="U226" i="48" s="1"/>
  <c r="U266" i="48"/>
  <c r="Q266" i="48"/>
  <c r="T266" i="48"/>
  <c r="Q111" i="48"/>
  <c r="T111" i="48"/>
  <c r="Q174" i="48"/>
  <c r="T174" i="48"/>
  <c r="T67" i="48"/>
  <c r="Q18" i="48"/>
  <c r="U193" i="48"/>
  <c r="O236" i="48"/>
  <c r="Q163" i="48"/>
  <c r="Q115" i="48"/>
  <c r="Q50" i="48"/>
  <c r="Q222" i="48"/>
  <c r="T140" i="48"/>
  <c r="Q140" i="48"/>
  <c r="Q206" i="48"/>
  <c r="T16" i="48"/>
  <c r="U106" i="48"/>
  <c r="Q44" i="48"/>
  <c r="Q202" i="48"/>
  <c r="EW34" i="48"/>
  <c r="T202" i="48"/>
  <c r="O105" i="48"/>
  <c r="U105" i="48" s="1"/>
  <c r="GA34" i="48"/>
  <c r="GA61" i="48"/>
  <c r="T44" i="48"/>
  <c r="Q241" i="48"/>
  <c r="T143" i="48"/>
  <c r="T169" i="48"/>
  <c r="T241" i="48"/>
  <c r="FG67" i="48"/>
  <c r="FJ61" i="48"/>
  <c r="Q169" i="48"/>
  <c r="Q68" i="48"/>
  <c r="FG40" i="48"/>
  <c r="Q143" i="48"/>
  <c r="GW61" i="48"/>
  <c r="EW40" i="48"/>
  <c r="O102" i="48"/>
  <c r="O103" i="48" s="1"/>
  <c r="O104" i="48" s="1"/>
  <c r="GW169" i="48"/>
  <c r="GA40" i="48"/>
  <c r="T37" i="48"/>
  <c r="Q67" i="48"/>
  <c r="O91" i="48"/>
  <c r="U91" i="48" s="1"/>
  <c r="GK174" i="48"/>
  <c r="T149" i="48"/>
  <c r="GK34" i="48"/>
  <c r="GF40" i="48"/>
  <c r="FK40" i="48"/>
  <c r="FK67" i="48"/>
  <c r="T3" i="48"/>
  <c r="EQ46" i="48"/>
  <c r="U3" i="48"/>
  <c r="O150" i="48"/>
  <c r="U150" i="48" s="1"/>
  <c r="Q149" i="48"/>
  <c r="FG73" i="48"/>
  <c r="FL46" i="48"/>
  <c r="GK67" i="48"/>
  <c r="EQ73" i="48"/>
  <c r="FG179" i="48"/>
  <c r="FL73" i="48"/>
  <c r="GP40" i="48"/>
  <c r="GP67" i="48"/>
  <c r="O38" i="48"/>
  <c r="GK169" i="48"/>
  <c r="T133" i="48"/>
  <c r="U12" i="48"/>
  <c r="Q101" i="48"/>
  <c r="O137" i="48"/>
  <c r="U137" i="48" s="1"/>
  <c r="U41" i="48"/>
  <c r="Q3" i="48"/>
  <c r="Q82" i="48"/>
  <c r="Q133" i="48"/>
  <c r="GJ179" i="48"/>
  <c r="T101" i="48"/>
  <c r="U148" i="48"/>
  <c r="U37" i="48"/>
  <c r="Q177" i="48"/>
  <c r="S177" i="48"/>
  <c r="T177" i="48" s="1"/>
  <c r="Q176" i="48"/>
  <c r="Q116" i="48"/>
  <c r="T116" i="48"/>
  <c r="S194" i="48"/>
  <c r="T194" i="48" s="1"/>
  <c r="Q205" i="48"/>
  <c r="U108" i="48"/>
  <c r="Q147" i="48"/>
  <c r="GJ46" i="48"/>
  <c r="T201" i="48"/>
  <c r="Q201" i="48"/>
  <c r="T148" i="48"/>
  <c r="Q148" i="48"/>
  <c r="FE179" i="48"/>
  <c r="FE73" i="48"/>
  <c r="FE46" i="48"/>
  <c r="EN174" i="48"/>
  <c r="EN67" i="48"/>
  <c r="EN40" i="48"/>
  <c r="FR169" i="48"/>
  <c r="FR61" i="48"/>
  <c r="FR34" i="48"/>
  <c r="Q22" i="48"/>
  <c r="T22" i="48"/>
  <c r="FW169" i="48"/>
  <c r="FW34" i="48"/>
  <c r="FW61" i="48"/>
  <c r="EV169" i="48"/>
  <c r="EV61" i="48"/>
  <c r="EV34" i="48"/>
  <c r="FR179" i="48"/>
  <c r="FR73" i="48"/>
  <c r="FR46" i="48"/>
  <c r="T57" i="48"/>
  <c r="Q57" i="48"/>
  <c r="FT169" i="48"/>
  <c r="FT61" i="48"/>
  <c r="FT34" i="48"/>
  <c r="Q48" i="48"/>
  <c r="T48" i="48"/>
  <c r="EV179" i="48"/>
  <c r="EV46" i="48"/>
  <c r="EV73" i="48"/>
  <c r="HC174" i="48"/>
  <c r="HC67" i="48"/>
  <c r="HC40" i="48"/>
  <c r="FS179" i="48"/>
  <c r="FS73" i="48"/>
  <c r="FS46" i="48"/>
  <c r="GJ174" i="48"/>
  <c r="GJ67" i="48"/>
  <c r="GJ40" i="48"/>
  <c r="GO179" i="48"/>
  <c r="GO73" i="48"/>
  <c r="GO46" i="48"/>
  <c r="FM179" i="48"/>
  <c r="FM73" i="48"/>
  <c r="FM46" i="48"/>
  <c r="FI174" i="48"/>
  <c r="FI40" i="48"/>
  <c r="FI67" i="48"/>
  <c r="HE169" i="48"/>
  <c r="HE61" i="48"/>
  <c r="HE34" i="48"/>
  <c r="EW179" i="48"/>
  <c r="EW73" i="48"/>
  <c r="EW46" i="48"/>
  <c r="FH179" i="48"/>
  <c r="FH46" i="48"/>
  <c r="FH73" i="48"/>
  <c r="GM169" i="48"/>
  <c r="GM34" i="48"/>
  <c r="GM61" i="48"/>
  <c r="ES169" i="48"/>
  <c r="ES34" i="48"/>
  <c r="ES61" i="48"/>
  <c r="HE174" i="48"/>
  <c r="HE67" i="48"/>
  <c r="HE40" i="48"/>
  <c r="FU179" i="48"/>
  <c r="FU73" i="48"/>
  <c r="FU46" i="48"/>
  <c r="EU174" i="48"/>
  <c r="EU67" i="48"/>
  <c r="EU40" i="48"/>
  <c r="EX174" i="48"/>
  <c r="EX67" i="48"/>
  <c r="EX40" i="48"/>
  <c r="T239" i="48"/>
  <c r="Q239" i="48"/>
  <c r="U240" i="48"/>
  <c r="Q79" i="48"/>
  <c r="T79" i="48"/>
  <c r="EQ174" i="48"/>
  <c r="EQ67" i="48"/>
  <c r="W82" i="48" s="1"/>
  <c r="EQ40" i="48"/>
  <c r="FE169" i="48"/>
  <c r="FE61" i="48"/>
  <c r="FE34" i="48"/>
  <c r="GN169" i="48"/>
  <c r="GN61" i="48"/>
  <c r="GN34" i="48"/>
  <c r="GX174" i="48"/>
  <c r="GX67" i="48"/>
  <c r="GX40" i="48"/>
  <c r="FC169" i="48"/>
  <c r="FC61" i="48"/>
  <c r="FC34" i="48"/>
  <c r="GN174" i="48"/>
  <c r="GN67" i="48"/>
  <c r="GN40" i="48"/>
  <c r="ES174" i="48"/>
  <c r="ES40" i="48"/>
  <c r="ES67" i="48"/>
  <c r="FC179" i="48"/>
  <c r="FC73" i="48"/>
  <c r="FC46" i="48"/>
  <c r="FM169" i="48"/>
  <c r="FM61" i="48"/>
  <c r="FM34" i="48"/>
  <c r="GB179" i="48"/>
  <c r="GB73" i="48"/>
  <c r="GB46" i="48"/>
  <c r="FZ174" i="48"/>
  <c r="FZ67" i="48"/>
  <c r="FZ40" i="48"/>
  <c r="T108" i="48"/>
  <c r="Q108" i="48"/>
  <c r="S83" i="48"/>
  <c r="T83" i="48" s="1"/>
  <c r="Q83" i="48"/>
  <c r="O54" i="48"/>
  <c r="U54" i="48" s="1"/>
  <c r="T52" i="48"/>
  <c r="O53" i="48"/>
  <c r="U53" i="48" s="1"/>
  <c r="Q52" i="48"/>
  <c r="GL169" i="48"/>
  <c r="GL34" i="48"/>
  <c r="GL61" i="48"/>
  <c r="FW174" i="48"/>
  <c r="FW67" i="48"/>
  <c r="FW40" i="48"/>
  <c r="FE174" i="48"/>
  <c r="FE67" i="48"/>
  <c r="FE40" i="48"/>
  <c r="FL169" i="48"/>
  <c r="FL61" i="48"/>
  <c r="FL34" i="48"/>
  <c r="FD174" i="48"/>
  <c r="FD67" i="48"/>
  <c r="FD40" i="48"/>
  <c r="EU179" i="48"/>
  <c r="EU73" i="48"/>
  <c r="EU46" i="48"/>
  <c r="HA174" i="48"/>
  <c r="HA67" i="48"/>
  <c r="HA40" i="48"/>
  <c r="HD174" i="48"/>
  <c r="HD67" i="48"/>
  <c r="HD40" i="48"/>
  <c r="EX179" i="48"/>
  <c r="EX73" i="48"/>
  <c r="EX46" i="48"/>
  <c r="FH169" i="48"/>
  <c r="FH61" i="48"/>
  <c r="FH34" i="48"/>
  <c r="EM179" i="48"/>
  <c r="EM46" i="48"/>
  <c r="EM73" i="48"/>
  <c r="O170" i="48"/>
  <c r="U170" i="48" s="1"/>
  <c r="Q165" i="48"/>
  <c r="U164" i="48"/>
  <c r="T165" i="48"/>
  <c r="O166" i="48"/>
  <c r="U166" i="48" s="1"/>
  <c r="T235" i="48"/>
  <c r="Q235" i="48"/>
  <c r="Q25" i="48"/>
  <c r="T25" i="48"/>
  <c r="T84" i="48"/>
  <c r="Q84" i="48"/>
  <c r="T145" i="48"/>
  <c r="Q145" i="48"/>
  <c r="T112" i="48"/>
  <c r="Q112" i="48"/>
  <c r="Q69" i="48"/>
  <c r="U74" i="48"/>
  <c r="T69" i="48"/>
  <c r="O73" i="48"/>
  <c r="U73" i="48" s="1"/>
  <c r="U77" i="48"/>
  <c r="FF169" i="48"/>
  <c r="FF61" i="48"/>
  <c r="FF34" i="48"/>
  <c r="FZ179" i="48"/>
  <c r="FZ73" i="48"/>
  <c r="FZ46" i="48"/>
  <c r="GL179" i="48"/>
  <c r="GL73" i="48"/>
  <c r="GL46" i="48"/>
  <c r="ES179" i="48"/>
  <c r="ES73" i="48"/>
  <c r="ES46" i="48"/>
  <c r="EM174" i="48"/>
  <c r="EM40" i="48"/>
  <c r="EM67" i="48"/>
  <c r="GM174" i="48"/>
  <c r="GM40" i="48"/>
  <c r="GM67" i="48"/>
  <c r="T234" i="48"/>
  <c r="Q234" i="48"/>
  <c r="FT179" i="48"/>
  <c r="FT73" i="48"/>
  <c r="FT46" i="48"/>
  <c r="FD179" i="48"/>
  <c r="FD46" i="48"/>
  <c r="FD73" i="48"/>
  <c r="GF179" i="48"/>
  <c r="GF73" i="48"/>
  <c r="GF46" i="48"/>
  <c r="GN179" i="48"/>
  <c r="GN46" i="48"/>
  <c r="GN73" i="48"/>
  <c r="HF169" i="48"/>
  <c r="HF34" i="48"/>
  <c r="HF61" i="48"/>
  <c r="FY174" i="48"/>
  <c r="FY67" i="48"/>
  <c r="FY40" i="48"/>
  <c r="FX174" i="48"/>
  <c r="FX67" i="48"/>
  <c r="FX40" i="48"/>
  <c r="GQ174" i="48"/>
  <c r="GQ67" i="48"/>
  <c r="GQ40" i="48"/>
  <c r="FJ179" i="48"/>
  <c r="FJ73" i="48"/>
  <c r="FJ46" i="48"/>
  <c r="Q195" i="48"/>
  <c r="O200" i="48"/>
  <c r="U200" i="48" s="1"/>
  <c r="O196" i="48"/>
  <c r="U196" i="48" s="1"/>
  <c r="O198" i="48"/>
  <c r="U198" i="48" s="1"/>
  <c r="O197" i="48"/>
  <c r="U197" i="48" s="1"/>
  <c r="T195" i="48"/>
  <c r="T117" i="48"/>
  <c r="Q117" i="48"/>
  <c r="T76" i="48"/>
  <c r="Q76" i="48"/>
  <c r="Q114" i="48"/>
  <c r="T114" i="48"/>
  <c r="EN169" i="48"/>
  <c r="EN61" i="48"/>
  <c r="EN34" i="48"/>
  <c r="FB179" i="48"/>
  <c r="FB73" i="48"/>
  <c r="FB46" i="48"/>
  <c r="GQ179" i="48"/>
  <c r="GQ73" i="48"/>
  <c r="GQ46" i="48"/>
  <c r="T15" i="48"/>
  <c r="Q15" i="48"/>
  <c r="EU169" i="48"/>
  <c r="EU61" i="48"/>
  <c r="EU34" i="48"/>
  <c r="GP179" i="48"/>
  <c r="GP73" i="48"/>
  <c r="GP46" i="48"/>
  <c r="EV174" i="48"/>
  <c r="EV67" i="48"/>
  <c r="EV40" i="48"/>
  <c r="Q37" i="48"/>
  <c r="GL174" i="48"/>
  <c r="GL40" i="48"/>
  <c r="GL67" i="48"/>
  <c r="FT174" i="48"/>
  <c r="FT67" i="48"/>
  <c r="FT40" i="48"/>
  <c r="S193" i="48"/>
  <c r="T193" i="48" s="1"/>
  <c r="Q193" i="48"/>
  <c r="T238" i="48"/>
  <c r="Q238" i="48"/>
  <c r="O179" i="48"/>
  <c r="U179" i="48" s="1"/>
  <c r="T178" i="48"/>
  <c r="Q178" i="48"/>
  <c r="Q199" i="48"/>
  <c r="T199" i="48"/>
  <c r="O9" i="48"/>
  <c r="U9" i="48" s="1"/>
  <c r="T5" i="48"/>
  <c r="O10" i="48"/>
  <c r="O11" i="48" s="1"/>
  <c r="O13" i="48" s="1"/>
  <c r="Q5" i="48"/>
  <c r="GX169" i="48"/>
  <c r="GX61" i="48"/>
  <c r="GX34" i="48"/>
  <c r="EP61" i="48"/>
  <c r="EP169" i="48"/>
  <c r="EP34" i="48"/>
  <c r="FD169" i="48"/>
  <c r="FD61" i="48"/>
  <c r="FD34" i="48"/>
  <c r="EP174" i="48"/>
  <c r="EP67" i="48"/>
  <c r="EP40" i="48"/>
  <c r="FS169" i="48"/>
  <c r="FS61" i="48"/>
  <c r="FS34" i="48"/>
  <c r="FH174" i="48"/>
  <c r="FH67" i="48"/>
  <c r="FH40" i="48"/>
  <c r="FQ179" i="48"/>
  <c r="FQ46" i="48"/>
  <c r="FQ73" i="48"/>
  <c r="GG179" i="48"/>
  <c r="GG73" i="48"/>
  <c r="GG46" i="48"/>
  <c r="EN179" i="48"/>
  <c r="EN73" i="48"/>
  <c r="EN46" i="48"/>
  <c r="GB169" i="48"/>
  <c r="GB61" i="48"/>
  <c r="GB34" i="48"/>
  <c r="GA179" i="48"/>
  <c r="GA73" i="48"/>
  <c r="GA46" i="48"/>
  <c r="Q203" i="48"/>
  <c r="T203" i="48"/>
  <c r="EX169" i="48"/>
  <c r="EX61" i="48"/>
  <c r="EX34" i="48"/>
  <c r="T244" i="48"/>
  <c r="Q244" i="48"/>
  <c r="T212" i="48"/>
  <c r="Q212" i="48"/>
  <c r="T144" i="48"/>
  <c r="Q144" i="48"/>
  <c r="T86" i="48"/>
  <c r="Q86" i="48"/>
  <c r="T80" i="48"/>
  <c r="Q80" i="48"/>
  <c r="EM169" i="48"/>
  <c r="EM61" i="48"/>
  <c r="EM34" i="48"/>
  <c r="HF174" i="48"/>
  <c r="HF67" i="48"/>
  <c r="HF40" i="48"/>
  <c r="GI174" i="48"/>
  <c r="GI67" i="48"/>
  <c r="GI40" i="48"/>
  <c r="FY179" i="48"/>
  <c r="FY73" i="48"/>
  <c r="FY46" i="48"/>
  <c r="FB169" i="48"/>
  <c r="FB61" i="48"/>
  <c r="FB34" i="48"/>
  <c r="HA169" i="48"/>
  <c r="HA34" i="48"/>
  <c r="HA61" i="48"/>
  <c r="FK169" i="48"/>
  <c r="FK61" i="48"/>
  <c r="FK34" i="48"/>
  <c r="FI169" i="48"/>
  <c r="FI61" i="48"/>
  <c r="FI34" i="48"/>
  <c r="GI61" i="48"/>
  <c r="GI169" i="48"/>
  <c r="GI34" i="48"/>
  <c r="T175" i="48"/>
  <c r="Q175" i="48"/>
  <c r="T89" i="48"/>
  <c r="Q89" i="48"/>
  <c r="FW179" i="48"/>
  <c r="FW46" i="48"/>
  <c r="FW73" i="48"/>
  <c r="GO174" i="48"/>
  <c r="GO67" i="48"/>
  <c r="GO40" i="48"/>
  <c r="T20" i="48"/>
  <c r="O21" i="48"/>
  <c r="U21" i="48" s="1"/>
  <c r="Q20" i="48"/>
  <c r="GH179" i="48"/>
  <c r="GH73" i="48"/>
  <c r="GH46" i="48"/>
  <c r="EO179" i="48"/>
  <c r="EO73" i="48"/>
  <c r="EO46" i="48"/>
  <c r="GG169" i="48"/>
  <c r="GG34" i="48"/>
  <c r="GG61" i="48"/>
  <c r="ET169" i="48"/>
  <c r="ET61" i="48"/>
  <c r="ET34" i="48"/>
  <c r="Q59" i="44"/>
  <c r="T85" i="48" l="1"/>
  <c r="Q85" i="48"/>
  <c r="W35" i="48"/>
  <c r="O49" i="48" s="1"/>
  <c r="W52" i="48"/>
  <c r="T81" i="48"/>
  <c r="U103" i="48"/>
  <c r="Q103" i="48"/>
  <c r="T103" i="48"/>
  <c r="U102" i="48"/>
  <c r="O99" i="48"/>
  <c r="O132" i="48"/>
  <c r="O152" i="48" s="1"/>
  <c r="T152" i="48" s="1"/>
  <c r="O131" i="48"/>
  <c r="O221" i="48"/>
  <c r="O220" i="48"/>
  <c r="U138" i="48"/>
  <c r="O39" i="48"/>
  <c r="O40" i="48" s="1"/>
  <c r="O36" i="48"/>
  <c r="U280" i="48"/>
  <c r="U139" i="48"/>
  <c r="Q139" i="48"/>
  <c r="T139" i="48"/>
  <c r="O141" i="48"/>
  <c r="U141" i="48" s="1"/>
  <c r="Q81" i="48"/>
  <c r="T280" i="48"/>
  <c r="O182" i="48"/>
  <c r="U81" i="48"/>
  <c r="U227" i="48"/>
  <c r="Q230" i="48"/>
  <c r="U230" i="48"/>
  <c r="U228" i="48"/>
  <c r="Q228" i="48"/>
  <c r="T228" i="48"/>
  <c r="T230" i="48"/>
  <c r="Q224" i="48"/>
  <c r="T224" i="48"/>
  <c r="O225" i="48"/>
  <c r="U224" i="48"/>
  <c r="O232" i="48"/>
  <c r="U232" i="48" s="1"/>
  <c r="Q118" i="48"/>
  <c r="U223" i="48"/>
  <c r="T134" i="48"/>
  <c r="O231" i="48"/>
  <c r="U231" i="48" s="1"/>
  <c r="O45" i="48"/>
  <c r="U45" i="48" s="1"/>
  <c r="U42" i="48"/>
  <c r="T223" i="48"/>
  <c r="T42" i="48"/>
  <c r="U134" i="48"/>
  <c r="O135" i="48"/>
  <c r="Q42" i="48"/>
  <c r="M107" i="48"/>
  <c r="U107" i="48"/>
  <c r="P107" i="48"/>
  <c r="S107" i="48" s="1"/>
  <c r="N107" i="48"/>
  <c r="T118" i="48"/>
  <c r="T106" i="48"/>
  <c r="O100" i="48"/>
  <c r="O120" i="48" s="1"/>
  <c r="O119" i="48" s="1"/>
  <c r="U70" i="48"/>
  <c r="U43" i="48"/>
  <c r="Q43" i="48"/>
  <c r="T43" i="48"/>
  <c r="U38" i="48"/>
  <c r="Q8" i="48"/>
  <c r="T8" i="48"/>
  <c r="U8" i="48"/>
  <c r="Q223" i="48"/>
  <c r="Q138" i="48"/>
  <c r="U207" i="48"/>
  <c r="T207" i="48"/>
  <c r="Q207" i="48"/>
  <c r="U208" i="48"/>
  <c r="Q208" i="48"/>
  <c r="T208" i="48"/>
  <c r="U10" i="48"/>
  <c r="Q17" i="48"/>
  <c r="T27" i="48"/>
  <c r="Q27" i="48"/>
  <c r="Q226" i="48"/>
  <c r="O245" i="48"/>
  <c r="Q245" i="48" s="1"/>
  <c r="T226" i="48"/>
  <c r="T17" i="48"/>
  <c r="U236" i="48"/>
  <c r="T150" i="48"/>
  <c r="Q41" i="48"/>
  <c r="T41" i="48"/>
  <c r="O58" i="48"/>
  <c r="Q150" i="48"/>
  <c r="T38" i="48"/>
  <c r="U6" i="48"/>
  <c r="Q38" i="48"/>
  <c r="U163" i="48"/>
  <c r="O185" i="48"/>
  <c r="T138" i="48"/>
  <c r="T163" i="48"/>
  <c r="T105" i="48"/>
  <c r="Q105" i="48"/>
  <c r="Q106" i="48"/>
  <c r="T102" i="48"/>
  <c r="Q102" i="48"/>
  <c r="Q91" i="48"/>
  <c r="T91" i="48"/>
  <c r="T137" i="48"/>
  <c r="T12" i="48"/>
  <c r="Q12" i="48"/>
  <c r="Q137" i="48"/>
  <c r="T227" i="48"/>
  <c r="Q227" i="48"/>
  <c r="U229" i="48"/>
  <c r="Q170" i="48"/>
  <c r="T170" i="48"/>
  <c r="Q53" i="48"/>
  <c r="T53" i="48"/>
  <c r="Q77" i="48"/>
  <c r="T77" i="48"/>
  <c r="T54" i="48"/>
  <c r="Q54" i="48"/>
  <c r="T197" i="48"/>
  <c r="Q197" i="48"/>
  <c r="O90" i="48"/>
  <c r="O88" i="48" s="1"/>
  <c r="O87" i="48" s="1"/>
  <c r="Q73" i="48"/>
  <c r="T73" i="48"/>
  <c r="T236" i="48"/>
  <c r="Q236" i="48"/>
  <c r="T10" i="48"/>
  <c r="Q10" i="48"/>
  <c r="T198" i="48"/>
  <c r="Q198" i="48"/>
  <c r="T166" i="48"/>
  <c r="Q166" i="48"/>
  <c r="T196" i="48"/>
  <c r="O211" i="48"/>
  <c r="U211" i="48" s="1"/>
  <c r="Q196" i="48"/>
  <c r="T74" i="48"/>
  <c r="Q74" i="48"/>
  <c r="Q6" i="48"/>
  <c r="T6" i="48"/>
  <c r="T179" i="48"/>
  <c r="Q179" i="48"/>
  <c r="Q200" i="48"/>
  <c r="T200" i="48"/>
  <c r="Q167" i="48"/>
  <c r="T167" i="48"/>
  <c r="Q164" i="48"/>
  <c r="T164" i="48"/>
  <c r="T9" i="48"/>
  <c r="O26" i="48"/>
  <c r="O24" i="48" s="1"/>
  <c r="O23" i="48" s="1"/>
  <c r="Q9" i="48"/>
  <c r="T70" i="48"/>
  <c r="Q70" i="48"/>
  <c r="T168" i="48"/>
  <c r="Q168" i="48"/>
  <c r="Q21" i="48"/>
  <c r="T21" i="48"/>
  <c r="T229" i="48"/>
  <c r="Q229" i="48"/>
  <c r="T240" i="48"/>
  <c r="Q240" i="48"/>
  <c r="R50" i="44"/>
  <c r="R4" i="44"/>
  <c r="R3" i="44"/>
  <c r="U49" i="48" l="1"/>
  <c r="T49" i="48"/>
  <c r="Q49" i="48"/>
  <c r="U104" i="48"/>
  <c r="T104" i="48"/>
  <c r="Q104" i="48"/>
  <c r="O56" i="48"/>
  <c r="O55" i="48" s="1"/>
  <c r="T55" i="48" s="1"/>
  <c r="U99" i="48"/>
  <c r="O123" i="48"/>
  <c r="Q99" i="48"/>
  <c r="T99" i="48"/>
  <c r="Q152" i="48"/>
  <c r="U131" i="48"/>
  <c r="O155" i="48"/>
  <c r="T131" i="48"/>
  <c r="Q131" i="48"/>
  <c r="U132" i="48"/>
  <c r="T132" i="48"/>
  <c r="Q132" i="48"/>
  <c r="U220" i="48"/>
  <c r="O246" i="48"/>
  <c r="T220" i="48"/>
  <c r="Q220" i="48"/>
  <c r="U221" i="48"/>
  <c r="Q221" i="48"/>
  <c r="T221" i="48"/>
  <c r="T141" i="48"/>
  <c r="Q141" i="48"/>
  <c r="U36" i="48"/>
  <c r="T36" i="48"/>
  <c r="Q36" i="48"/>
  <c r="T35" i="48"/>
  <c r="U35" i="48"/>
  <c r="O59" i="48"/>
  <c r="Q35" i="48"/>
  <c r="U182" i="48"/>
  <c r="O181" i="48"/>
  <c r="Q87" i="48"/>
  <c r="T87" i="48"/>
  <c r="U87" i="48"/>
  <c r="Q119" i="48"/>
  <c r="T119" i="48"/>
  <c r="U119" i="48"/>
  <c r="U152" i="48"/>
  <c r="O151" i="48"/>
  <c r="U23" i="48"/>
  <c r="T23" i="48"/>
  <c r="Q23" i="48"/>
  <c r="U26" i="48"/>
  <c r="U24" i="48"/>
  <c r="Q225" i="48"/>
  <c r="U225" i="48"/>
  <c r="T225" i="48"/>
  <c r="Q232" i="48"/>
  <c r="T232" i="48"/>
  <c r="O243" i="48"/>
  <c r="T107" i="48"/>
  <c r="O136" i="48"/>
  <c r="U135" i="48"/>
  <c r="Q135" i="48"/>
  <c r="T135" i="48"/>
  <c r="Q107" i="48"/>
  <c r="U100" i="48"/>
  <c r="T100" i="48"/>
  <c r="Q100" i="48"/>
  <c r="U90" i="48"/>
  <c r="U88" i="48"/>
  <c r="U71" i="48"/>
  <c r="Q71" i="48"/>
  <c r="T71" i="48"/>
  <c r="U58" i="48"/>
  <c r="U39" i="48"/>
  <c r="T39" i="48"/>
  <c r="Q39" i="48"/>
  <c r="U245" i="48"/>
  <c r="T245" i="48"/>
  <c r="T45" i="48"/>
  <c r="U11" i="48"/>
  <c r="Q11" i="48"/>
  <c r="T11" i="48"/>
  <c r="U7" i="48"/>
  <c r="Q7" i="48"/>
  <c r="T7" i="48"/>
  <c r="T58" i="48"/>
  <c r="Q58" i="48"/>
  <c r="Q45" i="48"/>
  <c r="U4" i="48"/>
  <c r="T4" i="48"/>
  <c r="Q4" i="48"/>
  <c r="U185" i="48"/>
  <c r="T185" i="48"/>
  <c r="Q185" i="48"/>
  <c r="T90" i="48"/>
  <c r="Q90" i="48"/>
  <c r="Q211" i="48"/>
  <c r="T211" i="48"/>
  <c r="O209" i="48"/>
  <c r="U209" i="48" s="1"/>
  <c r="T231" i="48"/>
  <c r="Q231" i="48"/>
  <c r="T26" i="48"/>
  <c r="Q26" i="48"/>
  <c r="T182" i="48"/>
  <c r="Q182" i="48"/>
  <c r="GG98" i="46"/>
  <c r="GH98" i="46"/>
  <c r="GI98" i="46"/>
  <c r="GJ98" i="46"/>
  <c r="GK98" i="46"/>
  <c r="GL98" i="46"/>
  <c r="GM98" i="46"/>
  <c r="GN98" i="46"/>
  <c r="GO98" i="46"/>
  <c r="GP98" i="46"/>
  <c r="GQ98" i="46"/>
  <c r="U56" i="48" l="1"/>
  <c r="U55" i="48"/>
  <c r="Q55" i="48"/>
  <c r="U123" i="48"/>
  <c r="T123" i="48"/>
  <c r="Q123" i="48"/>
  <c r="U155" i="48"/>
  <c r="T155" i="48"/>
  <c r="Q155" i="48"/>
  <c r="U246" i="48"/>
  <c r="Q246" i="48"/>
  <c r="T246" i="48"/>
  <c r="U59" i="48"/>
  <c r="T59" i="48"/>
  <c r="Q59" i="48"/>
  <c r="U243" i="48"/>
  <c r="O242" i="48"/>
  <c r="U181" i="48"/>
  <c r="U190" i="48" s="1"/>
  <c r="Q181" i="48"/>
  <c r="T181" i="48"/>
  <c r="T190" i="48" s="1"/>
  <c r="U151" i="48"/>
  <c r="Q151" i="48"/>
  <c r="T151" i="48"/>
  <c r="U136" i="48"/>
  <c r="Q136" i="48"/>
  <c r="T136" i="48"/>
  <c r="U109" i="48"/>
  <c r="Q109" i="48"/>
  <c r="T109" i="48"/>
  <c r="U120" i="48"/>
  <c r="T120" i="48"/>
  <c r="Q120" i="48"/>
  <c r="Q72" i="48"/>
  <c r="U72" i="48"/>
  <c r="U96" i="48" s="1"/>
  <c r="T72" i="48"/>
  <c r="T243" i="48"/>
  <c r="Q243" i="48"/>
  <c r="T40" i="48"/>
  <c r="Q40" i="48"/>
  <c r="U40" i="48"/>
  <c r="Q56" i="48"/>
  <c r="T56" i="48"/>
  <c r="U13" i="48"/>
  <c r="U32" i="48" s="1"/>
  <c r="T13" i="48"/>
  <c r="Q13" i="48"/>
  <c r="T24" i="48"/>
  <c r="Q24" i="48"/>
  <c r="T88" i="48"/>
  <c r="Q88" i="48"/>
  <c r="U215" i="48"/>
  <c r="T209" i="48"/>
  <c r="T215" i="48" s="1"/>
  <c r="Q209" i="48"/>
  <c r="T128" i="48" l="1"/>
  <c r="U160" i="48"/>
  <c r="U64" i="48"/>
  <c r="T32" i="48"/>
  <c r="T160" i="48"/>
  <c r="U242" i="48"/>
  <c r="U251" i="48" s="1"/>
  <c r="Q242" i="48"/>
  <c r="T242" i="48"/>
  <c r="T251" i="48" s="1"/>
  <c r="T96" i="48"/>
  <c r="T64" i="48"/>
  <c r="U128" i="48"/>
  <c r="L36" i="44" l="1"/>
  <c r="F40" i="47" l="1"/>
  <c r="F17" i="47"/>
  <c r="P51" i="44" l="1"/>
  <c r="S51" i="44" s="1"/>
  <c r="P52" i="44"/>
  <c r="S52" i="44" s="1"/>
  <c r="P53" i="44"/>
  <c r="S53" i="44" s="1"/>
  <c r="P54" i="44"/>
  <c r="S54" i="44" s="1"/>
  <c r="P55" i="44"/>
  <c r="S55" i="44" s="1"/>
  <c r="P56" i="44"/>
  <c r="S56" i="44" s="1"/>
  <c r="P57" i="44"/>
  <c r="S57" i="44" s="1"/>
  <c r="P58" i="44"/>
  <c r="S58" i="44" s="1"/>
  <c r="P63" i="44"/>
  <c r="S63" i="44" s="1"/>
  <c r="P64" i="44"/>
  <c r="S64" i="44" s="1"/>
  <c r="P65" i="44"/>
  <c r="S65" i="44" s="1"/>
  <c r="P66" i="44"/>
  <c r="S66" i="44" s="1"/>
  <c r="P67" i="44"/>
  <c r="S67" i="44" s="1"/>
  <c r="P68" i="44"/>
  <c r="S68" i="44" s="1"/>
  <c r="P50" i="44"/>
  <c r="S50" i="44" s="1"/>
  <c r="M51" i="44"/>
  <c r="N51" i="44"/>
  <c r="M52" i="44"/>
  <c r="N52" i="44"/>
  <c r="M53" i="44"/>
  <c r="N53" i="44"/>
  <c r="M54" i="44"/>
  <c r="N54" i="44"/>
  <c r="M55" i="44"/>
  <c r="N55" i="44"/>
  <c r="M56" i="44"/>
  <c r="N56" i="44"/>
  <c r="M57" i="44"/>
  <c r="N57" i="44"/>
  <c r="M58" i="44"/>
  <c r="N58" i="44"/>
  <c r="M63" i="44"/>
  <c r="N63" i="44"/>
  <c r="M64" i="44"/>
  <c r="N64" i="44"/>
  <c r="M65" i="44"/>
  <c r="N65" i="44"/>
  <c r="M66" i="44"/>
  <c r="N66" i="44"/>
  <c r="M67" i="44"/>
  <c r="N67" i="44"/>
  <c r="M68" i="44"/>
  <c r="N68" i="44"/>
  <c r="N50" i="44"/>
  <c r="M50" i="44"/>
  <c r="P45" i="44"/>
  <c r="S45" i="44" s="1"/>
  <c r="P26" i="44"/>
  <c r="S26" i="44" s="1"/>
  <c r="P27" i="44"/>
  <c r="S27" i="44" s="1"/>
  <c r="P28" i="44"/>
  <c r="S28" i="44" s="1"/>
  <c r="P29" i="44"/>
  <c r="S29" i="44" s="1"/>
  <c r="P30" i="44"/>
  <c r="S30" i="44" s="1"/>
  <c r="P31" i="44"/>
  <c r="S31" i="44" s="1"/>
  <c r="P32" i="44"/>
  <c r="S32" i="44" s="1"/>
  <c r="P33" i="44"/>
  <c r="S33" i="44" s="1"/>
  <c r="P34" i="44"/>
  <c r="S34" i="44" s="1"/>
  <c r="P35" i="44"/>
  <c r="S35" i="44" s="1"/>
  <c r="P40" i="44"/>
  <c r="S40" i="44" s="1"/>
  <c r="P41" i="44"/>
  <c r="S41" i="44" s="1"/>
  <c r="P42" i="44"/>
  <c r="S42" i="44" s="1"/>
  <c r="P43" i="44"/>
  <c r="S43" i="44" s="1"/>
  <c r="P44" i="44"/>
  <c r="S44" i="44" s="1"/>
  <c r="P25" i="44"/>
  <c r="S25" i="44" s="1"/>
  <c r="M26" i="44"/>
  <c r="N26" i="44"/>
  <c r="M27" i="44"/>
  <c r="N27" i="44"/>
  <c r="M28" i="44"/>
  <c r="N28" i="44"/>
  <c r="M29" i="44"/>
  <c r="N29" i="44"/>
  <c r="M30" i="44"/>
  <c r="N30" i="44"/>
  <c r="M31" i="44"/>
  <c r="N31" i="44"/>
  <c r="M32" i="44"/>
  <c r="N32" i="44"/>
  <c r="M33" i="44"/>
  <c r="N33" i="44"/>
  <c r="M34" i="44"/>
  <c r="N34" i="44"/>
  <c r="M35" i="44"/>
  <c r="N35" i="44"/>
  <c r="M40" i="44"/>
  <c r="N40" i="44"/>
  <c r="M41" i="44"/>
  <c r="N41" i="44"/>
  <c r="M42" i="44"/>
  <c r="N42" i="44"/>
  <c r="M43" i="44"/>
  <c r="N43" i="44"/>
  <c r="M44" i="44"/>
  <c r="N44" i="44"/>
  <c r="M45" i="44"/>
  <c r="N45" i="44"/>
  <c r="N25" i="44"/>
  <c r="M25" i="44"/>
  <c r="P4" i="44"/>
  <c r="S4" i="44" s="1"/>
  <c r="P5" i="44"/>
  <c r="S5" i="44" s="1"/>
  <c r="P6" i="44"/>
  <c r="S6" i="44" s="1"/>
  <c r="P7" i="44"/>
  <c r="S7" i="44" s="1"/>
  <c r="P8" i="44"/>
  <c r="S8" i="44" s="1"/>
  <c r="P9" i="44"/>
  <c r="S9" i="44" s="1"/>
  <c r="P10" i="44"/>
  <c r="S10" i="44" s="1"/>
  <c r="P11" i="44"/>
  <c r="S11" i="44" s="1"/>
  <c r="P15" i="44"/>
  <c r="S15" i="44" s="1"/>
  <c r="P16" i="44"/>
  <c r="S16" i="44" s="1"/>
  <c r="P17" i="44"/>
  <c r="S17" i="44" s="1"/>
  <c r="P18" i="44"/>
  <c r="S18" i="44" s="1"/>
  <c r="P19" i="44"/>
  <c r="S19" i="44" s="1"/>
  <c r="P20" i="44"/>
  <c r="S20" i="44" s="1"/>
  <c r="P3" i="44"/>
  <c r="S3" i="44" s="1"/>
  <c r="M4" i="44"/>
  <c r="N4" i="44"/>
  <c r="M5" i="44"/>
  <c r="N5" i="44"/>
  <c r="M6" i="44"/>
  <c r="N6" i="44"/>
  <c r="M7" i="44"/>
  <c r="N7" i="44"/>
  <c r="M8" i="44"/>
  <c r="N8" i="44"/>
  <c r="M9" i="44"/>
  <c r="N9" i="44"/>
  <c r="M10" i="44"/>
  <c r="N10" i="44"/>
  <c r="M11" i="44"/>
  <c r="N11" i="44"/>
  <c r="M15" i="44"/>
  <c r="N15" i="44"/>
  <c r="M16" i="44"/>
  <c r="N16" i="44"/>
  <c r="M17" i="44"/>
  <c r="N17" i="44"/>
  <c r="M18" i="44"/>
  <c r="N18" i="44"/>
  <c r="M19" i="44"/>
  <c r="N19" i="44"/>
  <c r="M20" i="44"/>
  <c r="N20" i="44"/>
  <c r="N3" i="44"/>
  <c r="M3" i="44"/>
  <c r="P78" i="47"/>
  <c r="S78" i="47" s="1"/>
  <c r="P79" i="47"/>
  <c r="S79" i="47" s="1"/>
  <c r="P80" i="47"/>
  <c r="S80" i="47" s="1"/>
  <c r="P81" i="47"/>
  <c r="S81" i="47" s="1"/>
  <c r="P82" i="47"/>
  <c r="S82" i="47" s="1"/>
  <c r="P83" i="47"/>
  <c r="S83" i="47" s="1"/>
  <c r="P85" i="47"/>
  <c r="S85" i="47" s="1"/>
  <c r="P86" i="47"/>
  <c r="S86" i="47" s="1"/>
  <c r="P93" i="47"/>
  <c r="S93" i="47" s="1"/>
  <c r="P94" i="47"/>
  <c r="S94" i="47" s="1"/>
  <c r="P96" i="47"/>
  <c r="P98" i="47"/>
  <c r="P77" i="47"/>
  <c r="S77" i="47" s="1"/>
  <c r="M77" i="47"/>
  <c r="M78" i="47"/>
  <c r="N78" i="47"/>
  <c r="M79" i="47"/>
  <c r="N79" i="47"/>
  <c r="M80" i="47"/>
  <c r="N80" i="47"/>
  <c r="M81" i="47"/>
  <c r="N81" i="47"/>
  <c r="M82" i="47"/>
  <c r="N82" i="47"/>
  <c r="M83" i="47"/>
  <c r="N83" i="47"/>
  <c r="M85" i="47"/>
  <c r="N85" i="47"/>
  <c r="M86" i="47"/>
  <c r="N86" i="47"/>
  <c r="M93" i="47"/>
  <c r="N93" i="47"/>
  <c r="M94" i="47"/>
  <c r="N94" i="47"/>
  <c r="M96" i="47"/>
  <c r="N96" i="47"/>
  <c r="M98" i="47"/>
  <c r="N98" i="47"/>
  <c r="N77" i="47"/>
  <c r="P51" i="47"/>
  <c r="S51" i="47" s="1"/>
  <c r="P52" i="47"/>
  <c r="S52" i="47" s="1"/>
  <c r="P53" i="47"/>
  <c r="S53" i="47" s="1"/>
  <c r="P54" i="47"/>
  <c r="S54" i="47" s="1"/>
  <c r="P55" i="47"/>
  <c r="S55" i="47" s="1"/>
  <c r="P56" i="47"/>
  <c r="S56" i="47" s="1"/>
  <c r="P57" i="47"/>
  <c r="S57" i="47" s="1"/>
  <c r="P58" i="47"/>
  <c r="S58" i="47" s="1"/>
  <c r="P60" i="47"/>
  <c r="S60" i="47" s="1"/>
  <c r="P61" i="47"/>
  <c r="S61" i="47" s="1"/>
  <c r="P65" i="47"/>
  <c r="S65" i="47" s="1"/>
  <c r="P68" i="47"/>
  <c r="S68" i="47" s="1"/>
  <c r="P69" i="47"/>
  <c r="S69" i="47" s="1"/>
  <c r="P50" i="47"/>
  <c r="S50" i="47" s="1"/>
  <c r="M51" i="47"/>
  <c r="N51" i="47"/>
  <c r="M52" i="47"/>
  <c r="N52" i="47"/>
  <c r="M53" i="47"/>
  <c r="N53" i="47"/>
  <c r="M54" i="47"/>
  <c r="N54" i="47"/>
  <c r="M55" i="47"/>
  <c r="N55" i="47"/>
  <c r="M56" i="47"/>
  <c r="N56" i="47"/>
  <c r="M57" i="47"/>
  <c r="N57" i="47"/>
  <c r="M58" i="47"/>
  <c r="N58" i="47"/>
  <c r="M60" i="47"/>
  <c r="N60" i="47"/>
  <c r="M61" i="47"/>
  <c r="N61" i="47"/>
  <c r="M65" i="47"/>
  <c r="N65" i="47"/>
  <c r="M68" i="47"/>
  <c r="N68" i="47"/>
  <c r="M69" i="47"/>
  <c r="N69" i="47"/>
  <c r="N50" i="47"/>
  <c r="M50" i="47"/>
  <c r="P29" i="47"/>
  <c r="S29" i="47" s="1"/>
  <c r="P33" i="47"/>
  <c r="S33" i="47" s="1"/>
  <c r="P37" i="47"/>
  <c r="S37" i="47" s="1"/>
  <c r="P38" i="47"/>
  <c r="S38" i="47" s="1"/>
  <c r="N29" i="47"/>
  <c r="N33" i="47"/>
  <c r="N37" i="47"/>
  <c r="N38" i="47"/>
  <c r="M29" i="47"/>
  <c r="M33" i="47"/>
  <c r="M37" i="47"/>
  <c r="M38" i="47"/>
  <c r="P4" i="47"/>
  <c r="S4" i="47" s="1"/>
  <c r="P11" i="47"/>
  <c r="S11" i="47" s="1"/>
  <c r="P15" i="47"/>
  <c r="S15" i="47" s="1"/>
  <c r="N4" i="47"/>
  <c r="N11" i="47"/>
  <c r="N15" i="47"/>
  <c r="M4" i="47"/>
  <c r="M11" i="47"/>
  <c r="M15" i="47"/>
  <c r="M3" i="47"/>
  <c r="P92" i="47"/>
  <c r="P91" i="47"/>
  <c r="S91" i="47" s="1"/>
  <c r="P90" i="47"/>
  <c r="P89" i="47"/>
  <c r="S89" i="47" s="1"/>
  <c r="P88" i="47"/>
  <c r="P84" i="47"/>
  <c r="S84" i="47" s="1"/>
  <c r="F70" i="47"/>
  <c r="P67" i="47"/>
  <c r="M64" i="47"/>
  <c r="M63" i="47"/>
  <c r="M62" i="47"/>
  <c r="P59" i="47"/>
  <c r="S59" i="47" s="1"/>
  <c r="N42" i="47"/>
  <c r="N41" i="47"/>
  <c r="N40" i="47"/>
  <c r="M39" i="47"/>
  <c r="P36" i="47"/>
  <c r="P35" i="47"/>
  <c r="S35" i="47" s="1"/>
  <c r="P34" i="47"/>
  <c r="N32" i="47"/>
  <c r="N31" i="47"/>
  <c r="N30" i="47"/>
  <c r="M28" i="47"/>
  <c r="P18" i="47"/>
  <c r="M16" i="47"/>
  <c r="N14" i="47"/>
  <c r="N13" i="47"/>
  <c r="M12" i="47"/>
  <c r="M10" i="47"/>
  <c r="M9" i="47"/>
  <c r="N8" i="47"/>
  <c r="N7" i="47"/>
  <c r="N5" i="47"/>
  <c r="FL99" i="47"/>
  <c r="FL98" i="47"/>
  <c r="FL97" i="47"/>
  <c r="FL96" i="47"/>
  <c r="FL95" i="47"/>
  <c r="FL94" i="47"/>
  <c r="FL93" i="47"/>
  <c r="FL92" i="47"/>
  <c r="FL91" i="47"/>
  <c r="CK91" i="47"/>
  <c r="CJ91" i="47"/>
  <c r="CI91" i="47"/>
  <c r="CH91" i="47"/>
  <c r="CG91" i="47"/>
  <c r="CF91" i="47"/>
  <c r="CE91" i="47"/>
  <c r="CD91" i="47"/>
  <c r="CC91" i="47"/>
  <c r="CB91" i="47"/>
  <c r="CA91" i="47"/>
  <c r="BZ91" i="47"/>
  <c r="BY91" i="47"/>
  <c r="BX91" i="47"/>
  <c r="BW91" i="47"/>
  <c r="BV91" i="47"/>
  <c r="BU91" i="47"/>
  <c r="BT91" i="47"/>
  <c r="BS91" i="47"/>
  <c r="BR91" i="47"/>
  <c r="BQ91" i="47"/>
  <c r="BP91" i="47"/>
  <c r="BO91" i="47"/>
  <c r="BN91" i="47"/>
  <c r="BM91" i="47"/>
  <c r="BL91" i="47"/>
  <c r="BK91" i="47"/>
  <c r="BJ91" i="47"/>
  <c r="BI91" i="47"/>
  <c r="BH91" i="47"/>
  <c r="BG91" i="47"/>
  <c r="BF91" i="47"/>
  <c r="BE91" i="47"/>
  <c r="BD91" i="47"/>
  <c r="BC91" i="47"/>
  <c r="BB91" i="47"/>
  <c r="BA91" i="47"/>
  <c r="AZ91" i="47"/>
  <c r="AY91" i="47"/>
  <c r="AX91" i="47"/>
  <c r="AW91" i="47"/>
  <c r="AV91" i="47"/>
  <c r="AU91" i="47"/>
  <c r="AT91" i="47"/>
  <c r="AS91" i="47"/>
  <c r="AR91" i="47"/>
  <c r="AQ91" i="47"/>
  <c r="AP91" i="47"/>
  <c r="AO91" i="47"/>
  <c r="AN91" i="47"/>
  <c r="R94" i="47"/>
  <c r="CK82" i="47"/>
  <c r="CJ82" i="47"/>
  <c r="CI82" i="47"/>
  <c r="CH82" i="47"/>
  <c r="CG82" i="47"/>
  <c r="CF82" i="47"/>
  <c r="CE82" i="47"/>
  <c r="CD82" i="47"/>
  <c r="CC82" i="47"/>
  <c r="CB82" i="47"/>
  <c r="CA82" i="47"/>
  <c r="BZ82" i="47"/>
  <c r="BY82" i="47"/>
  <c r="BX82" i="47"/>
  <c r="BW82" i="47"/>
  <c r="BV82" i="47"/>
  <c r="BU82" i="47"/>
  <c r="BT82" i="47"/>
  <c r="BS82" i="47"/>
  <c r="BR82" i="47"/>
  <c r="BQ82" i="47"/>
  <c r="BP82" i="47"/>
  <c r="BO82" i="47"/>
  <c r="BN82" i="47"/>
  <c r="BM82" i="47"/>
  <c r="BL82" i="47"/>
  <c r="BK82" i="47"/>
  <c r="BJ82" i="47"/>
  <c r="BI82" i="47"/>
  <c r="BH82" i="47"/>
  <c r="BG82" i="47"/>
  <c r="BF82" i="47"/>
  <c r="BE82" i="47"/>
  <c r="BD82" i="47"/>
  <c r="BC82" i="47"/>
  <c r="BB82" i="47"/>
  <c r="BA82" i="47"/>
  <c r="AZ82" i="47"/>
  <c r="AY82" i="47"/>
  <c r="AX82" i="47"/>
  <c r="AW82" i="47"/>
  <c r="AV82" i="47"/>
  <c r="AU82" i="47"/>
  <c r="AT82" i="47"/>
  <c r="AS82" i="47"/>
  <c r="AR82" i="47"/>
  <c r="AQ82" i="47"/>
  <c r="AP82" i="47"/>
  <c r="AO82" i="47"/>
  <c r="AN82" i="47"/>
  <c r="R93" i="47"/>
  <c r="R92" i="47"/>
  <c r="AE80" i="47"/>
  <c r="AD80" i="47"/>
  <c r="AC80" i="47"/>
  <c r="AB80" i="47"/>
  <c r="AA80" i="47"/>
  <c r="Z80" i="47"/>
  <c r="X80" i="47"/>
  <c r="R91" i="47"/>
  <c r="AE79" i="47"/>
  <c r="AD79" i="47"/>
  <c r="AC79" i="47"/>
  <c r="AB79" i="47"/>
  <c r="AA79" i="47"/>
  <c r="Z79" i="47"/>
  <c r="X79" i="47"/>
  <c r="R90" i="47"/>
  <c r="AE78" i="47"/>
  <c r="AD78" i="47"/>
  <c r="AC78" i="47"/>
  <c r="AB78" i="47"/>
  <c r="AA78" i="47"/>
  <c r="Z78" i="47"/>
  <c r="X78" i="47"/>
  <c r="R89" i="47"/>
  <c r="AE77" i="47"/>
  <c r="AD77" i="47"/>
  <c r="AC77" i="47"/>
  <c r="AB77" i="47"/>
  <c r="AA77" i="47"/>
  <c r="Z77" i="47"/>
  <c r="X77" i="47"/>
  <c r="R88" i="47"/>
  <c r="AE76" i="47"/>
  <c r="AD76" i="47"/>
  <c r="AC76" i="47"/>
  <c r="AB76" i="47"/>
  <c r="AA76" i="47"/>
  <c r="Z76" i="47"/>
  <c r="X76" i="47"/>
  <c r="R87" i="47"/>
  <c r="AE75" i="47"/>
  <c r="AD75" i="47"/>
  <c r="AC75" i="47"/>
  <c r="AB75" i="47"/>
  <c r="AA75" i="47"/>
  <c r="Z75" i="47"/>
  <c r="X75" i="47"/>
  <c r="R86" i="47"/>
  <c r="AE74" i="47"/>
  <c r="AD74" i="47"/>
  <c r="AC74" i="47"/>
  <c r="AB74" i="47"/>
  <c r="AA74" i="47"/>
  <c r="Z74" i="47"/>
  <c r="X74" i="47"/>
  <c r="R85" i="47"/>
  <c r="CK73" i="47"/>
  <c r="CJ73" i="47"/>
  <c r="CI73" i="47"/>
  <c r="CH73" i="47"/>
  <c r="CG73" i="47"/>
  <c r="CF73" i="47"/>
  <c r="CE73" i="47"/>
  <c r="CD73" i="47"/>
  <c r="CC73" i="47"/>
  <c r="CB73" i="47"/>
  <c r="CA73" i="47"/>
  <c r="BZ73" i="47"/>
  <c r="BY73" i="47"/>
  <c r="BX73" i="47"/>
  <c r="BW73" i="47"/>
  <c r="BV73" i="47"/>
  <c r="BU73" i="47"/>
  <c r="BT73" i="47"/>
  <c r="BS73" i="47"/>
  <c r="BR73" i="47"/>
  <c r="BQ73" i="47"/>
  <c r="BP73" i="47"/>
  <c r="BO73" i="47"/>
  <c r="BN73" i="47"/>
  <c r="BM73" i="47"/>
  <c r="BL73" i="47"/>
  <c r="BK73" i="47"/>
  <c r="BJ73" i="47"/>
  <c r="BI73" i="47"/>
  <c r="BH73" i="47"/>
  <c r="BG73" i="47"/>
  <c r="BF73" i="47"/>
  <c r="BE73" i="47"/>
  <c r="BD73" i="47"/>
  <c r="BC73" i="47"/>
  <c r="BB73" i="47"/>
  <c r="BA73" i="47"/>
  <c r="AZ73" i="47"/>
  <c r="AY73" i="47"/>
  <c r="AX73" i="47"/>
  <c r="AW73" i="47"/>
  <c r="AV73" i="47"/>
  <c r="AU73" i="47"/>
  <c r="AT73" i="47"/>
  <c r="AS73" i="47"/>
  <c r="AR73" i="47"/>
  <c r="AQ73" i="47"/>
  <c r="AP73" i="47"/>
  <c r="AO73" i="47"/>
  <c r="AN73" i="47"/>
  <c r="AE73" i="47"/>
  <c r="AD73" i="47"/>
  <c r="AC73" i="47"/>
  <c r="AB73" i="47"/>
  <c r="AA73" i="47"/>
  <c r="Z73" i="47"/>
  <c r="X73" i="47"/>
  <c r="R84" i="47"/>
  <c r="AE72" i="47"/>
  <c r="AD72" i="47"/>
  <c r="AC72" i="47"/>
  <c r="AB72" i="47"/>
  <c r="AA72" i="47"/>
  <c r="Z72" i="47"/>
  <c r="X72" i="47"/>
  <c r="R83" i="47"/>
  <c r="AE71" i="47"/>
  <c r="AD71" i="47"/>
  <c r="AC71" i="47"/>
  <c r="AB71" i="47"/>
  <c r="AA71" i="47"/>
  <c r="Z71" i="47"/>
  <c r="X71" i="47"/>
  <c r="R82" i="47"/>
  <c r="AE70" i="47"/>
  <c r="AD70" i="47"/>
  <c r="AC70" i="47"/>
  <c r="AB70" i="47"/>
  <c r="AA70" i="47"/>
  <c r="Z70" i="47"/>
  <c r="X70" i="47"/>
  <c r="R81" i="47"/>
  <c r="AE69" i="47"/>
  <c r="AD69" i="47"/>
  <c r="AC69" i="47"/>
  <c r="AB69" i="47"/>
  <c r="AA69" i="47"/>
  <c r="Z69" i="47"/>
  <c r="X69" i="47"/>
  <c r="AE68" i="47"/>
  <c r="AD68" i="47"/>
  <c r="AC68" i="47"/>
  <c r="AB68" i="47"/>
  <c r="AA68" i="47"/>
  <c r="Z68" i="47"/>
  <c r="X68" i="47"/>
  <c r="R79" i="47"/>
  <c r="AE67" i="47"/>
  <c r="AD67" i="47"/>
  <c r="AC67" i="47"/>
  <c r="AB67" i="47"/>
  <c r="AA67" i="47"/>
  <c r="Z67" i="47"/>
  <c r="X67" i="47"/>
  <c r="R78" i="47"/>
  <c r="AE66" i="47"/>
  <c r="AD66" i="47"/>
  <c r="AC66" i="47"/>
  <c r="AB66" i="47"/>
  <c r="AA66" i="47"/>
  <c r="Z66" i="47"/>
  <c r="R77" i="47"/>
  <c r="AE65" i="47"/>
  <c r="AD65" i="47"/>
  <c r="AC65" i="47"/>
  <c r="AB65" i="47"/>
  <c r="CK64" i="47"/>
  <c r="CJ64" i="47"/>
  <c r="CI64" i="47"/>
  <c r="CH64" i="47"/>
  <c r="CG64" i="47"/>
  <c r="CF64" i="47"/>
  <c r="CE64" i="47"/>
  <c r="CD64" i="47"/>
  <c r="CC64" i="47"/>
  <c r="CB64" i="47"/>
  <c r="CA64" i="47"/>
  <c r="BZ64" i="47"/>
  <c r="BY64" i="47"/>
  <c r="BX64" i="47"/>
  <c r="BW64" i="47"/>
  <c r="BV64" i="47"/>
  <c r="BU64" i="47"/>
  <c r="BT64" i="47"/>
  <c r="BS64" i="47"/>
  <c r="BR64" i="47"/>
  <c r="BQ64" i="47"/>
  <c r="BP64" i="47"/>
  <c r="BO64" i="47"/>
  <c r="BN64" i="47"/>
  <c r="BM64" i="47"/>
  <c r="BL64" i="47"/>
  <c r="BK64" i="47"/>
  <c r="BJ64" i="47"/>
  <c r="BI64" i="47"/>
  <c r="BH64" i="47"/>
  <c r="BG64" i="47"/>
  <c r="BF64" i="47"/>
  <c r="BE64" i="47"/>
  <c r="BD64" i="47"/>
  <c r="BC64" i="47"/>
  <c r="BB64" i="47"/>
  <c r="BA64" i="47"/>
  <c r="AZ64" i="47"/>
  <c r="AY64" i="47"/>
  <c r="AX64" i="47"/>
  <c r="AW64" i="47"/>
  <c r="AV64" i="47"/>
  <c r="AU64" i="47"/>
  <c r="AT64" i="47"/>
  <c r="AS64" i="47"/>
  <c r="AR64" i="47"/>
  <c r="AQ64" i="47"/>
  <c r="AP64" i="47"/>
  <c r="AO64" i="47"/>
  <c r="AN64" i="47"/>
  <c r="R70" i="47"/>
  <c r="R69" i="47"/>
  <c r="U69" i="47"/>
  <c r="R68" i="47"/>
  <c r="R67" i="47"/>
  <c r="R66" i="47"/>
  <c r="R65" i="47"/>
  <c r="AH56" i="47"/>
  <c r="AG56" i="47"/>
  <c r="AF56" i="47"/>
  <c r="AE56" i="47"/>
  <c r="AD56" i="47"/>
  <c r="AC56" i="47"/>
  <c r="AB56" i="47"/>
  <c r="AA56" i="47"/>
  <c r="Z56" i="47"/>
  <c r="R64" i="47"/>
  <c r="AH55" i="47"/>
  <c r="AG55" i="47"/>
  <c r="AF55" i="47"/>
  <c r="AE55" i="47"/>
  <c r="AD55" i="47"/>
  <c r="AC55" i="47"/>
  <c r="AB55" i="47"/>
  <c r="AA55" i="47"/>
  <c r="Z55" i="47"/>
  <c r="R63" i="47"/>
  <c r="CK54" i="47"/>
  <c r="CJ54" i="47"/>
  <c r="CI54" i="47"/>
  <c r="CH54" i="47"/>
  <c r="CG54" i="47"/>
  <c r="CF54" i="47"/>
  <c r="CE54" i="47"/>
  <c r="CD54" i="47"/>
  <c r="CC54" i="47"/>
  <c r="CB54" i="47"/>
  <c r="CA54" i="47"/>
  <c r="BZ54" i="47"/>
  <c r="BY54" i="47"/>
  <c r="BX54" i="47"/>
  <c r="BW54" i="47"/>
  <c r="BV54" i="47"/>
  <c r="BU54" i="47"/>
  <c r="BT54" i="47"/>
  <c r="BS54" i="47"/>
  <c r="BR54" i="47"/>
  <c r="BQ54" i="47"/>
  <c r="BP54" i="47"/>
  <c r="BO54" i="47"/>
  <c r="BN54" i="47"/>
  <c r="BM54" i="47"/>
  <c r="BL54" i="47"/>
  <c r="BK54" i="47"/>
  <c r="BJ54" i="47"/>
  <c r="BI54" i="47"/>
  <c r="BH54" i="47"/>
  <c r="BG54" i="47"/>
  <c r="BF54" i="47"/>
  <c r="BE54" i="47"/>
  <c r="BD54" i="47"/>
  <c r="BC54" i="47"/>
  <c r="BB54" i="47"/>
  <c r="BA54" i="47"/>
  <c r="AZ54" i="47"/>
  <c r="AY54" i="47"/>
  <c r="AX54" i="47"/>
  <c r="AW54" i="47"/>
  <c r="AV54" i="47"/>
  <c r="AU54" i="47"/>
  <c r="AT54" i="47"/>
  <c r="AS54" i="47"/>
  <c r="AR54" i="47"/>
  <c r="AQ54" i="47"/>
  <c r="AP54" i="47"/>
  <c r="AO54" i="47"/>
  <c r="AN54" i="47"/>
  <c r="AH54" i="47"/>
  <c r="AG54" i="47"/>
  <c r="AF54" i="47"/>
  <c r="AE54" i="47"/>
  <c r="AD54" i="47"/>
  <c r="AC54" i="47"/>
  <c r="AB54" i="47"/>
  <c r="AA54" i="47"/>
  <c r="Z54" i="47"/>
  <c r="R62" i="47"/>
  <c r="AH53" i="47"/>
  <c r="AG53" i="47"/>
  <c r="AF53" i="47"/>
  <c r="AE53" i="47"/>
  <c r="AD53" i="47"/>
  <c r="AC53" i="47"/>
  <c r="AB53" i="47"/>
  <c r="AA53" i="47"/>
  <c r="Z53" i="47"/>
  <c r="R61" i="47"/>
  <c r="AH52" i="47"/>
  <c r="AG52" i="47"/>
  <c r="AF52" i="47"/>
  <c r="AE52" i="47"/>
  <c r="AD52" i="47"/>
  <c r="AC52" i="47"/>
  <c r="AB52" i="47"/>
  <c r="AA52" i="47"/>
  <c r="Z52" i="47"/>
  <c r="R60" i="47"/>
  <c r="AH51" i="47"/>
  <c r="AG51" i="47"/>
  <c r="AF51" i="47"/>
  <c r="AE51" i="47"/>
  <c r="AD51" i="47"/>
  <c r="AC51" i="47"/>
  <c r="AB51" i="47"/>
  <c r="AA51" i="47"/>
  <c r="Z51" i="47"/>
  <c r="R59" i="47"/>
  <c r="AH50" i="47"/>
  <c r="AG50" i="47"/>
  <c r="AF50" i="47"/>
  <c r="AE50" i="47"/>
  <c r="AD50" i="47"/>
  <c r="AC50" i="47"/>
  <c r="AB50" i="47"/>
  <c r="AA50" i="47"/>
  <c r="Z50" i="47"/>
  <c r="R58" i="47"/>
  <c r="AH49" i="47"/>
  <c r="AG49" i="47"/>
  <c r="AF49" i="47"/>
  <c r="AE49" i="47"/>
  <c r="AD49" i="47"/>
  <c r="AC49" i="47"/>
  <c r="AB49" i="47"/>
  <c r="AA49" i="47"/>
  <c r="Z49" i="47"/>
  <c r="R57" i="47"/>
  <c r="AH48" i="47"/>
  <c r="AG48" i="47"/>
  <c r="AF48" i="47"/>
  <c r="AE48" i="47"/>
  <c r="AD48" i="47"/>
  <c r="AC48" i="47"/>
  <c r="AB48" i="47"/>
  <c r="AA48" i="47"/>
  <c r="Z48" i="47"/>
  <c r="R56" i="47"/>
  <c r="AH47" i="47"/>
  <c r="AG47" i="47"/>
  <c r="AF47" i="47"/>
  <c r="AE47" i="47"/>
  <c r="AD47" i="47"/>
  <c r="AC47" i="47"/>
  <c r="AB47" i="47"/>
  <c r="AA47" i="47"/>
  <c r="Z47" i="47"/>
  <c r="AH46" i="47"/>
  <c r="AG46" i="47"/>
  <c r="AF46" i="47"/>
  <c r="AE46" i="47"/>
  <c r="AD46" i="47"/>
  <c r="AC46" i="47"/>
  <c r="AB46" i="47"/>
  <c r="AA46" i="47"/>
  <c r="Z46" i="47"/>
  <c r="R54" i="47"/>
  <c r="CK45" i="47"/>
  <c r="CJ45" i="47"/>
  <c r="CI45" i="47"/>
  <c r="CH45" i="47"/>
  <c r="CG45" i="47"/>
  <c r="CF45" i="47"/>
  <c r="CE45" i="47"/>
  <c r="CD45" i="47"/>
  <c r="CC45" i="47"/>
  <c r="CB45" i="47"/>
  <c r="CA45" i="47"/>
  <c r="BZ45" i="47"/>
  <c r="BY45" i="47"/>
  <c r="BX45" i="47"/>
  <c r="BW45" i="47"/>
  <c r="BV45" i="47"/>
  <c r="BU45" i="47"/>
  <c r="BT45" i="47"/>
  <c r="BS45" i="47"/>
  <c r="BR45" i="47"/>
  <c r="BQ45" i="47"/>
  <c r="BP45" i="47"/>
  <c r="BO45" i="47"/>
  <c r="BN45" i="47"/>
  <c r="BM45" i="47"/>
  <c r="BL45" i="47"/>
  <c r="BK45" i="47"/>
  <c r="BJ45" i="47"/>
  <c r="BI45" i="47"/>
  <c r="BH45" i="47"/>
  <c r="BG45" i="47"/>
  <c r="BF45" i="47"/>
  <c r="BE45" i="47"/>
  <c r="BD45" i="47"/>
  <c r="BC45" i="47"/>
  <c r="BB45" i="47"/>
  <c r="BA45" i="47"/>
  <c r="AZ45" i="47"/>
  <c r="AY45" i="47"/>
  <c r="AX45" i="47"/>
  <c r="AW45" i="47"/>
  <c r="AV45" i="47"/>
  <c r="AU45" i="47"/>
  <c r="AT45" i="47"/>
  <c r="AS45" i="47"/>
  <c r="AR45" i="47"/>
  <c r="AQ45" i="47"/>
  <c r="AP45" i="47"/>
  <c r="AO45" i="47"/>
  <c r="AN45" i="47"/>
  <c r="AH45" i="47"/>
  <c r="AG45" i="47"/>
  <c r="AF45" i="47"/>
  <c r="AE45" i="47"/>
  <c r="AD45" i="47"/>
  <c r="AC45" i="47"/>
  <c r="AB45" i="47"/>
  <c r="AA45" i="47"/>
  <c r="Z45" i="47"/>
  <c r="R53" i="47"/>
  <c r="AH44" i="47"/>
  <c r="AG44" i="47"/>
  <c r="AF44" i="47"/>
  <c r="AE44" i="47"/>
  <c r="AD44" i="47"/>
  <c r="AC44" i="47"/>
  <c r="AB44" i="47"/>
  <c r="AA44" i="47"/>
  <c r="Z44" i="47"/>
  <c r="R52" i="47"/>
  <c r="AH43" i="47"/>
  <c r="AG43" i="47"/>
  <c r="AF43" i="47"/>
  <c r="AE43" i="47"/>
  <c r="AD43" i="47"/>
  <c r="AC43" i="47"/>
  <c r="AB43" i="47"/>
  <c r="AA43" i="47"/>
  <c r="Z43" i="47"/>
  <c r="R51" i="47"/>
  <c r="AH42" i="47"/>
  <c r="AG42" i="47"/>
  <c r="AF42" i="47"/>
  <c r="AE42" i="47"/>
  <c r="AD42" i="47"/>
  <c r="AC42" i="47"/>
  <c r="AB42" i="47"/>
  <c r="AA42" i="47"/>
  <c r="Z42" i="47"/>
  <c r="R50" i="47"/>
  <c r="AH41" i="47"/>
  <c r="AG41" i="47"/>
  <c r="AF41" i="47"/>
  <c r="AE41" i="47"/>
  <c r="AC41" i="47"/>
  <c r="AB41" i="47"/>
  <c r="AA41" i="47"/>
  <c r="W37" i="47"/>
  <c r="CK36" i="47"/>
  <c r="CJ36" i="47"/>
  <c r="CI36" i="47"/>
  <c r="CH36" i="47"/>
  <c r="CG36" i="47"/>
  <c r="CF36" i="47"/>
  <c r="CE36" i="47"/>
  <c r="CD36" i="47"/>
  <c r="CC36" i="47"/>
  <c r="CB36" i="47"/>
  <c r="CA36" i="47"/>
  <c r="BZ36" i="47"/>
  <c r="BY36" i="47"/>
  <c r="BX36" i="47"/>
  <c r="BW36" i="47"/>
  <c r="BV36" i="47"/>
  <c r="BU36" i="47"/>
  <c r="BT36" i="47"/>
  <c r="BS36" i="47"/>
  <c r="BR36" i="47"/>
  <c r="BQ36" i="47"/>
  <c r="BP36" i="47"/>
  <c r="BO36" i="47"/>
  <c r="BN36" i="47"/>
  <c r="BM36" i="47"/>
  <c r="BL36" i="47"/>
  <c r="BK36" i="47"/>
  <c r="BJ36" i="47"/>
  <c r="BI36" i="47"/>
  <c r="BH36" i="47"/>
  <c r="BG36" i="47"/>
  <c r="BF36" i="47"/>
  <c r="BE36" i="47"/>
  <c r="BD36" i="47"/>
  <c r="BC36" i="47"/>
  <c r="BB36" i="47"/>
  <c r="BA36" i="47"/>
  <c r="AZ36" i="47"/>
  <c r="AY36" i="47"/>
  <c r="AX36" i="47"/>
  <c r="AW36" i="47"/>
  <c r="AV36" i="47"/>
  <c r="AU36" i="47"/>
  <c r="AT36" i="47"/>
  <c r="AS36" i="47"/>
  <c r="AR36" i="47"/>
  <c r="AQ36" i="47"/>
  <c r="AP36" i="47"/>
  <c r="AO36" i="47"/>
  <c r="AN36" i="47"/>
  <c r="W36" i="47"/>
  <c r="W35" i="47"/>
  <c r="W34" i="47"/>
  <c r="W33" i="47"/>
  <c r="W32" i="47"/>
  <c r="W31" i="47"/>
  <c r="W30" i="47"/>
  <c r="W29" i="47"/>
  <c r="W28" i="47"/>
  <c r="W27" i="47"/>
  <c r="W26" i="47"/>
  <c r="W25" i="47"/>
  <c r="W24" i="47"/>
  <c r="W23" i="47"/>
  <c r="R28" i="47"/>
  <c r="R18" i="47"/>
  <c r="CK18" i="47"/>
  <c r="CJ18" i="47"/>
  <c r="CI18" i="47"/>
  <c r="CH18" i="47"/>
  <c r="CG18" i="47"/>
  <c r="CF18" i="47"/>
  <c r="CE18" i="47"/>
  <c r="CD18" i="47"/>
  <c r="CC18" i="47"/>
  <c r="CB18" i="47"/>
  <c r="CA18" i="47"/>
  <c r="BZ18" i="47"/>
  <c r="BY18" i="47"/>
  <c r="BX18" i="47"/>
  <c r="BW18" i="47"/>
  <c r="BV18" i="47"/>
  <c r="BU18" i="47"/>
  <c r="BT18" i="47"/>
  <c r="BS18" i="47"/>
  <c r="BR18" i="47"/>
  <c r="BQ18" i="47"/>
  <c r="BP18" i="47"/>
  <c r="BO18" i="47"/>
  <c r="BN18" i="47"/>
  <c r="BM18" i="47"/>
  <c r="BL18" i="47"/>
  <c r="BK18" i="47"/>
  <c r="BJ18" i="47"/>
  <c r="BI18" i="47"/>
  <c r="BH18" i="47"/>
  <c r="BG18" i="47"/>
  <c r="BF18" i="47"/>
  <c r="BE18" i="47"/>
  <c r="BD18" i="47"/>
  <c r="BC18" i="47"/>
  <c r="BB18" i="47"/>
  <c r="BA18" i="47"/>
  <c r="AZ18" i="47"/>
  <c r="AY18" i="47"/>
  <c r="AX18" i="47"/>
  <c r="AW18" i="47"/>
  <c r="AV18" i="47"/>
  <c r="AU18" i="47"/>
  <c r="AT18" i="47"/>
  <c r="R17" i="47"/>
  <c r="W17" i="47"/>
  <c r="R16" i="47"/>
  <c r="W16" i="47"/>
  <c r="W15" i="47"/>
  <c r="R15" i="47"/>
  <c r="W14" i="47"/>
  <c r="R14" i="47"/>
  <c r="W13" i="47"/>
  <c r="R13" i="47"/>
  <c r="W12" i="47"/>
  <c r="R12" i="47"/>
  <c r="W11" i="47"/>
  <c r="R11" i="47"/>
  <c r="W10" i="47"/>
  <c r="CK9" i="47"/>
  <c r="CJ9" i="47"/>
  <c r="CI9" i="47"/>
  <c r="CH9" i="47"/>
  <c r="CG9" i="47"/>
  <c r="CF9" i="47"/>
  <c r="CE9" i="47"/>
  <c r="CD9" i="47"/>
  <c r="CC9" i="47"/>
  <c r="CB9" i="47"/>
  <c r="CA9" i="47"/>
  <c r="BZ9" i="47"/>
  <c r="BY9" i="47"/>
  <c r="BX9" i="47"/>
  <c r="BW9" i="47"/>
  <c r="BV9" i="47"/>
  <c r="BU9" i="47"/>
  <c r="BT9" i="47"/>
  <c r="BS9" i="47"/>
  <c r="BR9" i="47"/>
  <c r="BQ9" i="47"/>
  <c r="BP9" i="47"/>
  <c r="BO9" i="47"/>
  <c r="BN9" i="47"/>
  <c r="BM9" i="47"/>
  <c r="BL9" i="47"/>
  <c r="BK9" i="47"/>
  <c r="BJ9" i="47"/>
  <c r="BI9" i="47"/>
  <c r="BH9" i="47"/>
  <c r="BG9" i="47"/>
  <c r="BF9" i="47"/>
  <c r="BE9" i="47"/>
  <c r="BD9" i="47"/>
  <c r="BC9" i="47"/>
  <c r="BB9" i="47"/>
  <c r="BA9" i="47"/>
  <c r="AZ9" i="47"/>
  <c r="AY9" i="47"/>
  <c r="AX9" i="47"/>
  <c r="AW9" i="47"/>
  <c r="Z65" i="47" s="1"/>
  <c r="AV9" i="47"/>
  <c r="AU9" i="47"/>
  <c r="AT9" i="47"/>
  <c r="AS9" i="47"/>
  <c r="AR9" i="47"/>
  <c r="AQ9" i="47"/>
  <c r="AP9" i="47"/>
  <c r="AO9" i="47"/>
  <c r="AN9" i="47"/>
  <c r="W9" i="47"/>
  <c r="R9" i="47"/>
  <c r="W8" i="47"/>
  <c r="R8" i="47"/>
  <c r="W7" i="47"/>
  <c r="R7" i="47"/>
  <c r="W6" i="47"/>
  <c r="R6" i="47"/>
  <c r="W5" i="47"/>
  <c r="R5" i="47"/>
  <c r="W4" i="47"/>
  <c r="R4" i="47"/>
  <c r="W3" i="47"/>
  <c r="R3" i="47"/>
  <c r="W2" i="47"/>
  <c r="P139" i="46"/>
  <c r="P140" i="46"/>
  <c r="P141" i="46"/>
  <c r="P142" i="46"/>
  <c r="P148" i="46"/>
  <c r="P149" i="46"/>
  <c r="M139" i="46"/>
  <c r="N139" i="46"/>
  <c r="M140" i="46"/>
  <c r="N140" i="46"/>
  <c r="M141" i="46"/>
  <c r="N141" i="46"/>
  <c r="M142" i="46"/>
  <c r="N142" i="46"/>
  <c r="M148" i="46"/>
  <c r="N148" i="46"/>
  <c r="M149" i="46"/>
  <c r="N149" i="46"/>
  <c r="P119" i="46"/>
  <c r="P122" i="46"/>
  <c r="M119" i="46"/>
  <c r="N119" i="46"/>
  <c r="M122" i="46"/>
  <c r="N122" i="46"/>
  <c r="P99" i="46"/>
  <c r="P100" i="46"/>
  <c r="P101" i="46"/>
  <c r="P107" i="46"/>
  <c r="S107" i="46" s="1"/>
  <c r="P108" i="46"/>
  <c r="M99" i="46"/>
  <c r="N99" i="46"/>
  <c r="M100" i="46"/>
  <c r="N100" i="46"/>
  <c r="M101" i="46"/>
  <c r="N101" i="46"/>
  <c r="M107" i="46"/>
  <c r="N107" i="46"/>
  <c r="M108" i="46"/>
  <c r="N108" i="46"/>
  <c r="P76" i="46"/>
  <c r="S76" i="46" s="1"/>
  <c r="P77" i="46"/>
  <c r="S77" i="46" s="1"/>
  <c r="P78" i="46"/>
  <c r="S78" i="46" s="1"/>
  <c r="P79" i="46"/>
  <c r="S79" i="46" s="1"/>
  <c r="P85" i="46"/>
  <c r="S85" i="46" s="1"/>
  <c r="P86" i="46"/>
  <c r="S86" i="46" s="1"/>
  <c r="M76" i="46"/>
  <c r="N76" i="46"/>
  <c r="M77" i="46"/>
  <c r="N77" i="46"/>
  <c r="M78" i="46"/>
  <c r="N78" i="46"/>
  <c r="M79" i="46"/>
  <c r="N79" i="46"/>
  <c r="M85" i="46"/>
  <c r="N85" i="46"/>
  <c r="M86" i="46"/>
  <c r="N86" i="46"/>
  <c r="R70" i="46"/>
  <c r="R71" i="46"/>
  <c r="R73" i="46"/>
  <c r="R74" i="46"/>
  <c r="R75" i="46"/>
  <c r="R76" i="46"/>
  <c r="R77" i="46"/>
  <c r="R78" i="46"/>
  <c r="R79" i="46"/>
  <c r="O80" i="46"/>
  <c r="R80" i="46"/>
  <c r="O81" i="46"/>
  <c r="R81" i="46"/>
  <c r="R82" i="46"/>
  <c r="R83" i="46"/>
  <c r="O84" i="46"/>
  <c r="U85" i="46"/>
  <c r="R85" i="46"/>
  <c r="R86" i="46"/>
  <c r="P55" i="46"/>
  <c r="P56" i="46"/>
  <c r="P57" i="46"/>
  <c r="P63" i="46"/>
  <c r="P64" i="46"/>
  <c r="N55" i="46"/>
  <c r="N56" i="46"/>
  <c r="N57" i="46"/>
  <c r="N63" i="46"/>
  <c r="N64" i="46"/>
  <c r="M55" i="46"/>
  <c r="M56" i="46"/>
  <c r="M57" i="46"/>
  <c r="M63" i="46"/>
  <c r="M64" i="46"/>
  <c r="O82" i="46" l="1"/>
  <c r="O83" i="46" s="1"/>
  <c r="U8" i="47"/>
  <c r="U96" i="47"/>
  <c r="U98" i="47"/>
  <c r="M95" i="47"/>
  <c r="U95" i="47"/>
  <c r="P87" i="47"/>
  <c r="S87" i="47" s="1"/>
  <c r="T87" i="47" s="1"/>
  <c r="U87" i="47"/>
  <c r="U16" i="47"/>
  <c r="S98" i="47"/>
  <c r="Q96" i="47"/>
  <c r="S96" i="47"/>
  <c r="T96" i="47" s="1"/>
  <c r="P3" i="47"/>
  <c r="S3" i="47" s="1"/>
  <c r="P32" i="47"/>
  <c r="S32" i="47" s="1"/>
  <c r="T32" i="47" s="1"/>
  <c r="M32" i="47"/>
  <c r="N28" i="47"/>
  <c r="P16" i="47"/>
  <c r="S16" i="47" s="1"/>
  <c r="T16" i="47" s="1"/>
  <c r="P28" i="47"/>
  <c r="S28" i="47" s="1"/>
  <c r="M97" i="47"/>
  <c r="P70" i="47"/>
  <c r="S70" i="47" s="1"/>
  <c r="M7" i="47"/>
  <c r="U31" i="47"/>
  <c r="U88" i="47"/>
  <c r="U32" i="47"/>
  <c r="U38" i="47"/>
  <c r="P64" i="47"/>
  <c r="S64" i="47" s="1"/>
  <c r="U62" i="47"/>
  <c r="U82" i="47"/>
  <c r="M8" i="47"/>
  <c r="M31" i="47"/>
  <c r="P63" i="47"/>
  <c r="Q63" i="47" s="1"/>
  <c r="N90" i="47"/>
  <c r="M30" i="47"/>
  <c r="N59" i="47"/>
  <c r="P62" i="47"/>
  <c r="S62" i="47" s="1"/>
  <c r="T62" i="47" s="1"/>
  <c r="M90" i="47"/>
  <c r="M5" i="47"/>
  <c r="M59" i="47"/>
  <c r="N89" i="47"/>
  <c r="U79" i="47"/>
  <c r="P8" i="47"/>
  <c r="Q8" i="47" s="1"/>
  <c r="N64" i="47"/>
  <c r="M89" i="47"/>
  <c r="U57" i="47"/>
  <c r="U80" i="47"/>
  <c r="N16" i="47"/>
  <c r="P5" i="47"/>
  <c r="S5" i="47" s="1"/>
  <c r="P31" i="47"/>
  <c r="S31" i="47" s="1"/>
  <c r="T31" i="47" s="1"/>
  <c r="N88" i="47"/>
  <c r="P95" i="47"/>
  <c r="P30" i="47"/>
  <c r="S30" i="47" s="1"/>
  <c r="N63" i="47"/>
  <c r="M88" i="47"/>
  <c r="N95" i="47"/>
  <c r="N87" i="47"/>
  <c r="U84" i="47"/>
  <c r="N62" i="47"/>
  <c r="M87" i="47"/>
  <c r="U83" i="47"/>
  <c r="Q86" i="46"/>
  <c r="P6" i="47"/>
  <c r="Q6" i="47" s="1"/>
  <c r="P10" i="47"/>
  <c r="S10" i="47" s="1"/>
  <c r="P9" i="47"/>
  <c r="S9" i="47" s="1"/>
  <c r="N10" i="47"/>
  <c r="N9" i="47"/>
  <c r="P7" i="47"/>
  <c r="S7" i="47" s="1"/>
  <c r="T7" i="47" s="1"/>
  <c r="N3" i="47"/>
  <c r="N39" i="47"/>
  <c r="M36" i="47"/>
  <c r="P42" i="47"/>
  <c r="S42" i="47" s="1"/>
  <c r="N84" i="47"/>
  <c r="M84" i="47"/>
  <c r="N12" i="47"/>
  <c r="M67" i="47"/>
  <c r="P97" i="47"/>
  <c r="N92" i="47"/>
  <c r="M92" i="47"/>
  <c r="N97" i="47"/>
  <c r="N91" i="47"/>
  <c r="M91" i="47"/>
  <c r="N66" i="47"/>
  <c r="S67" i="47"/>
  <c r="M66" i="47"/>
  <c r="P66" i="47"/>
  <c r="S66" i="47" s="1"/>
  <c r="N70" i="47"/>
  <c r="M70" i="47"/>
  <c r="N67" i="47"/>
  <c r="M18" i="47"/>
  <c r="P14" i="47"/>
  <c r="S14" i="47" s="1"/>
  <c r="M17" i="47"/>
  <c r="P13" i="47"/>
  <c r="S13" i="47" s="1"/>
  <c r="P12" i="47"/>
  <c r="S12" i="47" s="1"/>
  <c r="N18" i="47"/>
  <c r="M14" i="47"/>
  <c r="N17" i="47"/>
  <c r="M13" i="47"/>
  <c r="P17" i="47"/>
  <c r="S17" i="47" s="1"/>
  <c r="M35" i="47"/>
  <c r="P41" i="47"/>
  <c r="S41" i="47" s="1"/>
  <c r="M34" i="47"/>
  <c r="P40" i="47"/>
  <c r="S40" i="47" s="1"/>
  <c r="N36" i="47"/>
  <c r="P39" i="47"/>
  <c r="S39" i="47" s="1"/>
  <c r="N35" i="47"/>
  <c r="N34" i="47"/>
  <c r="M42" i="47"/>
  <c r="M41" i="47"/>
  <c r="M40" i="47"/>
  <c r="M6" i="47"/>
  <c r="U6" i="47"/>
  <c r="N6" i="47"/>
  <c r="U7" i="47"/>
  <c r="U63" i="47"/>
  <c r="T69" i="47"/>
  <c r="S18" i="47"/>
  <c r="U78" i="47"/>
  <c r="U77" i="47"/>
  <c r="Q85" i="47"/>
  <c r="U81" i="47"/>
  <c r="U58" i="47"/>
  <c r="U50" i="47"/>
  <c r="U51" i="47"/>
  <c r="Q69" i="47"/>
  <c r="U56" i="47"/>
  <c r="U52" i="47"/>
  <c r="U53" i="47"/>
  <c r="U54" i="47"/>
  <c r="U55" i="47"/>
  <c r="U42" i="47"/>
  <c r="S36" i="47"/>
  <c r="U90" i="47"/>
  <c r="S34" i="47"/>
  <c r="U65" i="47"/>
  <c r="S88" i="47"/>
  <c r="T88" i="47" s="1"/>
  <c r="S90" i="47"/>
  <c r="S92" i="47"/>
  <c r="U86" i="46"/>
  <c r="T85" i="46"/>
  <c r="Q85" i="46"/>
  <c r="T86" i="46"/>
  <c r="U45" i="47" l="1"/>
  <c r="T45" i="47"/>
  <c r="Q45" i="47"/>
  <c r="T46" i="47"/>
  <c r="Q46" i="47"/>
  <c r="U46" i="47"/>
  <c r="Q87" i="47"/>
  <c r="T67" i="47"/>
  <c r="U66" i="47"/>
  <c r="U9" i="47"/>
  <c r="U12" i="47"/>
  <c r="U60" i="47"/>
  <c r="U41" i="47"/>
  <c r="U34" i="47"/>
  <c r="U39" i="47"/>
  <c r="U35" i="47"/>
  <c r="Q32" i="47"/>
  <c r="U117" i="47"/>
  <c r="Q117" i="47"/>
  <c r="T117" i="47"/>
  <c r="U116" i="47"/>
  <c r="T116" i="47"/>
  <c r="Q116" i="47"/>
  <c r="Q16" i="47"/>
  <c r="Q82" i="47"/>
  <c r="T82" i="47"/>
  <c r="T98" i="47"/>
  <c r="Q98" i="47"/>
  <c r="Q95" i="47"/>
  <c r="S95" i="47"/>
  <c r="T95" i="47" s="1"/>
  <c r="S97" i="47"/>
  <c r="U64" i="47"/>
  <c r="U89" i="47"/>
  <c r="Q38" i="47"/>
  <c r="U28" i="47"/>
  <c r="U40" i="47"/>
  <c r="U29" i="47"/>
  <c r="T38" i="47"/>
  <c r="Q28" i="47"/>
  <c r="T28" i="47"/>
  <c r="T20" i="47"/>
  <c r="Q56" i="47"/>
  <c r="T56" i="47"/>
  <c r="S8" i="47"/>
  <c r="T8" i="47" s="1"/>
  <c r="S63" i="47"/>
  <c r="T63" i="47" s="1"/>
  <c r="Q31" i="47"/>
  <c r="Q51" i="47"/>
  <c r="U59" i="47"/>
  <c r="Q83" i="47"/>
  <c r="T83" i="47"/>
  <c r="Q80" i="47"/>
  <c r="T80" i="47"/>
  <c r="Q79" i="47"/>
  <c r="T79" i="47"/>
  <c r="U92" i="47"/>
  <c r="T84" i="47"/>
  <c r="Q89" i="47"/>
  <c r="U91" i="47"/>
  <c r="T89" i="47"/>
  <c r="Q62" i="47"/>
  <c r="Q59" i="47"/>
  <c r="T59" i="47"/>
  <c r="Q50" i="47"/>
  <c r="T50" i="47"/>
  <c r="T57" i="47"/>
  <c r="Q57" i="47"/>
  <c r="T54" i="47"/>
  <c r="Q54" i="47"/>
  <c r="T51" i="47"/>
  <c r="T78" i="47"/>
  <c r="Q81" i="47"/>
  <c r="T81" i="47"/>
  <c r="T77" i="47"/>
  <c r="Q77" i="47"/>
  <c r="S6" i="47"/>
  <c r="T6" i="47" s="1"/>
  <c r="U4" i="47"/>
  <c r="T3" i="47"/>
  <c r="Q3" i="47"/>
  <c r="Q7" i="47"/>
  <c r="U3" i="47"/>
  <c r="Q17" i="47"/>
  <c r="T55" i="47"/>
  <c r="T85" i="47"/>
  <c r="U85" i="47"/>
  <c r="T58" i="47"/>
  <c r="T53" i="47"/>
  <c r="Q58" i="47"/>
  <c r="Q78" i="47"/>
  <c r="Q53" i="47"/>
  <c r="Q52" i="47"/>
  <c r="T52" i="47"/>
  <c r="Q55" i="47"/>
  <c r="Q64" i="47"/>
  <c r="T64" i="47"/>
  <c r="T90" i="47"/>
  <c r="Q90" i="47"/>
  <c r="T42" i="47"/>
  <c r="Q42" i="47"/>
  <c r="T65" i="47"/>
  <c r="Q65" i="47"/>
  <c r="Q88" i="47"/>
  <c r="Q84" i="47"/>
  <c r="Q9" i="47"/>
  <c r="T9" i="47"/>
  <c r="U67" i="47" l="1"/>
  <c r="T13" i="47"/>
  <c r="U36" i="47"/>
  <c r="U68" i="47"/>
  <c r="U14" i="47"/>
  <c r="Q41" i="47"/>
  <c r="T41" i="47"/>
  <c r="U18" i="47"/>
  <c r="Q39" i="47"/>
  <c r="Q67" i="47"/>
  <c r="T39" i="47"/>
  <c r="U30" i="47"/>
  <c r="U11" i="47"/>
  <c r="Q35" i="47"/>
  <c r="T35" i="47"/>
  <c r="U118" i="47"/>
  <c r="U126" i="47" s="1"/>
  <c r="Q118" i="47"/>
  <c r="T118" i="47"/>
  <c r="T126" i="47" s="1"/>
  <c r="U5" i="47"/>
  <c r="Q30" i="47"/>
  <c r="U100" i="47"/>
  <c r="Q100" i="47"/>
  <c r="T100" i="47"/>
  <c r="T30" i="47"/>
  <c r="U33" i="47"/>
  <c r="Q5" i="47"/>
  <c r="T5" i="47"/>
  <c r="T34" i="47"/>
  <c r="T29" i="47"/>
  <c r="U86" i="47"/>
  <c r="U73" i="47"/>
  <c r="T73" i="47"/>
  <c r="Q73" i="47"/>
  <c r="Q34" i="47"/>
  <c r="U37" i="47"/>
  <c r="U61" i="47"/>
  <c r="Q29" i="47"/>
  <c r="T40" i="47"/>
  <c r="Q40" i="47"/>
  <c r="Q44" i="47"/>
  <c r="U44" i="47"/>
  <c r="T44" i="47"/>
  <c r="U43" i="47"/>
  <c r="T43" i="47"/>
  <c r="Q43" i="47"/>
  <c r="Q19" i="47"/>
  <c r="T19" i="47"/>
  <c r="U19" i="47"/>
  <c r="U20" i="47"/>
  <c r="Q20" i="47"/>
  <c r="T60" i="47"/>
  <c r="T91" i="47"/>
  <c r="Q91" i="47"/>
  <c r="Q86" i="47"/>
  <c r="Q92" i="47"/>
  <c r="T86" i="47"/>
  <c r="T92" i="47"/>
  <c r="Q60" i="47"/>
  <c r="T66" i="47"/>
  <c r="T61" i="47"/>
  <c r="Q61" i="47"/>
  <c r="Q66" i="47"/>
  <c r="U70" i="47"/>
  <c r="Q4" i="47"/>
  <c r="U15" i="47"/>
  <c r="U13" i="47"/>
  <c r="Q13" i="47"/>
  <c r="T4" i="47"/>
  <c r="Q12" i="47"/>
  <c r="T12" i="47"/>
  <c r="U17" i="47"/>
  <c r="T17" i="47"/>
  <c r="T11" i="47"/>
  <c r="Q11" i="47"/>
  <c r="U47" i="47" l="1"/>
  <c r="Q18" i="47"/>
  <c r="T18" i="47"/>
  <c r="Q22" i="47"/>
  <c r="T22" i="47"/>
  <c r="U22" i="47"/>
  <c r="Q36" i="47"/>
  <c r="T36" i="47"/>
  <c r="Q21" i="47"/>
  <c r="U21" i="47"/>
  <c r="T21" i="47"/>
  <c r="U93" i="47"/>
  <c r="U94" i="47"/>
  <c r="T37" i="47"/>
  <c r="U97" i="47"/>
  <c r="Q97" i="47"/>
  <c r="Q37" i="47"/>
  <c r="T97" i="47"/>
  <c r="Q33" i="47"/>
  <c r="T33" i="47"/>
  <c r="T68" i="47"/>
  <c r="Q68" i="47"/>
  <c r="U71" i="47"/>
  <c r="U74" i="47" s="1"/>
  <c r="T71" i="47"/>
  <c r="Q71" i="47"/>
  <c r="T14" i="47"/>
  <c r="T93" i="47"/>
  <c r="Q93" i="47"/>
  <c r="T70" i="47"/>
  <c r="Q70" i="47"/>
  <c r="Q14" i="47"/>
  <c r="Q15" i="47"/>
  <c r="T15" i="47"/>
  <c r="U10" i="47"/>
  <c r="Q10" i="47"/>
  <c r="T10" i="47"/>
  <c r="U23" i="47" l="1"/>
  <c r="T23" i="47"/>
  <c r="T47" i="47"/>
  <c r="T74" i="47"/>
  <c r="U101" i="47"/>
  <c r="Q94" i="47"/>
  <c r="T94" i="47"/>
  <c r="T101" i="47" s="1"/>
  <c r="S28" i="46"/>
  <c r="S32" i="46"/>
  <c r="S34" i="46"/>
  <c r="S40" i="46"/>
  <c r="S41" i="46"/>
  <c r="S25" i="46"/>
  <c r="R3" i="46"/>
  <c r="S11" i="46"/>
  <c r="S12" i="46"/>
  <c r="S18" i="46"/>
  <c r="S19" i="46"/>
  <c r="L121" i="46"/>
  <c r="L118" i="46"/>
  <c r="L117" i="46"/>
  <c r="L115" i="46"/>
  <c r="L114" i="46"/>
  <c r="L10" i="46"/>
  <c r="L9" i="46"/>
  <c r="S5" i="46"/>
  <c r="R149" i="46"/>
  <c r="S149" i="46"/>
  <c r="U149" i="46"/>
  <c r="R148" i="46"/>
  <c r="U148" i="46"/>
  <c r="R147" i="46"/>
  <c r="O147" i="46"/>
  <c r="R146" i="46"/>
  <c r="R145" i="46"/>
  <c r="R144" i="46"/>
  <c r="O144" i="46"/>
  <c r="U144" i="46" s="1"/>
  <c r="R143" i="46"/>
  <c r="O143" i="46"/>
  <c r="R142" i="46"/>
  <c r="S142" i="46"/>
  <c r="R141" i="46"/>
  <c r="S141" i="46"/>
  <c r="ID152" i="46"/>
  <c r="IC152" i="46"/>
  <c r="IB152" i="46"/>
  <c r="IA152" i="46"/>
  <c r="HZ152" i="46"/>
  <c r="HY152" i="46"/>
  <c r="HX152" i="46"/>
  <c r="HW152" i="46"/>
  <c r="HV152" i="46"/>
  <c r="HU152" i="46"/>
  <c r="HT152" i="46"/>
  <c r="HS152" i="46"/>
  <c r="HR152" i="46"/>
  <c r="HQ152" i="46"/>
  <c r="HP152" i="46"/>
  <c r="HO152" i="46"/>
  <c r="HN152" i="46"/>
  <c r="HM152" i="46"/>
  <c r="HL152" i="46"/>
  <c r="HK152" i="46"/>
  <c r="HJ152" i="46"/>
  <c r="HI152" i="46"/>
  <c r="HH152" i="46"/>
  <c r="HG152" i="46"/>
  <c r="HF152" i="46"/>
  <c r="HE152" i="46"/>
  <c r="HD152" i="46"/>
  <c r="HC152" i="46"/>
  <c r="HB152" i="46"/>
  <c r="HA152" i="46"/>
  <c r="GZ152" i="46"/>
  <c r="GY152" i="46"/>
  <c r="GX152" i="46"/>
  <c r="GW152" i="46"/>
  <c r="GV152" i="46"/>
  <c r="GU152" i="46"/>
  <c r="GT152" i="46"/>
  <c r="GS152" i="46"/>
  <c r="GR152" i="46"/>
  <c r="GQ152" i="46"/>
  <c r="GP152" i="46"/>
  <c r="GO152" i="46"/>
  <c r="GN152" i="46"/>
  <c r="GM152" i="46"/>
  <c r="GL152" i="46"/>
  <c r="GK152" i="46"/>
  <c r="GJ152" i="46"/>
  <c r="GI152" i="46"/>
  <c r="GH152" i="46"/>
  <c r="GG152" i="46"/>
  <c r="R140" i="46"/>
  <c r="S140" i="46"/>
  <c r="R139" i="46"/>
  <c r="S139" i="46"/>
  <c r="R138" i="46"/>
  <c r="R137" i="46"/>
  <c r="R136" i="46"/>
  <c r="R135" i="46"/>
  <c r="R134" i="46"/>
  <c r="X121" i="46"/>
  <c r="X120" i="46"/>
  <c r="X119" i="46"/>
  <c r="ID134" i="46"/>
  <c r="IC134" i="46"/>
  <c r="IB134" i="46"/>
  <c r="IA134" i="46"/>
  <c r="HZ134" i="46"/>
  <c r="HY134" i="46"/>
  <c r="HX134" i="46"/>
  <c r="HW134" i="46"/>
  <c r="HV134" i="46"/>
  <c r="HU134" i="46"/>
  <c r="HT134" i="46"/>
  <c r="HS134" i="46"/>
  <c r="HR134" i="46"/>
  <c r="HQ134" i="46"/>
  <c r="HP134" i="46"/>
  <c r="HO134" i="46"/>
  <c r="HN134" i="46"/>
  <c r="HM134" i="46"/>
  <c r="HL134" i="46"/>
  <c r="HK134" i="46"/>
  <c r="HJ134" i="46"/>
  <c r="HI134" i="46"/>
  <c r="HH134" i="46"/>
  <c r="HG134" i="46"/>
  <c r="HF134" i="46"/>
  <c r="HE134" i="46"/>
  <c r="HD134" i="46"/>
  <c r="HC134" i="46"/>
  <c r="HB134" i="46"/>
  <c r="HA134" i="46"/>
  <c r="GZ134" i="46"/>
  <c r="GY134" i="46"/>
  <c r="GX134" i="46"/>
  <c r="GW134" i="46"/>
  <c r="GV134" i="46"/>
  <c r="GU134" i="46"/>
  <c r="GT134" i="46"/>
  <c r="GS134" i="46"/>
  <c r="GR134" i="46"/>
  <c r="GQ134" i="46"/>
  <c r="GP134" i="46"/>
  <c r="GO134" i="46"/>
  <c r="GN134" i="46"/>
  <c r="GM134" i="46"/>
  <c r="GL134" i="46"/>
  <c r="GK134" i="46"/>
  <c r="GJ134" i="46"/>
  <c r="GI134" i="46"/>
  <c r="GH134" i="46"/>
  <c r="GG134" i="46"/>
  <c r="X118" i="46"/>
  <c r="X117" i="46"/>
  <c r="X116" i="46"/>
  <c r="X115" i="46"/>
  <c r="S122" i="46"/>
  <c r="U122" i="46"/>
  <c r="X114" i="46"/>
  <c r="R121" i="46"/>
  <c r="X113" i="46"/>
  <c r="R120" i="46"/>
  <c r="X112" i="46"/>
  <c r="R119" i="46"/>
  <c r="S119" i="46"/>
  <c r="X111" i="46"/>
  <c r="R118" i="46"/>
  <c r="X110" i="46"/>
  <c r="R117" i="46"/>
  <c r="X109" i="46"/>
  <c r="R116" i="46"/>
  <c r="O116" i="46"/>
  <c r="X108" i="46"/>
  <c r="O115" i="46"/>
  <c r="R114" i="46"/>
  <c r="L112" i="46"/>
  <c r="ID116" i="46"/>
  <c r="IC116" i="46"/>
  <c r="IB116" i="46"/>
  <c r="IA116" i="46"/>
  <c r="HZ116" i="46"/>
  <c r="HY116" i="46"/>
  <c r="HX116" i="46"/>
  <c r="HW116" i="46"/>
  <c r="HV116" i="46"/>
  <c r="HU116" i="46"/>
  <c r="HT116" i="46"/>
  <c r="HS116" i="46"/>
  <c r="HR116" i="46"/>
  <c r="HQ116" i="46"/>
  <c r="HP116" i="46"/>
  <c r="HO116" i="46"/>
  <c r="HN116" i="46"/>
  <c r="HM116" i="46"/>
  <c r="HL116" i="46"/>
  <c r="HK116" i="46"/>
  <c r="HJ116" i="46"/>
  <c r="HI116" i="46"/>
  <c r="HH116" i="46"/>
  <c r="HG116" i="46"/>
  <c r="HF116" i="46"/>
  <c r="HE116" i="46"/>
  <c r="HD116" i="46"/>
  <c r="HC116" i="46"/>
  <c r="HB116" i="46"/>
  <c r="HA116" i="46"/>
  <c r="GZ116" i="46"/>
  <c r="GY116" i="46"/>
  <c r="GX116" i="46"/>
  <c r="GW116" i="46"/>
  <c r="GV116" i="46"/>
  <c r="GU116" i="46"/>
  <c r="GT116" i="46"/>
  <c r="GS116" i="46"/>
  <c r="GR116" i="46"/>
  <c r="GQ116" i="46"/>
  <c r="GP116" i="46"/>
  <c r="GO116" i="46"/>
  <c r="GN116" i="46"/>
  <c r="GM116" i="46"/>
  <c r="GL116" i="46"/>
  <c r="GK116" i="46"/>
  <c r="GJ116" i="46"/>
  <c r="GI116" i="46"/>
  <c r="GH116" i="46"/>
  <c r="GG116" i="46"/>
  <c r="S108" i="46"/>
  <c r="U108" i="46"/>
  <c r="GA44" i="46"/>
  <c r="FZ44" i="46"/>
  <c r="FY44" i="46"/>
  <c r="FX44" i="46"/>
  <c r="FW44" i="46"/>
  <c r="FV44" i="46"/>
  <c r="FU44" i="46"/>
  <c r="FT44" i="46"/>
  <c r="FS44" i="46"/>
  <c r="FR44" i="46"/>
  <c r="FQ44" i="46"/>
  <c r="FP44" i="46"/>
  <c r="FO44" i="46"/>
  <c r="FN44" i="46"/>
  <c r="FM44" i="46"/>
  <c r="FL44" i="46"/>
  <c r="FK44" i="46"/>
  <c r="FJ44" i="46"/>
  <c r="FI44" i="46"/>
  <c r="FH44" i="46"/>
  <c r="FG44" i="46"/>
  <c r="FF44" i="46"/>
  <c r="FE44" i="46"/>
  <c r="FD44" i="46"/>
  <c r="FC44" i="46"/>
  <c r="FB44" i="46"/>
  <c r="FA44" i="46"/>
  <c r="EZ44" i="46"/>
  <c r="EY44" i="46"/>
  <c r="EX44" i="46"/>
  <c r="EW44" i="46"/>
  <c r="EV44" i="46"/>
  <c r="EU44" i="46"/>
  <c r="ET44" i="46"/>
  <c r="ES44" i="46"/>
  <c r="ER44" i="46"/>
  <c r="EQ44" i="46"/>
  <c r="EP44" i="46"/>
  <c r="EO44" i="46"/>
  <c r="EN44" i="46"/>
  <c r="EM44" i="46"/>
  <c r="EL44" i="46"/>
  <c r="EK44" i="46"/>
  <c r="EJ44" i="46"/>
  <c r="EI44" i="46"/>
  <c r="EH44" i="46"/>
  <c r="EG44" i="46"/>
  <c r="EF44" i="46"/>
  <c r="EE44" i="46"/>
  <c r="ED44" i="46"/>
  <c r="R107" i="46"/>
  <c r="U107" i="46"/>
  <c r="O106" i="46"/>
  <c r="R105" i="46"/>
  <c r="R104" i="46"/>
  <c r="R103" i="46"/>
  <c r="O103" i="46"/>
  <c r="R102" i="46"/>
  <c r="O102" i="46"/>
  <c r="R101" i="46"/>
  <c r="S101" i="46"/>
  <c r="R100" i="46"/>
  <c r="S100" i="46"/>
  <c r="R99" i="46"/>
  <c r="S99" i="46"/>
  <c r="R98" i="46"/>
  <c r="R97" i="46"/>
  <c r="R96" i="46"/>
  <c r="R95" i="46"/>
  <c r="R94" i="46"/>
  <c r="ID98" i="46"/>
  <c r="IC98" i="46"/>
  <c r="IB98" i="46"/>
  <c r="IA98" i="46"/>
  <c r="HZ98" i="46"/>
  <c r="HY98" i="46"/>
  <c r="HX98" i="46"/>
  <c r="HW98" i="46"/>
  <c r="HV98" i="46"/>
  <c r="HU98" i="46"/>
  <c r="HT98" i="46"/>
  <c r="HS98" i="46"/>
  <c r="HR98" i="46"/>
  <c r="HQ98" i="46"/>
  <c r="HP98" i="46"/>
  <c r="HO98" i="46"/>
  <c r="HN98" i="46"/>
  <c r="HM98" i="46"/>
  <c r="HL98" i="46"/>
  <c r="HK98" i="46"/>
  <c r="HJ98" i="46"/>
  <c r="HI98" i="46"/>
  <c r="HH98" i="46"/>
  <c r="HG98" i="46"/>
  <c r="HF98" i="46"/>
  <c r="HE98" i="46"/>
  <c r="HD98" i="46"/>
  <c r="HC98" i="46"/>
  <c r="HB98" i="46"/>
  <c r="HA98" i="46"/>
  <c r="GZ98" i="46"/>
  <c r="GY98" i="46"/>
  <c r="GX98" i="46"/>
  <c r="GW98" i="46"/>
  <c r="GV98" i="46"/>
  <c r="GU98" i="46"/>
  <c r="GT98" i="46"/>
  <c r="GS98" i="46"/>
  <c r="GR98" i="46"/>
  <c r="R93" i="46"/>
  <c r="GA26" i="46"/>
  <c r="FZ26" i="46"/>
  <c r="FY26" i="46"/>
  <c r="FX26" i="46"/>
  <c r="FW26" i="46"/>
  <c r="FV26" i="46"/>
  <c r="FU26" i="46"/>
  <c r="FT26" i="46"/>
  <c r="FS26" i="46"/>
  <c r="FR26" i="46"/>
  <c r="FQ26" i="46"/>
  <c r="FP26" i="46"/>
  <c r="FO26" i="46"/>
  <c r="FN26" i="46"/>
  <c r="FM26" i="46"/>
  <c r="FL26" i="46"/>
  <c r="FK26" i="46"/>
  <c r="FJ26" i="46"/>
  <c r="FI26" i="46"/>
  <c r="FH26" i="46"/>
  <c r="FG26" i="46"/>
  <c r="FF26" i="46"/>
  <c r="FE26" i="46"/>
  <c r="FD26" i="46"/>
  <c r="FC26" i="46"/>
  <c r="FB26" i="46"/>
  <c r="FA26" i="46"/>
  <c r="EZ26" i="46"/>
  <c r="EY26" i="46"/>
  <c r="EX26" i="46"/>
  <c r="EW26" i="46"/>
  <c r="EV26" i="46"/>
  <c r="EU26" i="46"/>
  <c r="ET26" i="46"/>
  <c r="ES26" i="46"/>
  <c r="ER26" i="46"/>
  <c r="EQ26" i="46"/>
  <c r="EP26" i="46"/>
  <c r="EO26" i="46"/>
  <c r="EN26" i="46"/>
  <c r="EM26" i="46"/>
  <c r="EL26" i="46"/>
  <c r="EK26" i="46"/>
  <c r="EJ26" i="46"/>
  <c r="EI26" i="46"/>
  <c r="EH26" i="46"/>
  <c r="EG26" i="46"/>
  <c r="EF26" i="46"/>
  <c r="EE26" i="46"/>
  <c r="ED26" i="46"/>
  <c r="R92" i="46"/>
  <c r="ID80" i="46"/>
  <c r="IC80" i="46"/>
  <c r="IB80" i="46"/>
  <c r="IA80" i="46"/>
  <c r="HZ80" i="46"/>
  <c r="HY80" i="46"/>
  <c r="HX80" i="46"/>
  <c r="HW80" i="46"/>
  <c r="HV80" i="46"/>
  <c r="HU80" i="46"/>
  <c r="HT80" i="46"/>
  <c r="HS80" i="46"/>
  <c r="HR80" i="46"/>
  <c r="HQ80" i="46"/>
  <c r="HP80" i="46"/>
  <c r="HO80" i="46"/>
  <c r="HN80" i="46"/>
  <c r="HM80" i="46"/>
  <c r="HL80" i="46"/>
  <c r="HK80" i="46"/>
  <c r="HJ80" i="46"/>
  <c r="HI80" i="46"/>
  <c r="HH80" i="46"/>
  <c r="HG80" i="46"/>
  <c r="HF80" i="46"/>
  <c r="HE80" i="46"/>
  <c r="HD80" i="46"/>
  <c r="HC80" i="46"/>
  <c r="HB80" i="46"/>
  <c r="HA80" i="46"/>
  <c r="GZ80" i="46"/>
  <c r="GY80" i="46"/>
  <c r="GX80" i="46"/>
  <c r="GW80" i="46"/>
  <c r="GV80" i="46"/>
  <c r="GU80" i="46"/>
  <c r="GT80" i="46"/>
  <c r="GS80" i="46"/>
  <c r="GR80" i="46"/>
  <c r="GQ80" i="46"/>
  <c r="GP80" i="46"/>
  <c r="GO80" i="46"/>
  <c r="GN80" i="46"/>
  <c r="GM80" i="46"/>
  <c r="GL80" i="46"/>
  <c r="GK80" i="46"/>
  <c r="GJ80" i="46"/>
  <c r="GI80" i="46"/>
  <c r="GH80" i="46"/>
  <c r="GG80" i="46"/>
  <c r="GA8" i="46"/>
  <c r="FZ8" i="46"/>
  <c r="FY8" i="46"/>
  <c r="FX8" i="46"/>
  <c r="FW8" i="46"/>
  <c r="FV8" i="46"/>
  <c r="FU8" i="46"/>
  <c r="FT8" i="46"/>
  <c r="FS8" i="46"/>
  <c r="FR8" i="46"/>
  <c r="FQ8" i="46"/>
  <c r="FP8" i="46"/>
  <c r="FO8" i="46"/>
  <c r="FN8" i="46"/>
  <c r="FM8" i="46"/>
  <c r="FL8" i="46"/>
  <c r="FK8" i="46"/>
  <c r="FJ8" i="46"/>
  <c r="FI8" i="46"/>
  <c r="FH8" i="46"/>
  <c r="FG8" i="46"/>
  <c r="FF8" i="46"/>
  <c r="FE8" i="46"/>
  <c r="FD8" i="46"/>
  <c r="FC8" i="46"/>
  <c r="FB8" i="46"/>
  <c r="FA8" i="46"/>
  <c r="EZ8" i="46"/>
  <c r="EY8" i="46"/>
  <c r="EX8" i="46"/>
  <c r="EW8" i="46"/>
  <c r="EV8" i="46"/>
  <c r="EU8" i="46"/>
  <c r="ET8" i="46"/>
  <c r="ES8" i="46"/>
  <c r="ER8" i="46"/>
  <c r="EQ8" i="46"/>
  <c r="EP8" i="46"/>
  <c r="EO8" i="46"/>
  <c r="EN8" i="46"/>
  <c r="EM8" i="46"/>
  <c r="EL8" i="46"/>
  <c r="EK8" i="46"/>
  <c r="EJ8" i="46"/>
  <c r="EI8" i="46"/>
  <c r="EH8" i="46"/>
  <c r="EG8" i="46"/>
  <c r="EF8" i="46"/>
  <c r="EE8" i="46"/>
  <c r="ED8" i="46"/>
  <c r="S64" i="46"/>
  <c r="U64" i="46"/>
  <c r="R63" i="46"/>
  <c r="S63" i="46"/>
  <c r="U63" i="46"/>
  <c r="R62" i="46"/>
  <c r="O62" i="46"/>
  <c r="R61" i="46"/>
  <c r="R60" i="46"/>
  <c r="ID62" i="46"/>
  <c r="IC62" i="46"/>
  <c r="IB62" i="46"/>
  <c r="IA62" i="46"/>
  <c r="HZ62" i="46"/>
  <c r="HY62" i="46"/>
  <c r="HX62" i="46"/>
  <c r="HW62" i="46"/>
  <c r="HV62" i="46"/>
  <c r="HU62" i="46"/>
  <c r="HT62" i="46"/>
  <c r="HS62" i="46"/>
  <c r="HR62" i="46"/>
  <c r="HQ62" i="46"/>
  <c r="HP62" i="46"/>
  <c r="HO62" i="46"/>
  <c r="HN62" i="46"/>
  <c r="HM62" i="46"/>
  <c r="HL62" i="46"/>
  <c r="HK62" i="46"/>
  <c r="HJ62" i="46"/>
  <c r="HI62" i="46"/>
  <c r="HH62" i="46"/>
  <c r="HG62" i="46"/>
  <c r="HF62" i="46"/>
  <c r="HE62" i="46"/>
  <c r="HD62" i="46"/>
  <c r="HC62" i="46"/>
  <c r="HB62" i="46"/>
  <c r="HA62" i="46"/>
  <c r="GZ62" i="46"/>
  <c r="GY62" i="46"/>
  <c r="GX62" i="46"/>
  <c r="GW62" i="46"/>
  <c r="GV62" i="46"/>
  <c r="GU62" i="46"/>
  <c r="GT62" i="46"/>
  <c r="GS62" i="46"/>
  <c r="GR62" i="46"/>
  <c r="GQ62" i="46"/>
  <c r="GP62" i="46"/>
  <c r="GO62" i="46"/>
  <c r="GN62" i="46"/>
  <c r="GM62" i="46"/>
  <c r="GL62" i="46"/>
  <c r="GK62" i="46"/>
  <c r="GJ62" i="46"/>
  <c r="GI62" i="46"/>
  <c r="GH62" i="46"/>
  <c r="GG62" i="46"/>
  <c r="R59" i="46"/>
  <c r="O59" i="46"/>
  <c r="U59" i="46" s="1"/>
  <c r="CZ62" i="46"/>
  <c r="CY62" i="46"/>
  <c r="CX62" i="46"/>
  <c r="CW62" i="46"/>
  <c r="CV62" i="46"/>
  <c r="CU62" i="46"/>
  <c r="CT62" i="46"/>
  <c r="CS62" i="46"/>
  <c r="CR62" i="46"/>
  <c r="CQ62" i="46"/>
  <c r="CP62" i="46"/>
  <c r="CO62" i="46"/>
  <c r="CN62" i="46"/>
  <c r="CM62" i="46"/>
  <c r="CL62" i="46"/>
  <c r="CK62" i="46"/>
  <c r="CJ62" i="46"/>
  <c r="CI62" i="46"/>
  <c r="CH62" i="46"/>
  <c r="CG62" i="46"/>
  <c r="CF62" i="46"/>
  <c r="CE62" i="46"/>
  <c r="CD62" i="46"/>
  <c r="CC62" i="46"/>
  <c r="CB62" i="46"/>
  <c r="CA62" i="46"/>
  <c r="BZ62" i="46"/>
  <c r="BY62" i="46"/>
  <c r="BX62" i="46"/>
  <c r="BW62" i="46"/>
  <c r="BV62" i="46"/>
  <c r="BU62" i="46"/>
  <c r="BT62" i="46"/>
  <c r="BS62" i="46"/>
  <c r="BR62" i="46"/>
  <c r="BQ62" i="46"/>
  <c r="BP62" i="46"/>
  <c r="BO62" i="46"/>
  <c r="BN62" i="46"/>
  <c r="BM62" i="46"/>
  <c r="BL62" i="46"/>
  <c r="BK62" i="46"/>
  <c r="BJ62" i="46"/>
  <c r="BI62" i="46"/>
  <c r="BH62" i="46"/>
  <c r="BG62" i="46"/>
  <c r="BF62" i="46"/>
  <c r="BE62" i="46"/>
  <c r="BD62" i="46"/>
  <c r="BC62" i="46"/>
  <c r="R58" i="46"/>
  <c r="O58" i="46"/>
  <c r="R57" i="46"/>
  <c r="S57" i="46"/>
  <c r="R56" i="46"/>
  <c r="S56" i="46"/>
  <c r="R55" i="46"/>
  <c r="S55" i="46"/>
  <c r="R54" i="46"/>
  <c r="R53" i="46"/>
  <c r="R52" i="46"/>
  <c r="R50" i="46"/>
  <c r="R49" i="46"/>
  <c r="R48" i="46"/>
  <c r="ID44" i="46"/>
  <c r="IC44" i="46"/>
  <c r="IB44" i="46"/>
  <c r="IA44" i="46"/>
  <c r="HZ44" i="46"/>
  <c r="HY44" i="46"/>
  <c r="HX44" i="46"/>
  <c r="HW44" i="46"/>
  <c r="HV44" i="46"/>
  <c r="HU44" i="46"/>
  <c r="HT44" i="46"/>
  <c r="HS44" i="46"/>
  <c r="HR44" i="46"/>
  <c r="HQ44" i="46"/>
  <c r="HP44" i="46"/>
  <c r="HO44" i="46"/>
  <c r="HN44" i="46"/>
  <c r="HM44" i="46"/>
  <c r="HL44" i="46"/>
  <c r="HK44" i="46"/>
  <c r="HJ44" i="46"/>
  <c r="HI44" i="46"/>
  <c r="HH44" i="46"/>
  <c r="HG44" i="46"/>
  <c r="HF44" i="46"/>
  <c r="HE44" i="46"/>
  <c r="HD44" i="46"/>
  <c r="HC44" i="46"/>
  <c r="HB44" i="46"/>
  <c r="HA44" i="46"/>
  <c r="GZ44" i="46"/>
  <c r="GY44" i="46"/>
  <c r="GX44" i="46"/>
  <c r="GW44" i="46"/>
  <c r="GV44" i="46"/>
  <c r="GU44" i="46"/>
  <c r="GT44" i="46"/>
  <c r="GS44" i="46"/>
  <c r="GR44" i="46"/>
  <c r="GQ44" i="46"/>
  <c r="GP44" i="46"/>
  <c r="GO44" i="46"/>
  <c r="GN44" i="46"/>
  <c r="GM44" i="46"/>
  <c r="GL44" i="46"/>
  <c r="GK44" i="46"/>
  <c r="GJ44" i="46"/>
  <c r="GI44" i="46"/>
  <c r="GH44" i="46"/>
  <c r="GG44" i="46"/>
  <c r="CZ44" i="46"/>
  <c r="CY44" i="46"/>
  <c r="CX44" i="46"/>
  <c r="CW44" i="46"/>
  <c r="CV44" i="46"/>
  <c r="CU44" i="46"/>
  <c r="CT44" i="46"/>
  <c r="CS44" i="46"/>
  <c r="CR44" i="46"/>
  <c r="CQ44" i="46"/>
  <c r="CP44" i="46"/>
  <c r="CO44" i="46"/>
  <c r="CN44" i="46"/>
  <c r="CM44" i="46"/>
  <c r="CL44" i="46"/>
  <c r="CK44" i="46"/>
  <c r="CJ44" i="46"/>
  <c r="CI44" i="46"/>
  <c r="CH44" i="46"/>
  <c r="CG44" i="46"/>
  <c r="CF44" i="46"/>
  <c r="CE44" i="46"/>
  <c r="CD44" i="46"/>
  <c r="CC44" i="46"/>
  <c r="CB44" i="46"/>
  <c r="CA44" i="46"/>
  <c r="BZ44" i="46"/>
  <c r="BY44" i="46"/>
  <c r="BX44" i="46"/>
  <c r="BW44" i="46"/>
  <c r="BV44" i="46"/>
  <c r="BU44" i="46"/>
  <c r="BT44" i="46"/>
  <c r="BS44" i="46"/>
  <c r="BR44" i="46"/>
  <c r="BQ44" i="46"/>
  <c r="BP44" i="46"/>
  <c r="BO44" i="46"/>
  <c r="BN44" i="46"/>
  <c r="BM44" i="46"/>
  <c r="BL44" i="46"/>
  <c r="BK44" i="46"/>
  <c r="BJ44" i="46"/>
  <c r="BI44" i="46"/>
  <c r="BH44" i="46"/>
  <c r="BG44" i="46"/>
  <c r="BF44" i="46"/>
  <c r="BE44" i="46"/>
  <c r="BD44" i="46"/>
  <c r="BC44" i="46"/>
  <c r="R41" i="46"/>
  <c r="R40" i="46"/>
  <c r="O39" i="46"/>
  <c r="U39" i="46" s="1"/>
  <c r="R38" i="46"/>
  <c r="R37" i="46"/>
  <c r="R36" i="46"/>
  <c r="O36" i="46"/>
  <c r="R35" i="46"/>
  <c r="U35" i="46"/>
  <c r="R34" i="46"/>
  <c r="R32" i="46"/>
  <c r="R31" i="46"/>
  <c r="R29" i="46"/>
  <c r="R28" i="46"/>
  <c r="R27" i="46"/>
  <c r="R26" i="46"/>
  <c r="CZ26" i="46"/>
  <c r="CY26" i="46"/>
  <c r="CX26" i="46"/>
  <c r="CW26" i="46"/>
  <c r="CV26" i="46"/>
  <c r="CU26" i="46"/>
  <c r="CT26" i="46"/>
  <c r="CS26" i="46"/>
  <c r="CR26" i="46"/>
  <c r="CQ26" i="46"/>
  <c r="CP26" i="46"/>
  <c r="CO26" i="46"/>
  <c r="CN26" i="46"/>
  <c r="CM26" i="46"/>
  <c r="CL26" i="46"/>
  <c r="CK26" i="46"/>
  <c r="CJ26" i="46"/>
  <c r="CI26" i="46"/>
  <c r="CH26" i="46"/>
  <c r="CG26" i="46"/>
  <c r="CF26" i="46"/>
  <c r="CE26" i="46"/>
  <c r="CD26" i="46"/>
  <c r="CC26" i="46"/>
  <c r="CB26" i="46"/>
  <c r="CA26" i="46"/>
  <c r="BZ26" i="46"/>
  <c r="BY26" i="46"/>
  <c r="BX26" i="46"/>
  <c r="BW26" i="46"/>
  <c r="BV26" i="46"/>
  <c r="BU26" i="46"/>
  <c r="BT26" i="46"/>
  <c r="BS26" i="46"/>
  <c r="BR26" i="46"/>
  <c r="BQ26" i="46"/>
  <c r="BP26" i="46"/>
  <c r="BO26" i="46"/>
  <c r="BN26" i="46"/>
  <c r="BM26" i="46"/>
  <c r="BL26" i="46"/>
  <c r="BK26" i="46"/>
  <c r="BJ26" i="46"/>
  <c r="BI26" i="46"/>
  <c r="BH26" i="46"/>
  <c r="BG26" i="46"/>
  <c r="BF26" i="46"/>
  <c r="BE26" i="46"/>
  <c r="BD26" i="46"/>
  <c r="BC26" i="46"/>
  <c r="R25" i="46"/>
  <c r="R19" i="46"/>
  <c r="R18" i="46"/>
  <c r="R17" i="46"/>
  <c r="R16" i="46"/>
  <c r="AA15" i="46"/>
  <c r="R15" i="46"/>
  <c r="AA14" i="46"/>
  <c r="R14" i="46"/>
  <c r="O14" i="46"/>
  <c r="U14" i="46" s="1"/>
  <c r="AA13" i="46"/>
  <c r="R13" i="46"/>
  <c r="AU12" i="46"/>
  <c r="AX12" i="46" s="1"/>
  <c r="AY11" i="46"/>
  <c r="AX11" i="46"/>
  <c r="AV11" i="46"/>
  <c r="AA11" i="46"/>
  <c r="R11" i="46"/>
  <c r="AY10" i="46"/>
  <c r="AX10" i="46"/>
  <c r="AV10" i="46"/>
  <c r="AA10" i="46"/>
  <c r="R10" i="46"/>
  <c r="AY9" i="46"/>
  <c r="AX9" i="46"/>
  <c r="AV9" i="46"/>
  <c r="AA9" i="46"/>
  <c r="R9" i="46"/>
  <c r="CZ8" i="46"/>
  <c r="CY8" i="46"/>
  <c r="CX8" i="46"/>
  <c r="CW8" i="46"/>
  <c r="CV8" i="46"/>
  <c r="CU8" i="46"/>
  <c r="CT8" i="46"/>
  <c r="CS8" i="46"/>
  <c r="CR8" i="46"/>
  <c r="CQ8" i="46"/>
  <c r="CP8" i="46"/>
  <c r="CO8" i="46"/>
  <c r="CN8" i="46"/>
  <c r="CM8" i="46"/>
  <c r="CL8" i="46"/>
  <c r="CK8" i="46"/>
  <c r="CJ8" i="46"/>
  <c r="CI8" i="46"/>
  <c r="CH8" i="46"/>
  <c r="CG8" i="46"/>
  <c r="CF8" i="46"/>
  <c r="CE8" i="46"/>
  <c r="CD8" i="46"/>
  <c r="CC8" i="46"/>
  <c r="CB8" i="46"/>
  <c r="CA8" i="46"/>
  <c r="BZ8" i="46"/>
  <c r="BY8" i="46"/>
  <c r="BX8" i="46"/>
  <c r="BW8" i="46"/>
  <c r="BV8" i="46"/>
  <c r="BU8" i="46"/>
  <c r="BT8" i="46"/>
  <c r="BS8" i="46"/>
  <c r="BR8" i="46"/>
  <c r="BQ8" i="46"/>
  <c r="BP8" i="46"/>
  <c r="BO8" i="46"/>
  <c r="BN8" i="46"/>
  <c r="BM8" i="46"/>
  <c r="BL8" i="46"/>
  <c r="BK8" i="46"/>
  <c r="BJ8" i="46"/>
  <c r="BI8" i="46"/>
  <c r="BH8" i="46"/>
  <c r="BG8" i="46"/>
  <c r="BF8" i="46"/>
  <c r="BE8" i="46"/>
  <c r="BD8" i="46"/>
  <c r="BC8" i="46"/>
  <c r="AY8" i="46"/>
  <c r="AX8" i="46"/>
  <c r="AV8" i="46"/>
  <c r="R8" i="46"/>
  <c r="AY7" i="46"/>
  <c r="AX7" i="46"/>
  <c r="AV7" i="46"/>
  <c r="R7" i="46"/>
  <c r="AT6" i="46"/>
  <c r="R6" i="46"/>
  <c r="R5" i="46"/>
  <c r="R4" i="46"/>
  <c r="O60" i="46" l="1"/>
  <c r="O61" i="46" s="1"/>
  <c r="U61" i="46" s="1"/>
  <c r="O104" i="46"/>
  <c r="O105" i="46" s="1"/>
  <c r="U102" i="46"/>
  <c r="U36" i="46"/>
  <c r="O38" i="46"/>
  <c r="AA47" i="46"/>
  <c r="AA55" i="46"/>
  <c r="AC48" i="46"/>
  <c r="Z48" i="46"/>
  <c r="AB49" i="46"/>
  <c r="AB58" i="46"/>
  <c r="AD47" i="46"/>
  <c r="Y52" i="46"/>
  <c r="AD58" i="46"/>
  <c r="AB61" i="46"/>
  <c r="AD62" i="46"/>
  <c r="AA49" i="46"/>
  <c r="Y51" i="46"/>
  <c r="Y55" i="46"/>
  <c r="AA48" i="46"/>
  <c r="AA57" i="46"/>
  <c r="AC50" i="46"/>
  <c r="Z50" i="46"/>
  <c r="AB51" i="46"/>
  <c r="AB60" i="46"/>
  <c r="Y54" i="46"/>
  <c r="AD56" i="46"/>
  <c r="AD55" i="46"/>
  <c r="AC59" i="46"/>
  <c r="AA50" i="46"/>
  <c r="AA59" i="46"/>
  <c r="AC52" i="46"/>
  <c r="Z52" i="46"/>
  <c r="AB53" i="46"/>
  <c r="AB62" i="46"/>
  <c r="AD48" i="46"/>
  <c r="Y56" i="46"/>
  <c r="AB48" i="46"/>
  <c r="Z55" i="46"/>
  <c r="AA53" i="46"/>
  <c r="AD61" i="46"/>
  <c r="AA52" i="46"/>
  <c r="AA61" i="46"/>
  <c r="AC54" i="46"/>
  <c r="Z54" i="46"/>
  <c r="AB55" i="46"/>
  <c r="AB47" i="46"/>
  <c r="AD50" i="46"/>
  <c r="Y58" i="46"/>
  <c r="AB57" i="46"/>
  <c r="AD52" i="46"/>
  <c r="AD54" i="46"/>
  <c r="Y61" i="46"/>
  <c r="Y59" i="46"/>
  <c r="Z47" i="46"/>
  <c r="Z51" i="46"/>
  <c r="AA54" i="46"/>
  <c r="AC49" i="46"/>
  <c r="AC56" i="46"/>
  <c r="Z56" i="46"/>
  <c r="AD60" i="46"/>
  <c r="Y60" i="46"/>
  <c r="AD51" i="46"/>
  <c r="Y57" i="46"/>
  <c r="Y47" i="46"/>
  <c r="AA56" i="46"/>
  <c r="AC51" i="46"/>
  <c r="AC58" i="46"/>
  <c r="Z58" i="46"/>
  <c r="AB59" i="46"/>
  <c r="AD49" i="46"/>
  <c r="Y62" i="46"/>
  <c r="AD53" i="46"/>
  <c r="AC62" i="46"/>
  <c r="AA58" i="46"/>
  <c r="AC53" i="46"/>
  <c r="AC60" i="46"/>
  <c r="Z60" i="46"/>
  <c r="Y49" i="46"/>
  <c r="AD57" i="46"/>
  <c r="AA60" i="46"/>
  <c r="AC55" i="46"/>
  <c r="AC47" i="46"/>
  <c r="Z62" i="46"/>
  <c r="Y50" i="46"/>
  <c r="AA62" i="46"/>
  <c r="AC57" i="46"/>
  <c r="Z49" i="46"/>
  <c r="Z53" i="46"/>
  <c r="AB50" i="46"/>
  <c r="AB52" i="46"/>
  <c r="Z61" i="46"/>
  <c r="AA51" i="46"/>
  <c r="AC61" i="46"/>
  <c r="Z57" i="46"/>
  <c r="Z59" i="46"/>
  <c r="AB54" i="46"/>
  <c r="AD59" i="46"/>
  <c r="Y48" i="46"/>
  <c r="Y53" i="46"/>
  <c r="AB56" i="46"/>
  <c r="AA88" i="46"/>
  <c r="AA90" i="46"/>
  <c r="Z103" i="46"/>
  <c r="AC102" i="46"/>
  <c r="AC88" i="46"/>
  <c r="Y97" i="46"/>
  <c r="AD101" i="46"/>
  <c r="AD88" i="46"/>
  <c r="AB90" i="46"/>
  <c r="AB95" i="46"/>
  <c r="AC101" i="46"/>
  <c r="AB89" i="46"/>
  <c r="AA91" i="46"/>
  <c r="AA96" i="46"/>
  <c r="Z102" i="46"/>
  <c r="AC95" i="46"/>
  <c r="AC89" i="46"/>
  <c r="Y99" i="46"/>
  <c r="AD90" i="46"/>
  <c r="AD99" i="46"/>
  <c r="AB92" i="46"/>
  <c r="AB99" i="46"/>
  <c r="Z100" i="46"/>
  <c r="AA101" i="46"/>
  <c r="AA94" i="46"/>
  <c r="Z89" i="46"/>
  <c r="AC90" i="46"/>
  <c r="AC99" i="46"/>
  <c r="Y101" i="46"/>
  <c r="AD92" i="46"/>
  <c r="AD93" i="46"/>
  <c r="AB94" i="46"/>
  <c r="AB97" i="46"/>
  <c r="AA89" i="46"/>
  <c r="Y95" i="46"/>
  <c r="AB91" i="46"/>
  <c r="AA102" i="46"/>
  <c r="AA98" i="46"/>
  <c r="Z91" i="46"/>
  <c r="AC92" i="46"/>
  <c r="AC103" i="46"/>
  <c r="Y103" i="46"/>
  <c r="AD94" i="46"/>
  <c r="AD91" i="46"/>
  <c r="AB96" i="46"/>
  <c r="AB88" i="46"/>
  <c r="AA95" i="46"/>
  <c r="Z93" i="46"/>
  <c r="AC94" i="46"/>
  <c r="Y88" i="46"/>
  <c r="Y96" i="46"/>
  <c r="AD96" i="46"/>
  <c r="AB98" i="46"/>
  <c r="Z90" i="46"/>
  <c r="AA92" i="46"/>
  <c r="Z95" i="46"/>
  <c r="AC96" i="46"/>
  <c r="Y90" i="46"/>
  <c r="Y98" i="46"/>
  <c r="AD98" i="46"/>
  <c r="AB100" i="46"/>
  <c r="Z88" i="46"/>
  <c r="AA99" i="46"/>
  <c r="Z97" i="46"/>
  <c r="AC98" i="46"/>
  <c r="Y92" i="46"/>
  <c r="Y94" i="46"/>
  <c r="AD100" i="46"/>
  <c r="AB102" i="46"/>
  <c r="AD103" i="46"/>
  <c r="AD97" i="46"/>
  <c r="AA100" i="46"/>
  <c r="Z99" i="46"/>
  <c r="AC100" i="46"/>
  <c r="Y100" i="46"/>
  <c r="Y102" i="46"/>
  <c r="AD102" i="46"/>
  <c r="AB93" i="46"/>
  <c r="AC97" i="46"/>
  <c r="AA97" i="46"/>
  <c r="Z96" i="46"/>
  <c r="Z92" i="46"/>
  <c r="AC93" i="46"/>
  <c r="Y89" i="46"/>
  <c r="AD89" i="46"/>
  <c r="AB103" i="46"/>
  <c r="Y91" i="46"/>
  <c r="AA93" i="46"/>
  <c r="Z101" i="46"/>
  <c r="Z98" i="46"/>
  <c r="AC91" i="46"/>
  <c r="Y93" i="46"/>
  <c r="AD95" i="46"/>
  <c r="AB101" i="46"/>
  <c r="AA103" i="46"/>
  <c r="Z94" i="46"/>
  <c r="P9" i="46"/>
  <c r="S9" i="46" s="1"/>
  <c r="P10" i="46"/>
  <c r="S10" i="46" s="1"/>
  <c r="M10" i="46"/>
  <c r="N10" i="46"/>
  <c r="U62" i="46"/>
  <c r="U103" i="46"/>
  <c r="U106" i="46"/>
  <c r="U147" i="46"/>
  <c r="S17" i="46"/>
  <c r="T17" i="46" s="1"/>
  <c r="S37" i="46"/>
  <c r="U115" i="46"/>
  <c r="M84" i="46"/>
  <c r="P84" i="46"/>
  <c r="N84" i="46"/>
  <c r="U84" i="46"/>
  <c r="M54" i="46"/>
  <c r="N54" i="46"/>
  <c r="P54" i="46"/>
  <c r="S54" i="46" s="1"/>
  <c r="P120" i="46"/>
  <c r="S120" i="46" s="1"/>
  <c r="M120" i="46"/>
  <c r="N120" i="46"/>
  <c r="M98" i="46"/>
  <c r="N98" i="46"/>
  <c r="P98" i="46"/>
  <c r="S98" i="46" s="1"/>
  <c r="N121" i="46"/>
  <c r="P121" i="46"/>
  <c r="S121" i="46" s="1"/>
  <c r="M121" i="46"/>
  <c r="S4" i="46"/>
  <c r="O76" i="46"/>
  <c r="O78" i="46" s="1"/>
  <c r="P62" i="46"/>
  <c r="S62" i="46" s="1"/>
  <c r="T62" i="46" s="1"/>
  <c r="M62" i="46"/>
  <c r="N62" i="46"/>
  <c r="M106" i="46"/>
  <c r="P106" i="46"/>
  <c r="S106" i="46" s="1"/>
  <c r="T106" i="46" s="1"/>
  <c r="N106" i="46"/>
  <c r="M147" i="46"/>
  <c r="P147" i="46"/>
  <c r="Q147" i="46" s="1"/>
  <c r="N147" i="46"/>
  <c r="N114" i="46"/>
  <c r="M114" i="46"/>
  <c r="P114" i="46"/>
  <c r="S114" i="46" s="1"/>
  <c r="P105" i="46"/>
  <c r="S105" i="46" s="1"/>
  <c r="M105" i="46"/>
  <c r="N105" i="46"/>
  <c r="P146" i="46"/>
  <c r="S146" i="46" s="1"/>
  <c r="M146" i="46"/>
  <c r="N146" i="46"/>
  <c r="Q36" i="46"/>
  <c r="M80" i="46"/>
  <c r="P80" i="46"/>
  <c r="N80" i="46"/>
  <c r="U80" i="46"/>
  <c r="N81" i="46"/>
  <c r="P81" i="46"/>
  <c r="M81" i="46"/>
  <c r="U81" i="46"/>
  <c r="N115" i="46"/>
  <c r="P115" i="46"/>
  <c r="M115" i="46"/>
  <c r="S16" i="46"/>
  <c r="M82" i="46"/>
  <c r="N82" i="46"/>
  <c r="P82" i="46"/>
  <c r="S82" i="46" s="1"/>
  <c r="O88" i="46"/>
  <c r="M116" i="46"/>
  <c r="N116" i="46"/>
  <c r="P116" i="46"/>
  <c r="S116" i="46" s="1"/>
  <c r="T116" i="46" s="1"/>
  <c r="S15" i="46"/>
  <c r="P145" i="46"/>
  <c r="M145" i="46"/>
  <c r="N145" i="46"/>
  <c r="P83" i="46"/>
  <c r="S83" i="46" s="1"/>
  <c r="M83" i="46"/>
  <c r="N83" i="46"/>
  <c r="M117" i="46"/>
  <c r="P117" i="46"/>
  <c r="S117" i="46" s="1"/>
  <c r="N117" i="46"/>
  <c r="P118" i="46"/>
  <c r="S118" i="46" s="1"/>
  <c r="M118" i="46"/>
  <c r="N118" i="46"/>
  <c r="T13" i="46"/>
  <c r="M61" i="46"/>
  <c r="N61" i="46"/>
  <c r="P61" i="46"/>
  <c r="S61" i="46" s="1"/>
  <c r="M58" i="46"/>
  <c r="N58" i="46"/>
  <c r="P58" i="46"/>
  <c r="S58" i="46" s="1"/>
  <c r="T58" i="46" s="1"/>
  <c r="M59" i="46"/>
  <c r="N59" i="46"/>
  <c r="P59" i="46"/>
  <c r="S59" i="46" s="1"/>
  <c r="T59" i="46" s="1"/>
  <c r="M102" i="46"/>
  <c r="N102" i="46"/>
  <c r="P102" i="46"/>
  <c r="Q102" i="46" s="1"/>
  <c r="M143" i="46"/>
  <c r="N143" i="46"/>
  <c r="P143" i="46"/>
  <c r="S143" i="46" s="1"/>
  <c r="T143" i="46" s="1"/>
  <c r="P104" i="46"/>
  <c r="S104" i="46" s="1"/>
  <c r="M104" i="46"/>
  <c r="N104" i="46"/>
  <c r="M60" i="46"/>
  <c r="N60" i="46"/>
  <c r="P60" i="46"/>
  <c r="S60" i="46" s="1"/>
  <c r="M103" i="46"/>
  <c r="N103" i="46"/>
  <c r="P103" i="46"/>
  <c r="M144" i="46"/>
  <c r="N144" i="46"/>
  <c r="P144" i="46"/>
  <c r="S144" i="46" s="1"/>
  <c r="T144" i="46" s="1"/>
  <c r="S3" i="46"/>
  <c r="S8" i="46"/>
  <c r="S7" i="46"/>
  <c r="U116" i="46"/>
  <c r="O120" i="46"/>
  <c r="U120" i="46" s="1"/>
  <c r="M135" i="46"/>
  <c r="N135" i="46"/>
  <c r="P135" i="46"/>
  <c r="S135" i="46" s="1"/>
  <c r="M137" i="46"/>
  <c r="N137" i="46"/>
  <c r="P137" i="46"/>
  <c r="S137" i="46" s="1"/>
  <c r="P138" i="46"/>
  <c r="S138" i="46" s="1"/>
  <c r="M138" i="46"/>
  <c r="N138" i="46"/>
  <c r="M136" i="46"/>
  <c r="N136" i="46"/>
  <c r="P136" i="46"/>
  <c r="S136" i="46" s="1"/>
  <c r="P133" i="46"/>
  <c r="S133" i="46" s="1"/>
  <c r="N133" i="46"/>
  <c r="M133" i="46"/>
  <c r="N134" i="46"/>
  <c r="P134" i="46"/>
  <c r="S134" i="46" s="1"/>
  <c r="M134" i="46"/>
  <c r="N92" i="46"/>
  <c r="M92" i="46"/>
  <c r="P92" i="46"/>
  <c r="S92" i="46" s="1"/>
  <c r="P93" i="46"/>
  <c r="S93" i="46" s="1"/>
  <c r="M93" i="46"/>
  <c r="N93" i="46"/>
  <c r="P94" i="46"/>
  <c r="S94" i="46" s="1"/>
  <c r="M94" i="46"/>
  <c r="N94" i="46"/>
  <c r="N95" i="46"/>
  <c r="P95" i="46"/>
  <c r="S95" i="46" s="1"/>
  <c r="M95" i="46"/>
  <c r="N96" i="46"/>
  <c r="P96" i="46"/>
  <c r="S96" i="46" s="1"/>
  <c r="M96" i="46"/>
  <c r="M97" i="46"/>
  <c r="N97" i="46"/>
  <c r="P97" i="46"/>
  <c r="S97" i="46" s="1"/>
  <c r="P70" i="46"/>
  <c r="S70" i="46" s="1"/>
  <c r="N70" i="46"/>
  <c r="M70" i="46"/>
  <c r="P71" i="46"/>
  <c r="S71" i="46" s="1"/>
  <c r="M71" i="46"/>
  <c r="N71" i="46"/>
  <c r="P72" i="46"/>
  <c r="S72" i="46" s="1"/>
  <c r="M72" i="46"/>
  <c r="N72" i="46"/>
  <c r="N73" i="46"/>
  <c r="P73" i="46"/>
  <c r="S73" i="46" s="1"/>
  <c r="M73" i="46"/>
  <c r="M74" i="46"/>
  <c r="N74" i="46"/>
  <c r="P74" i="46"/>
  <c r="S74" i="46" s="1"/>
  <c r="M75" i="46"/>
  <c r="N75" i="46"/>
  <c r="P75" i="46"/>
  <c r="S75" i="46" s="1"/>
  <c r="P48" i="46"/>
  <c r="S48" i="46" s="1"/>
  <c r="N48" i="46"/>
  <c r="M48" i="46"/>
  <c r="M49" i="46"/>
  <c r="N49" i="46"/>
  <c r="P49" i="46"/>
  <c r="S49" i="46" s="1"/>
  <c r="P50" i="46"/>
  <c r="S50" i="46" s="1"/>
  <c r="N50" i="46"/>
  <c r="M50" i="46"/>
  <c r="M51" i="46"/>
  <c r="N51" i="46"/>
  <c r="P51" i="46"/>
  <c r="S51" i="46" s="1"/>
  <c r="M52" i="46"/>
  <c r="P52" i="46"/>
  <c r="S52" i="46" s="1"/>
  <c r="N52" i="46"/>
  <c r="M53" i="46"/>
  <c r="P53" i="46"/>
  <c r="S53" i="46" s="1"/>
  <c r="N53" i="46"/>
  <c r="S30" i="46"/>
  <c r="T108" i="46"/>
  <c r="U143" i="46"/>
  <c r="T41" i="46"/>
  <c r="Q41" i="46"/>
  <c r="Q40" i="46"/>
  <c r="Q39" i="46"/>
  <c r="Q35" i="46"/>
  <c r="U58" i="46"/>
  <c r="S38" i="46"/>
  <c r="Q108" i="46"/>
  <c r="U15" i="46"/>
  <c r="T64" i="46"/>
  <c r="Q122" i="46"/>
  <c r="O117" i="46"/>
  <c r="O123" i="46" s="1"/>
  <c r="Q63" i="46"/>
  <c r="U139" i="46"/>
  <c r="AX13" i="46"/>
  <c r="T63" i="46"/>
  <c r="T19" i="46"/>
  <c r="U9" i="46"/>
  <c r="Q19" i="46"/>
  <c r="S27" i="46"/>
  <c r="S39" i="46"/>
  <c r="T39" i="46" s="1"/>
  <c r="O54" i="46"/>
  <c r="O57" i="46" s="1"/>
  <c r="O114" i="46"/>
  <c r="U114" i="46" s="1"/>
  <c r="AV13" i="46"/>
  <c r="Q64" i="46"/>
  <c r="S26" i="46"/>
  <c r="U37" i="46"/>
  <c r="S35" i="46"/>
  <c r="T35" i="46" s="1"/>
  <c r="T107" i="46"/>
  <c r="Q107" i="46"/>
  <c r="S6" i="46"/>
  <c r="T40" i="46"/>
  <c r="S148" i="46"/>
  <c r="T148" i="46" s="1"/>
  <c r="Q148" i="46"/>
  <c r="Q18" i="46"/>
  <c r="U16" i="46"/>
  <c r="U38" i="46"/>
  <c r="U98" i="46"/>
  <c r="T18" i="46"/>
  <c r="S29" i="46"/>
  <c r="U146" i="46"/>
  <c r="T122" i="46"/>
  <c r="O118" i="46"/>
  <c r="U118" i="46" s="1"/>
  <c r="Q149" i="46"/>
  <c r="T149" i="46"/>
  <c r="W51" i="44"/>
  <c r="X51" i="44"/>
  <c r="Y51" i="44"/>
  <c r="Z51" i="44"/>
  <c r="AA51" i="44"/>
  <c r="AB51" i="44"/>
  <c r="AC51" i="44"/>
  <c r="AD51" i="44"/>
  <c r="AE51" i="44"/>
  <c r="W52" i="44"/>
  <c r="X52" i="44"/>
  <c r="Y52" i="44"/>
  <c r="Z52" i="44"/>
  <c r="AA52" i="44"/>
  <c r="AB52" i="44"/>
  <c r="AC52" i="44"/>
  <c r="AD52" i="44"/>
  <c r="AE52" i="44"/>
  <c r="W53" i="44"/>
  <c r="X53" i="44"/>
  <c r="Y53" i="44"/>
  <c r="Z53" i="44"/>
  <c r="AA53" i="44"/>
  <c r="AB53" i="44"/>
  <c r="AC53" i="44"/>
  <c r="AD53" i="44"/>
  <c r="AE53" i="44"/>
  <c r="W54" i="44"/>
  <c r="X54" i="44"/>
  <c r="Y54" i="44"/>
  <c r="Z54" i="44"/>
  <c r="AA54" i="44"/>
  <c r="AB54" i="44"/>
  <c r="AC54" i="44"/>
  <c r="AD54" i="44"/>
  <c r="AE54" i="44"/>
  <c r="W55" i="44"/>
  <c r="X55" i="44"/>
  <c r="Y55" i="44"/>
  <c r="Z55" i="44"/>
  <c r="AA55" i="44"/>
  <c r="AB55" i="44"/>
  <c r="AC55" i="44"/>
  <c r="AD55" i="44"/>
  <c r="AE55" i="44"/>
  <c r="W56" i="44"/>
  <c r="X56" i="44"/>
  <c r="Y56" i="44"/>
  <c r="Z56" i="44"/>
  <c r="AA56" i="44"/>
  <c r="AB56" i="44"/>
  <c r="AC56" i="44"/>
  <c r="AD56" i="44"/>
  <c r="AE56" i="44"/>
  <c r="W57" i="44"/>
  <c r="X57" i="44"/>
  <c r="Y57" i="44"/>
  <c r="Z57" i="44"/>
  <c r="AA57" i="44"/>
  <c r="AB57" i="44"/>
  <c r="AC57" i="44"/>
  <c r="AD57" i="44"/>
  <c r="AE57" i="44"/>
  <c r="W58" i="44"/>
  <c r="X58" i="44"/>
  <c r="Y58" i="44"/>
  <c r="Z58" i="44"/>
  <c r="AA58" i="44"/>
  <c r="AB58" i="44"/>
  <c r="AC58" i="44"/>
  <c r="AD58" i="44"/>
  <c r="AE58" i="44"/>
  <c r="W59" i="44"/>
  <c r="X59" i="44"/>
  <c r="Y59" i="44"/>
  <c r="Z59" i="44"/>
  <c r="AA59" i="44"/>
  <c r="AB59" i="44"/>
  <c r="AC59" i="44"/>
  <c r="AD59" i="44"/>
  <c r="AE59" i="44"/>
  <c r="W60" i="44"/>
  <c r="X60" i="44"/>
  <c r="Y60" i="44"/>
  <c r="Z60" i="44"/>
  <c r="AA60" i="44"/>
  <c r="AB60" i="44"/>
  <c r="AC60" i="44"/>
  <c r="AD60" i="44"/>
  <c r="AE60" i="44"/>
  <c r="W61" i="44"/>
  <c r="X61" i="44"/>
  <c r="Y61" i="44"/>
  <c r="Z61" i="44"/>
  <c r="AA61" i="44"/>
  <c r="AB61" i="44"/>
  <c r="AC61" i="44"/>
  <c r="AD61" i="44"/>
  <c r="AE61" i="44"/>
  <c r="W62" i="44"/>
  <c r="X62" i="44"/>
  <c r="Y62" i="44"/>
  <c r="Z62" i="44"/>
  <c r="AA62" i="44"/>
  <c r="AB62" i="44"/>
  <c r="AC62" i="44"/>
  <c r="AD62" i="44"/>
  <c r="AE62" i="44"/>
  <c r="W63" i="44"/>
  <c r="X63" i="44"/>
  <c r="Y63" i="44"/>
  <c r="Z63" i="44"/>
  <c r="AA63" i="44"/>
  <c r="AB63" i="44"/>
  <c r="AC63" i="44"/>
  <c r="AD63" i="44"/>
  <c r="AE63" i="44"/>
  <c r="W64" i="44"/>
  <c r="X64" i="44"/>
  <c r="Y64" i="44"/>
  <c r="Z64" i="44"/>
  <c r="AA64" i="44"/>
  <c r="AB64" i="44"/>
  <c r="AC64" i="44"/>
  <c r="AD64" i="44"/>
  <c r="AE64" i="44"/>
  <c r="W65" i="44"/>
  <c r="X65" i="44"/>
  <c r="Y65" i="44"/>
  <c r="Z65" i="44"/>
  <c r="AA65" i="44"/>
  <c r="AB65" i="44"/>
  <c r="AC65" i="44"/>
  <c r="AD65" i="44"/>
  <c r="AE65" i="44"/>
  <c r="AE50" i="44"/>
  <c r="AD50" i="44"/>
  <c r="AC50" i="44"/>
  <c r="AB50" i="44"/>
  <c r="AA50" i="44"/>
  <c r="Z50" i="44"/>
  <c r="Y50" i="44"/>
  <c r="X50" i="44"/>
  <c r="W50" i="44"/>
  <c r="W26" i="44"/>
  <c r="X26" i="44"/>
  <c r="Y26" i="44"/>
  <c r="Z26" i="44"/>
  <c r="AA26" i="44"/>
  <c r="AB26" i="44"/>
  <c r="AC26" i="44"/>
  <c r="AD26" i="44"/>
  <c r="AE26" i="44"/>
  <c r="W27" i="44"/>
  <c r="X27" i="44"/>
  <c r="Y27" i="44"/>
  <c r="Z27" i="44"/>
  <c r="AA27" i="44"/>
  <c r="AB27" i="44"/>
  <c r="AC27" i="44"/>
  <c r="AD27" i="44"/>
  <c r="AE27" i="44"/>
  <c r="W28" i="44"/>
  <c r="X28" i="44"/>
  <c r="Y28" i="44"/>
  <c r="Z28" i="44"/>
  <c r="AA28" i="44"/>
  <c r="AB28" i="44"/>
  <c r="AC28" i="44"/>
  <c r="AD28" i="44"/>
  <c r="AE28" i="44"/>
  <c r="W29" i="44"/>
  <c r="X29" i="44"/>
  <c r="Y29" i="44"/>
  <c r="Z29" i="44"/>
  <c r="AA29" i="44"/>
  <c r="AB29" i="44"/>
  <c r="AC29" i="44"/>
  <c r="AD29" i="44"/>
  <c r="AE29" i="44"/>
  <c r="W30" i="44"/>
  <c r="X30" i="44"/>
  <c r="Y30" i="44"/>
  <c r="Z30" i="44"/>
  <c r="AA30" i="44"/>
  <c r="AB30" i="44"/>
  <c r="AC30" i="44"/>
  <c r="AD30" i="44"/>
  <c r="AE30" i="44"/>
  <c r="W31" i="44"/>
  <c r="X31" i="44"/>
  <c r="Y31" i="44"/>
  <c r="Z31" i="44"/>
  <c r="AA31" i="44"/>
  <c r="AB31" i="44"/>
  <c r="AC31" i="44"/>
  <c r="AD31" i="44"/>
  <c r="AE31" i="44"/>
  <c r="W32" i="44"/>
  <c r="X32" i="44"/>
  <c r="Y32" i="44"/>
  <c r="Z32" i="44"/>
  <c r="AA32" i="44"/>
  <c r="AB32" i="44"/>
  <c r="AC32" i="44"/>
  <c r="AD32" i="44"/>
  <c r="AE32" i="44"/>
  <c r="W33" i="44"/>
  <c r="X33" i="44"/>
  <c r="Y33" i="44"/>
  <c r="Z33" i="44"/>
  <c r="AA33" i="44"/>
  <c r="AB33" i="44"/>
  <c r="AC33" i="44"/>
  <c r="AD33" i="44"/>
  <c r="AE33" i="44"/>
  <c r="W34" i="44"/>
  <c r="X34" i="44"/>
  <c r="Y34" i="44"/>
  <c r="Z34" i="44"/>
  <c r="AA34" i="44"/>
  <c r="AB34" i="44"/>
  <c r="AC34" i="44"/>
  <c r="AD34" i="44"/>
  <c r="AE34" i="44"/>
  <c r="W35" i="44"/>
  <c r="X35" i="44"/>
  <c r="Y35" i="44"/>
  <c r="Z35" i="44"/>
  <c r="AA35" i="44"/>
  <c r="AB35" i="44"/>
  <c r="AC35" i="44"/>
  <c r="AD35" i="44"/>
  <c r="AE35" i="44"/>
  <c r="W36" i="44"/>
  <c r="X36" i="44"/>
  <c r="Y36" i="44"/>
  <c r="Z36" i="44"/>
  <c r="AA36" i="44"/>
  <c r="AB36" i="44"/>
  <c r="AC36" i="44"/>
  <c r="AD36" i="44"/>
  <c r="AE36" i="44"/>
  <c r="W37" i="44"/>
  <c r="X37" i="44"/>
  <c r="Y37" i="44"/>
  <c r="Z37" i="44"/>
  <c r="AA37" i="44"/>
  <c r="AB37" i="44"/>
  <c r="AC37" i="44"/>
  <c r="AD37" i="44"/>
  <c r="AE37" i="44"/>
  <c r="W38" i="44"/>
  <c r="X38" i="44"/>
  <c r="Y38" i="44"/>
  <c r="Z38" i="44"/>
  <c r="AA38" i="44"/>
  <c r="AB38" i="44"/>
  <c r="AC38" i="44"/>
  <c r="AD38" i="44"/>
  <c r="AE38" i="44"/>
  <c r="W39" i="44"/>
  <c r="X39" i="44"/>
  <c r="Y39" i="44"/>
  <c r="Z39" i="44"/>
  <c r="AA39" i="44"/>
  <c r="AB39" i="44"/>
  <c r="AC39" i="44"/>
  <c r="AD39" i="44"/>
  <c r="AE39" i="44"/>
  <c r="W40" i="44"/>
  <c r="X40" i="44"/>
  <c r="Y40" i="44"/>
  <c r="Z40" i="44"/>
  <c r="AA40" i="44"/>
  <c r="AB40" i="44"/>
  <c r="AC40" i="44"/>
  <c r="AD40" i="44"/>
  <c r="AE40" i="44"/>
  <c r="AE25" i="44"/>
  <c r="AD25" i="44"/>
  <c r="AC25" i="44"/>
  <c r="AB25" i="44"/>
  <c r="AA25" i="44"/>
  <c r="Z25" i="44"/>
  <c r="Y25" i="44"/>
  <c r="X25" i="44"/>
  <c r="W25" i="44"/>
  <c r="S145" i="46" l="1"/>
  <c r="T145" i="46" s="1"/>
  <c r="Q145" i="46"/>
  <c r="S115" i="46"/>
  <c r="T115" i="46" s="1"/>
  <c r="O136" i="46"/>
  <c r="O79" i="46"/>
  <c r="Q115" i="46"/>
  <c r="Q116" i="46"/>
  <c r="O53" i="46"/>
  <c r="O56" i="46" s="1"/>
  <c r="U56" i="46" s="1"/>
  <c r="U11" i="46"/>
  <c r="Q33" i="46"/>
  <c r="T33" i="46"/>
  <c r="O133" i="46"/>
  <c r="U133" i="46" s="1"/>
  <c r="O134" i="46"/>
  <c r="U134" i="46" s="1"/>
  <c r="Q17" i="46"/>
  <c r="U145" i="46"/>
  <c r="O151" i="46"/>
  <c r="U123" i="46"/>
  <c r="Q123" i="46"/>
  <c r="T123" i="46"/>
  <c r="U104" i="46"/>
  <c r="O110" i="46"/>
  <c r="Q88" i="46"/>
  <c r="U88" i="46"/>
  <c r="T88" i="46"/>
  <c r="U60" i="46"/>
  <c r="O66" i="46"/>
  <c r="O43" i="46"/>
  <c r="U43" i="46" s="1"/>
  <c r="O92" i="46"/>
  <c r="U92" i="46" s="1"/>
  <c r="O21" i="46"/>
  <c r="U21" i="46" s="1"/>
  <c r="O97" i="46"/>
  <c r="O100" i="46" s="1"/>
  <c r="U100" i="46" s="1"/>
  <c r="O137" i="46"/>
  <c r="U137" i="46" s="1"/>
  <c r="O48" i="46"/>
  <c r="Q48" i="46" s="1"/>
  <c r="O49" i="46"/>
  <c r="U49" i="46" s="1"/>
  <c r="O135" i="46"/>
  <c r="O93" i="46"/>
  <c r="O94" i="46"/>
  <c r="U94" i="46" s="1"/>
  <c r="O95" i="46"/>
  <c r="O52" i="46"/>
  <c r="U52" i="46" s="1"/>
  <c r="O25" i="46"/>
  <c r="O96" i="46"/>
  <c r="O141" i="46"/>
  <c r="U141" i="46" s="1"/>
  <c r="O51" i="46"/>
  <c r="U51" i="46" s="1"/>
  <c r="O50" i="46"/>
  <c r="U50" i="46" s="1"/>
  <c r="T72" i="46"/>
  <c r="O28" i="46"/>
  <c r="U28" i="46" s="1"/>
  <c r="O26" i="46"/>
  <c r="U26" i="46" s="1"/>
  <c r="S102" i="46"/>
  <c r="T102" i="46" s="1"/>
  <c r="Q106" i="46"/>
  <c r="Q13" i="46"/>
  <c r="Q59" i="46"/>
  <c r="T120" i="46"/>
  <c r="S147" i="46"/>
  <c r="T147" i="46" s="1"/>
  <c r="S84" i="46"/>
  <c r="T84" i="46" s="1"/>
  <c r="Q84" i="46"/>
  <c r="T76" i="46"/>
  <c r="Q76" i="46"/>
  <c r="U76" i="46"/>
  <c r="O77" i="46"/>
  <c r="U82" i="46"/>
  <c r="Q82" i="46"/>
  <c r="T82" i="46"/>
  <c r="Q83" i="46"/>
  <c r="T83" i="46"/>
  <c r="Q58" i="46"/>
  <c r="S80" i="46"/>
  <c r="T80" i="46" s="1"/>
  <c r="Q80" i="46"/>
  <c r="U83" i="46"/>
  <c r="S81" i="46"/>
  <c r="T81" i="46" s="1"/>
  <c r="Q81" i="46"/>
  <c r="T104" i="46"/>
  <c r="Q104" i="46"/>
  <c r="U70" i="46"/>
  <c r="Q139" i="46"/>
  <c r="Q61" i="46"/>
  <c r="O140" i="46"/>
  <c r="U140" i="46" s="1"/>
  <c r="Q117" i="46"/>
  <c r="U117" i="46"/>
  <c r="T139" i="46"/>
  <c r="U142" i="46"/>
  <c r="T61" i="46"/>
  <c r="Q105" i="46"/>
  <c r="U105" i="46"/>
  <c r="O27" i="46"/>
  <c r="T34" i="46"/>
  <c r="Q31" i="46"/>
  <c r="Q32" i="46"/>
  <c r="Q38" i="46"/>
  <c r="Q37" i="46"/>
  <c r="T3" i="46"/>
  <c r="U10" i="46"/>
  <c r="Q15" i="46"/>
  <c r="T15" i="46"/>
  <c r="O55" i="46"/>
  <c r="U55" i="46" s="1"/>
  <c r="U54" i="46"/>
  <c r="T114" i="46"/>
  <c r="T31" i="46"/>
  <c r="O121" i="46"/>
  <c r="U121" i="46" s="1"/>
  <c r="T105" i="46"/>
  <c r="O119" i="46"/>
  <c r="T119" i="46" s="1"/>
  <c r="T117" i="46"/>
  <c r="T9" i="46"/>
  <c r="Q120" i="46"/>
  <c r="Q114" i="46"/>
  <c r="Q143" i="46"/>
  <c r="T54" i="46"/>
  <c r="T37" i="46"/>
  <c r="U57" i="46"/>
  <c r="Q54" i="46"/>
  <c r="U136" i="46"/>
  <c r="Q60" i="46"/>
  <c r="T60" i="46"/>
  <c r="U7" i="46"/>
  <c r="T38" i="46"/>
  <c r="Q16" i="46"/>
  <c r="T16" i="46"/>
  <c r="S103" i="46"/>
  <c r="T103" i="46" s="1"/>
  <c r="Q103" i="46"/>
  <c r="T118" i="46"/>
  <c r="Q118" i="46"/>
  <c r="T146" i="46"/>
  <c r="Q146" i="46"/>
  <c r="Q14" i="46"/>
  <c r="S14" i="46"/>
  <c r="T14" i="46" s="1"/>
  <c r="Q9" i="46"/>
  <c r="T32" i="46"/>
  <c r="O29" i="46"/>
  <c r="U29" i="46" s="1"/>
  <c r="Q144" i="46"/>
  <c r="U99" i="46"/>
  <c r="T98" i="46"/>
  <c r="Q98" i="46"/>
  <c r="U101" i="46"/>
  <c r="Q62" i="46"/>
  <c r="S36" i="46"/>
  <c r="T36" i="46" s="1"/>
  <c r="O66" i="44"/>
  <c r="U66" i="44" s="1"/>
  <c r="T25" i="46" l="1"/>
  <c r="U25" i="46"/>
  <c r="Q27" i="46"/>
  <c r="U27" i="46"/>
  <c r="U53" i="46"/>
  <c r="U97" i="46"/>
  <c r="Q75" i="46"/>
  <c r="Q30" i="46"/>
  <c r="U110" i="46"/>
  <c r="Q110" i="46"/>
  <c r="T110" i="46"/>
  <c r="U151" i="46"/>
  <c r="Q151" i="46"/>
  <c r="T151" i="46"/>
  <c r="U66" i="46"/>
  <c r="Q66" i="46"/>
  <c r="T66" i="46"/>
  <c r="Q43" i="46"/>
  <c r="T43" i="46"/>
  <c r="Q21" i="46"/>
  <c r="T21" i="46"/>
  <c r="T141" i="46"/>
  <c r="Q121" i="46"/>
  <c r="T140" i="46"/>
  <c r="Q140" i="46"/>
  <c r="U77" i="46"/>
  <c r="T77" i="46"/>
  <c r="Q77" i="46"/>
  <c r="T78" i="46"/>
  <c r="Q78" i="46"/>
  <c r="U78" i="46"/>
  <c r="T70" i="46"/>
  <c r="Q70" i="46"/>
  <c r="T79" i="46"/>
  <c r="Q79" i="46"/>
  <c r="U79" i="46"/>
  <c r="U75" i="46"/>
  <c r="T75" i="46"/>
  <c r="Q72" i="46"/>
  <c r="U48" i="46"/>
  <c r="U72" i="46"/>
  <c r="Q142" i="46"/>
  <c r="T142" i="46"/>
  <c r="Q141" i="46"/>
  <c r="T55" i="46"/>
  <c r="Q10" i="46"/>
  <c r="T10" i="46"/>
  <c r="Q74" i="46"/>
  <c r="T74" i="46"/>
  <c r="U74" i="46"/>
  <c r="T73" i="46"/>
  <c r="Q73" i="46"/>
  <c r="U73" i="46"/>
  <c r="Q71" i="46"/>
  <c r="T71" i="46"/>
  <c r="U71" i="46"/>
  <c r="Q97" i="46"/>
  <c r="T95" i="46"/>
  <c r="U95" i="46"/>
  <c r="T27" i="46"/>
  <c r="T92" i="46"/>
  <c r="T138" i="46"/>
  <c r="U138" i="46"/>
  <c r="Q119" i="46"/>
  <c r="U119" i="46"/>
  <c r="U124" i="46" s="1"/>
  <c r="T97" i="46"/>
  <c r="Q3" i="46"/>
  <c r="Q96" i="46"/>
  <c r="U96" i="46"/>
  <c r="T93" i="46"/>
  <c r="U93" i="46"/>
  <c r="T121" i="46"/>
  <c r="T124" i="46" s="1"/>
  <c r="Q25" i="46"/>
  <c r="Q55" i="46"/>
  <c r="Q135" i="46"/>
  <c r="U135" i="46"/>
  <c r="Q26" i="46"/>
  <c r="Q29" i="46"/>
  <c r="Q28" i="46"/>
  <c r="Q34" i="46"/>
  <c r="T11" i="46"/>
  <c r="T12" i="46"/>
  <c r="Q11" i="46"/>
  <c r="Q6" i="46"/>
  <c r="Q12" i="46"/>
  <c r="Q57" i="46"/>
  <c r="T57" i="46"/>
  <c r="Q92" i="46"/>
  <c r="Q93" i="46"/>
  <c r="T56" i="46"/>
  <c r="Q56" i="46"/>
  <c r="T6" i="46"/>
  <c r="T135" i="46"/>
  <c r="Q138" i="46"/>
  <c r="T96" i="46"/>
  <c r="Q53" i="46"/>
  <c r="T53" i="46"/>
  <c r="Q95" i="46"/>
  <c r="Q5" i="46"/>
  <c r="T5" i="46"/>
  <c r="T133" i="46"/>
  <c r="Q133" i="46"/>
  <c r="T134" i="46"/>
  <c r="Q134" i="46"/>
  <c r="T50" i="46"/>
  <c r="Q50" i="46"/>
  <c r="T8" i="46"/>
  <c r="Q8" i="46"/>
  <c r="T52" i="46"/>
  <c r="Q52" i="46"/>
  <c r="Q7" i="46"/>
  <c r="T7" i="46"/>
  <c r="T4" i="46"/>
  <c r="Q4" i="46"/>
  <c r="T100" i="46"/>
  <c r="Q100" i="46"/>
  <c r="Q137" i="46"/>
  <c r="T137" i="46"/>
  <c r="T49" i="46"/>
  <c r="Q49" i="46"/>
  <c r="T51" i="46"/>
  <c r="Q51" i="46"/>
  <c r="Q101" i="46"/>
  <c r="T101" i="46"/>
  <c r="T30" i="46"/>
  <c r="T48" i="46"/>
  <c r="T99" i="46"/>
  <c r="Q99" i="46"/>
  <c r="T29" i="46"/>
  <c r="T28" i="46"/>
  <c r="T94" i="46"/>
  <c r="Q94" i="46"/>
  <c r="T26" i="46"/>
  <c r="T136" i="46"/>
  <c r="Q136" i="46"/>
  <c r="U45" i="46" l="1"/>
  <c r="T45" i="46"/>
  <c r="T152" i="46"/>
  <c r="T67" i="46"/>
  <c r="U67" i="46"/>
  <c r="U111" i="46"/>
  <c r="T111" i="46"/>
  <c r="T89" i="46"/>
  <c r="U89" i="46"/>
  <c r="U22" i="46"/>
  <c r="U152" i="46"/>
  <c r="T22" i="46"/>
  <c r="L62" i="44" l="1"/>
  <c r="L61" i="44"/>
  <c r="L60" i="44"/>
  <c r="L39" i="44"/>
  <c r="L38" i="44"/>
  <c r="L37" i="44"/>
  <c r="L14" i="44"/>
  <c r="L13" i="44"/>
  <c r="L12" i="44"/>
  <c r="P14" i="44" l="1"/>
  <c r="S14" i="44" s="1"/>
  <c r="M14" i="44"/>
  <c r="N14" i="44"/>
  <c r="M39" i="44"/>
  <c r="N39" i="44"/>
  <c r="P39" i="44"/>
  <c r="S39" i="44" s="1"/>
  <c r="N62" i="44"/>
  <c r="P62" i="44"/>
  <c r="S62" i="44" s="1"/>
  <c r="M62" i="44"/>
  <c r="P12" i="44"/>
  <c r="S12" i="44" s="1"/>
  <c r="M12" i="44"/>
  <c r="N12" i="44"/>
  <c r="P13" i="44"/>
  <c r="S13" i="44" s="1"/>
  <c r="M13" i="44"/>
  <c r="N13" i="44"/>
  <c r="P37" i="44"/>
  <c r="S37" i="44" s="1"/>
  <c r="N37" i="44"/>
  <c r="M37" i="44"/>
  <c r="M38" i="44"/>
  <c r="N38" i="44"/>
  <c r="P38" i="44"/>
  <c r="S38" i="44" s="1"/>
  <c r="P60" i="44"/>
  <c r="S60" i="44" s="1"/>
  <c r="M60" i="44"/>
  <c r="N60" i="44"/>
  <c r="M61" i="44"/>
  <c r="N61" i="44"/>
  <c r="P61" i="44"/>
  <c r="S61" i="44" s="1"/>
  <c r="P36" i="44"/>
  <c r="S36" i="44" s="1"/>
  <c r="M36" i="44"/>
  <c r="N36" i="44"/>
  <c r="O68" i="44" l="1"/>
  <c r="O61" i="44"/>
  <c r="U61" i="44" s="1"/>
  <c r="O60" i="44"/>
  <c r="U60" i="44" s="1"/>
  <c r="O59" i="44"/>
  <c r="R51" i="44"/>
  <c r="R52" i="44"/>
  <c r="R53" i="44"/>
  <c r="R54" i="44"/>
  <c r="R55" i="44"/>
  <c r="R56" i="44"/>
  <c r="R57" i="44"/>
  <c r="R58" i="44"/>
  <c r="R59" i="44"/>
  <c r="R60" i="44"/>
  <c r="R61" i="44"/>
  <c r="R62" i="44"/>
  <c r="R63" i="44"/>
  <c r="R64" i="44"/>
  <c r="R65" i="44"/>
  <c r="R66" i="44"/>
  <c r="R67" i="44"/>
  <c r="R68" i="44"/>
  <c r="R26" i="44"/>
  <c r="R27" i="44"/>
  <c r="R28" i="44"/>
  <c r="R29" i="44"/>
  <c r="R30" i="44"/>
  <c r="R31" i="44"/>
  <c r="R32" i="44"/>
  <c r="R33" i="44"/>
  <c r="R34" i="44"/>
  <c r="R35" i="44"/>
  <c r="R36" i="44"/>
  <c r="R37" i="44"/>
  <c r="R38" i="44"/>
  <c r="R39" i="44"/>
  <c r="R40" i="44"/>
  <c r="R41" i="44"/>
  <c r="R42" i="44"/>
  <c r="R43" i="44"/>
  <c r="R44" i="44"/>
  <c r="R45" i="44"/>
  <c r="R25" i="44"/>
  <c r="L59" i="44"/>
  <c r="O34" i="44"/>
  <c r="U34" i="44" s="1"/>
  <c r="O45" i="44"/>
  <c r="U45" i="44" s="1"/>
  <c r="O43" i="44"/>
  <c r="U43" i="44" s="1"/>
  <c r="O38" i="44"/>
  <c r="U38" i="44" s="1"/>
  <c r="O37" i="44"/>
  <c r="U37" i="44" s="1"/>
  <c r="R19" i="44"/>
  <c r="N59" i="44" l="1"/>
  <c r="M59" i="44"/>
  <c r="P59" i="44"/>
  <c r="U59" i="44"/>
  <c r="O67" i="44"/>
  <c r="U67" i="44" s="1"/>
  <c r="U68" i="44"/>
  <c r="O62" i="44"/>
  <c r="Q62" i="44" s="1"/>
  <c r="O35" i="44"/>
  <c r="Q60" i="44"/>
  <c r="T60" i="44"/>
  <c r="T61" i="44"/>
  <c r="Q61" i="44"/>
  <c r="Q66" i="44"/>
  <c r="T66" i="44"/>
  <c r="Q68" i="44"/>
  <c r="T68" i="44"/>
  <c r="Q34" i="44"/>
  <c r="T34" i="44"/>
  <c r="O39" i="44"/>
  <c r="U39" i="44" s="1"/>
  <c r="T38" i="44"/>
  <c r="Q43" i="44"/>
  <c r="T43" i="44"/>
  <c r="Q45" i="44"/>
  <c r="O44" i="44"/>
  <c r="U44" i="44" s="1"/>
  <c r="Q38" i="44"/>
  <c r="T45" i="44"/>
  <c r="T62" i="44" l="1"/>
  <c r="O63" i="44"/>
  <c r="U62" i="44"/>
  <c r="Q35" i="44"/>
  <c r="U35" i="44"/>
  <c r="O64" i="44"/>
  <c r="U64" i="44" s="1"/>
  <c r="O40" i="44"/>
  <c r="Q40" i="44" s="1"/>
  <c r="T35" i="44"/>
  <c r="Q63" i="44"/>
  <c r="T39" i="44"/>
  <c r="O36" i="44"/>
  <c r="U36" i="44" s="1"/>
  <c r="T67" i="44"/>
  <c r="Q67" i="44"/>
  <c r="O41" i="44"/>
  <c r="T37" i="44"/>
  <c r="Q37" i="44"/>
  <c r="Q39" i="44"/>
  <c r="T44" i="44"/>
  <c r="Q44" i="44"/>
  <c r="R20" i="44"/>
  <c r="O20" i="44"/>
  <c r="O18" i="44"/>
  <c r="U18" i="44" s="1"/>
  <c r="O13" i="44"/>
  <c r="U13" i="44" s="1"/>
  <c r="O12" i="44"/>
  <c r="U12" i="44" s="1"/>
  <c r="BK73" i="44"/>
  <c r="BK72" i="44"/>
  <c r="BK71" i="44"/>
  <c r="BK70" i="44"/>
  <c r="BK69" i="44"/>
  <c r="BK68" i="44"/>
  <c r="BK67" i="44"/>
  <c r="BK66" i="44"/>
  <c r="BK65" i="44"/>
  <c r="R5" i="44"/>
  <c r="R6" i="44"/>
  <c r="R7" i="44"/>
  <c r="R8" i="44"/>
  <c r="R9" i="44"/>
  <c r="R10" i="44"/>
  <c r="R11" i="44"/>
  <c r="R12" i="44"/>
  <c r="R13" i="44"/>
  <c r="R14" i="44"/>
  <c r="R15" i="44"/>
  <c r="R16" i="44"/>
  <c r="R17" i="44"/>
  <c r="R18" i="44"/>
  <c r="Q64" i="44" l="1"/>
  <c r="T64" i="44"/>
  <c r="U63" i="44"/>
  <c r="T63" i="44"/>
  <c r="O19" i="44"/>
  <c r="U19" i="44" s="1"/>
  <c r="U20" i="44"/>
  <c r="T40" i="44"/>
  <c r="U40" i="44"/>
  <c r="Q41" i="44"/>
  <c r="U41" i="44"/>
  <c r="X9" i="44"/>
  <c r="Q20" i="44"/>
  <c r="T41" i="44"/>
  <c r="X13" i="44"/>
  <c r="Q36" i="44"/>
  <c r="T36" i="44"/>
  <c r="X17" i="44"/>
  <c r="Y5" i="44"/>
  <c r="AE16" i="44"/>
  <c r="AE12" i="44"/>
  <c r="AE8" i="44"/>
  <c r="W3" i="44"/>
  <c r="AE15" i="44"/>
  <c r="AE11" i="44"/>
  <c r="AE7" i="44"/>
  <c r="AD15" i="44"/>
  <c r="AD11" i="44"/>
  <c r="AD7" i="44"/>
  <c r="Y3" i="44"/>
  <c r="AC15" i="44"/>
  <c r="AC11" i="44"/>
  <c r="AC7" i="44"/>
  <c r="Z3" i="44"/>
  <c r="AB15" i="44"/>
  <c r="AB11" i="44"/>
  <c r="AB7" i="44"/>
  <c r="W13" i="44"/>
  <c r="AB18" i="44"/>
  <c r="AB14" i="44"/>
  <c r="AB10" i="44"/>
  <c r="AB6" i="44"/>
  <c r="W9" i="44"/>
  <c r="AA18" i="44"/>
  <c r="AA14" i="44"/>
  <c r="AA10" i="44"/>
  <c r="AA6" i="44"/>
  <c r="Z18" i="44"/>
  <c r="Z14" i="44"/>
  <c r="Z10" i="44"/>
  <c r="Y6" i="44"/>
  <c r="X3" i="44"/>
  <c r="Y18" i="44"/>
  <c r="Y14" i="44"/>
  <c r="Y10" i="44"/>
  <c r="X5" i="44"/>
  <c r="W17" i="44"/>
  <c r="Y17" i="44"/>
  <c r="Y13" i="44"/>
  <c r="Y9" i="44"/>
  <c r="AE4" i="44"/>
  <c r="Z6" i="44"/>
  <c r="W5" i="44"/>
  <c r="AA3" i="44"/>
  <c r="X18" i="44"/>
  <c r="AD16" i="44"/>
  <c r="AA15" i="44"/>
  <c r="X14" i="44"/>
  <c r="AD12" i="44"/>
  <c r="AA11" i="44"/>
  <c r="X10" i="44"/>
  <c r="AD8" i="44"/>
  <c r="AA7" i="44"/>
  <c r="X6" i="44"/>
  <c r="AD4" i="44"/>
  <c r="AB3" i="44"/>
  <c r="W18" i="44"/>
  <c r="AC16" i="44"/>
  <c r="Z15" i="44"/>
  <c r="W14" i="44"/>
  <c r="AC12" i="44"/>
  <c r="Z11" i="44"/>
  <c r="W10" i="44"/>
  <c r="AC8" i="44"/>
  <c r="Z7" i="44"/>
  <c r="W6" i="44"/>
  <c r="AC4" i="44"/>
  <c r="AC3" i="44"/>
  <c r="AE17" i="44"/>
  <c r="AB16" i="44"/>
  <c r="Y15" i="44"/>
  <c r="AE13" i="44"/>
  <c r="AB12" i="44"/>
  <c r="Y11" i="44"/>
  <c r="AE9" i="44"/>
  <c r="AB8" i="44"/>
  <c r="Y7" i="44"/>
  <c r="AE5" i="44"/>
  <c r="AB4" i="44"/>
  <c r="AD3" i="44"/>
  <c r="AD17" i="44"/>
  <c r="AA16" i="44"/>
  <c r="X15" i="44"/>
  <c r="AD13" i="44"/>
  <c r="AA12" i="44"/>
  <c r="X11" i="44"/>
  <c r="AD9" i="44"/>
  <c r="AA8" i="44"/>
  <c r="X7" i="44"/>
  <c r="AD5" i="44"/>
  <c r="AA4" i="44"/>
  <c r="AE3" i="44"/>
  <c r="AC17" i="44"/>
  <c r="Z16" i="44"/>
  <c r="W15" i="44"/>
  <c r="AC13" i="44"/>
  <c r="Z12" i="44"/>
  <c r="W11" i="44"/>
  <c r="AC9" i="44"/>
  <c r="Z8" i="44"/>
  <c r="W7" i="44"/>
  <c r="AC5" i="44"/>
  <c r="Z4" i="44"/>
  <c r="AE18" i="44"/>
  <c r="AB17" i="44"/>
  <c r="Y16" i="44"/>
  <c r="AE14" i="44"/>
  <c r="AB13" i="44"/>
  <c r="Y12" i="44"/>
  <c r="AE10" i="44"/>
  <c r="AB9" i="44"/>
  <c r="Y8" i="44"/>
  <c r="AE6" i="44"/>
  <c r="AB5" i="44"/>
  <c r="Y4" i="44"/>
  <c r="AD18" i="44"/>
  <c r="AA17" i="44"/>
  <c r="X16" i="44"/>
  <c r="AD14" i="44"/>
  <c r="AA13" i="44"/>
  <c r="X12" i="44"/>
  <c r="AD10" i="44"/>
  <c r="AA9" i="44"/>
  <c r="X8" i="44"/>
  <c r="AD6" i="44"/>
  <c r="AA5" i="44"/>
  <c r="X4" i="44"/>
  <c r="AC18" i="44"/>
  <c r="Z17" i="44"/>
  <c r="W16" i="44"/>
  <c r="AC14" i="44"/>
  <c r="Z13" i="44"/>
  <c r="W12" i="44"/>
  <c r="AC10" i="44"/>
  <c r="Z9" i="44"/>
  <c r="W8" i="44"/>
  <c r="AC6" i="44"/>
  <c r="Z5" i="44"/>
  <c r="W4" i="44"/>
  <c r="O14" i="44"/>
  <c r="U14" i="44" s="1"/>
  <c r="Q18" i="44"/>
  <c r="T20" i="44"/>
  <c r="T12" i="44"/>
  <c r="Q12" i="44"/>
  <c r="T13" i="44"/>
  <c r="Q13" i="44"/>
  <c r="T18" i="44"/>
  <c r="T19" i="44" l="1"/>
  <c r="Q19" i="44"/>
  <c r="O16" i="44"/>
  <c r="U16" i="44" s="1"/>
  <c r="O15" i="44"/>
  <c r="U15" i="44" s="1"/>
  <c r="O53" i="44"/>
  <c r="U53" i="44" s="1"/>
  <c r="O51" i="44"/>
  <c r="U51" i="44" s="1"/>
  <c r="O55" i="44"/>
  <c r="U55" i="44" s="1"/>
  <c r="O56" i="44"/>
  <c r="U56" i="44" s="1"/>
  <c r="O52" i="44"/>
  <c r="U52" i="44" s="1"/>
  <c r="O58" i="44"/>
  <c r="O50" i="44"/>
  <c r="U50" i="44" s="1"/>
  <c r="O54" i="44"/>
  <c r="U54" i="44" s="1"/>
  <c r="O57" i="44"/>
  <c r="U57" i="44" s="1"/>
  <c r="T59" i="44"/>
  <c r="O25" i="44"/>
  <c r="U25" i="44" s="1"/>
  <c r="T14" i="44"/>
  <c r="T16" i="44"/>
  <c r="Q16" i="44"/>
  <c r="Q14" i="44"/>
  <c r="O10" i="44"/>
  <c r="U10" i="44" s="1"/>
  <c r="O4" i="44"/>
  <c r="U4" i="44" s="1"/>
  <c r="O3" i="44"/>
  <c r="O31" i="44"/>
  <c r="U31" i="44" s="1"/>
  <c r="O5" i="44"/>
  <c r="O6" i="44"/>
  <c r="U6" i="44" s="1"/>
  <c r="O33" i="44"/>
  <c r="O42" i="44" s="1"/>
  <c r="O7" i="44"/>
  <c r="U7" i="44" s="1"/>
  <c r="O8" i="44"/>
  <c r="U8" i="44" s="1"/>
  <c r="O11" i="44"/>
  <c r="O17" i="44" s="1"/>
  <c r="O9" i="44"/>
  <c r="U9" i="44" s="1"/>
  <c r="O32" i="44"/>
  <c r="U32" i="44" s="1"/>
  <c r="O29" i="44"/>
  <c r="U29" i="44" s="1"/>
  <c r="O26" i="44"/>
  <c r="U26" i="44" s="1"/>
  <c r="O30" i="44"/>
  <c r="U30" i="44" s="1"/>
  <c r="O28" i="44"/>
  <c r="U28" i="44" s="1"/>
  <c r="O27" i="44"/>
  <c r="U27" i="44" s="1"/>
  <c r="O65" i="44" l="1"/>
  <c r="U65" i="44" s="1"/>
  <c r="U58" i="44"/>
  <c r="T3" i="44"/>
  <c r="U3" i="44"/>
  <c r="Q11" i="44"/>
  <c r="U17" i="44"/>
  <c r="U11" i="44"/>
  <c r="T5" i="44"/>
  <c r="U5" i="44"/>
  <c r="U42" i="44"/>
  <c r="U33" i="44"/>
  <c r="Q58" i="44"/>
  <c r="T58" i="44"/>
  <c r="Q55" i="44"/>
  <c r="T55" i="44"/>
  <c r="T56" i="44"/>
  <c r="Q56" i="44"/>
  <c r="Q53" i="44"/>
  <c r="T53" i="44"/>
  <c r="T57" i="44"/>
  <c r="Q57" i="44"/>
  <c r="Q51" i="44"/>
  <c r="T51" i="44"/>
  <c r="T54" i="44"/>
  <c r="Q54" i="44"/>
  <c r="Q50" i="44"/>
  <c r="T50" i="44"/>
  <c r="Q65" i="44"/>
  <c r="Q52" i="44"/>
  <c r="T52" i="44"/>
  <c r="Q3" i="44"/>
  <c r="T4" i="44"/>
  <c r="T10" i="44"/>
  <c r="Q10" i="44"/>
  <c r="Q5" i="44"/>
  <c r="Q4" i="44"/>
  <c r="T11" i="44"/>
  <c r="T6" i="44"/>
  <c r="Q32" i="44"/>
  <c r="T32" i="44"/>
  <c r="Q33" i="44"/>
  <c r="T33" i="44"/>
  <c r="T29" i="44"/>
  <c r="Q29" i="44"/>
  <c r="T25" i="44"/>
  <c r="Q25" i="44"/>
  <c r="T9" i="44"/>
  <c r="Q7" i="44"/>
  <c r="Q28" i="44"/>
  <c r="T28" i="44"/>
  <c r="Q9" i="44"/>
  <c r="T7" i="44"/>
  <c r="T27" i="44"/>
  <c r="Q27" i="44"/>
  <c r="Q8" i="44"/>
  <c r="Q30" i="44"/>
  <c r="T30" i="44"/>
  <c r="T31" i="44"/>
  <c r="Q31" i="44"/>
  <c r="Q6" i="44"/>
  <c r="T8" i="44"/>
  <c r="Q26" i="44"/>
  <c r="T26" i="44"/>
  <c r="Q15" i="44"/>
  <c r="T15" i="44"/>
  <c r="T65" i="44" l="1"/>
  <c r="T70" i="44" s="1"/>
  <c r="U47" i="44"/>
  <c r="U70" i="44"/>
  <c r="U22" i="44"/>
  <c r="T17" i="44"/>
  <c r="T22" i="44" s="1"/>
  <c r="Q17" i="44"/>
  <c r="T42" i="44"/>
  <c r="T47" i="44" s="1"/>
  <c r="Q42" i="44"/>
  <c r="S36" i="42" l="1"/>
  <c r="S35" i="42"/>
  <c r="S34" i="42"/>
  <c r="S33" i="42"/>
  <c r="S32" i="42"/>
  <c r="S31" i="42"/>
  <c r="S30" i="42"/>
  <c r="S27" i="42"/>
  <c r="S26" i="42"/>
  <c r="S25" i="42"/>
  <c r="S24" i="42"/>
  <c r="S23" i="42"/>
  <c r="S22" i="42"/>
  <c r="B17" i="42"/>
  <c r="B15" i="42"/>
  <c r="B13" i="42"/>
  <c r="B11" i="42"/>
  <c r="B9" i="42"/>
  <c r="C5" i="42"/>
  <c r="C3" i="4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200-00000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4" authorId="0" shapeId="0" xr:uid="{00000000-0006-0000-0200-000002000000}">
      <text/>
    </comment>
    <comment ref="L5" authorId="0" shapeId="0" xr:uid="{00000000-0006-0000-0200-000003000000}">
      <text/>
    </comment>
    <comment ref="L6" authorId="0" shapeId="0" xr:uid="{00000000-0006-0000-0200-000004000000}">
      <text/>
    </comment>
    <comment ref="L7" authorId="0" shapeId="0" xr:uid="{00000000-0006-0000-0200-000005000000}">
      <text/>
    </comment>
    <comment ref="L8" authorId="0" shapeId="0" xr:uid="{00000000-0006-0000-0200-000006000000}">
      <text/>
    </comment>
    <comment ref="L9" authorId="0" shapeId="0" xr:uid="{00000000-0006-0000-0200-000007000000}">
      <text/>
    </comment>
    <comment ref="E10" authorId="0" shapeId="0" xr:uid="{00000000-0006-0000-0200-000008000000}">
      <text/>
    </comment>
    <comment ref="L10" authorId="0" shapeId="0" xr:uid="{00000000-0006-0000-0200-000009000000}">
      <text/>
    </comment>
    <comment ref="E11" authorId="0" shapeId="0" xr:uid="{00000000-0006-0000-0200-00000A000000}">
      <text/>
    </comment>
    <comment ref="L11" authorId="0" shapeId="0" xr:uid="{00000000-0006-0000-0200-00000B000000}">
      <text/>
    </comment>
    <comment ref="L12" authorId="0" shapeId="0" xr:uid="{00000000-0006-0000-0200-00000C000000}">
      <text/>
    </comment>
    <comment ref="L13" authorId="0" shapeId="0" xr:uid="{00000000-0006-0000-0200-00000D000000}">
      <text/>
    </comment>
    <comment ref="L14" authorId="0" shapeId="0" xr:uid="{00000000-0006-0000-0200-00000E000000}">
      <text/>
    </comment>
    <comment ref="L15" authorId="0" shapeId="0" xr:uid="{00000000-0006-0000-0200-00000F000000}">
      <text/>
    </comment>
    <comment ref="L16" authorId="0" shapeId="0" xr:uid="{00000000-0006-0000-0200-000010000000}">
      <text/>
    </comment>
    <comment ref="L17" authorId="0" shapeId="0" xr:uid="{00000000-0006-0000-0200-000011000000}">
      <text/>
    </comment>
    <comment ref="L18" authorId="0" shapeId="0" xr:uid="{00000000-0006-0000-0200-000012000000}">
      <text/>
    </comment>
    <comment ref="L19" authorId="0" shapeId="0" xr:uid="{00000000-0006-0000-0200-000013000000}">
      <text/>
    </comment>
    <comment ref="L20" authorId="0" shapeId="0" xr:uid="{00000000-0006-0000-0200-000014000000}">
      <text/>
    </comment>
    <comment ref="L21" authorId="0" shapeId="0" xr:uid="{00000000-0006-0000-0200-000015000000}">
      <text/>
    </comment>
    <comment ref="L25" authorId="0" shapeId="0" xr:uid="{00000000-0006-0000-0200-00001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" authorId="0" shapeId="0" xr:uid="{00000000-0006-0000-0200-000017000000}">
      <text/>
    </comment>
    <comment ref="L27" authorId="0" shapeId="0" xr:uid="{00000000-0006-0000-0200-000018000000}">
      <text/>
    </comment>
    <comment ref="L28" authorId="0" shapeId="0" xr:uid="{00000000-0006-0000-0200-000019000000}">
      <text/>
    </comment>
    <comment ref="L29" authorId="0" shapeId="0" xr:uid="{00000000-0006-0000-0200-00001A000000}">
      <text/>
    </comment>
    <comment ref="E30" authorId="0" shapeId="0" xr:uid="{00000000-0006-0000-0200-00001B000000}">
      <text/>
    </comment>
    <comment ref="L30" authorId="0" shapeId="0" xr:uid="{00000000-0006-0000-0200-00001C000000}">
      <text/>
    </comment>
    <comment ref="L31" authorId="0" shapeId="0" xr:uid="{00000000-0006-0000-0200-00001D000000}">
      <text/>
    </comment>
    <comment ref="E32" authorId="0" shapeId="0" xr:uid="{00000000-0006-0000-0200-00001E000000}">
      <text/>
    </comment>
    <comment ref="L32" authorId="0" shapeId="0" xr:uid="{00000000-0006-0000-0200-00001F000000}">
      <text/>
    </comment>
    <comment ref="E33" authorId="0" shapeId="0" xr:uid="{00000000-0006-0000-0200-000020000000}">
      <text/>
    </comment>
    <comment ref="L33" authorId="0" shapeId="0" xr:uid="{00000000-0006-0000-0200-000021000000}">
      <text/>
    </comment>
    <comment ref="L34" authorId="0" shapeId="0" xr:uid="{00000000-0006-0000-0200-000022000000}">
      <text/>
    </comment>
    <comment ref="L35" authorId="0" shapeId="0" xr:uid="{00000000-0006-0000-0200-000023000000}">
      <text/>
    </comment>
    <comment ref="L36" authorId="0" shapeId="0" xr:uid="{00000000-0006-0000-0200-000024000000}">
      <text/>
    </comment>
    <comment ref="L37" authorId="0" shapeId="0" xr:uid="{00000000-0006-0000-0200-000025000000}">
      <text/>
    </comment>
    <comment ref="L38" authorId="0" shapeId="0" xr:uid="{00000000-0006-0000-0200-000026000000}">
      <text/>
    </comment>
    <comment ref="L39" authorId="0" shapeId="0" xr:uid="{CC30BF49-6CBD-4956-8232-342D4F58DCE9}">
      <text/>
    </comment>
    <comment ref="L40" authorId="0" shapeId="0" xr:uid="{00000000-0006-0000-0200-000028000000}">
      <text/>
    </comment>
    <comment ref="L41" authorId="0" shapeId="0" xr:uid="{00000000-0006-0000-0200-000029000000}">
      <text/>
    </comment>
    <comment ref="L42" authorId="0" shapeId="0" xr:uid="{00000000-0006-0000-0200-00002A000000}">
      <text/>
    </comment>
    <comment ref="L43" authorId="0" shapeId="0" xr:uid="{00000000-0006-0000-0200-00002B000000}">
      <text/>
    </comment>
    <comment ref="L44" authorId="0" shapeId="0" xr:uid="{00000000-0006-0000-0200-00002C000000}">
      <text/>
    </comment>
    <comment ref="L48" authorId="0" shapeId="0" xr:uid="{00000000-0006-0000-0200-00002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49" authorId="0" shapeId="0" xr:uid="{00000000-0006-0000-0200-00002E000000}">
      <text/>
    </comment>
    <comment ref="L50" authorId="0" shapeId="0" xr:uid="{00000000-0006-0000-0200-00002F000000}">
      <text/>
    </comment>
    <comment ref="L51" authorId="0" shapeId="0" xr:uid="{00000000-0006-0000-0200-000030000000}">
      <text/>
    </comment>
    <comment ref="L52" authorId="0" shapeId="0" xr:uid="{00000000-0006-0000-0200-000031000000}">
      <text/>
    </comment>
    <comment ref="L53" authorId="0" shapeId="0" xr:uid="{00000000-0006-0000-0200-000032000000}">
      <text/>
    </comment>
    <comment ref="E54" authorId="0" shapeId="0" xr:uid="{00000000-0006-0000-0200-000033000000}">
      <text/>
    </comment>
    <comment ref="L54" authorId="0" shapeId="0" xr:uid="{00000000-0006-0000-0200-000034000000}">
      <text/>
    </comment>
    <comment ref="E55" authorId="0" shapeId="0" xr:uid="{00000000-0006-0000-0200-000035000000}">
      <text/>
    </comment>
    <comment ref="L55" authorId="0" shapeId="0" xr:uid="{00000000-0006-0000-0200-000036000000}">
      <text/>
    </comment>
    <comment ref="E56" authorId="0" shapeId="0" xr:uid="{00000000-0006-0000-0200-000037000000}">
      <text/>
    </comment>
    <comment ref="L56" authorId="0" shapeId="0" xr:uid="{00000000-0006-0000-0200-000038000000}">
      <text/>
    </comment>
    <comment ref="L57" authorId="0" shapeId="0" xr:uid="{00000000-0006-0000-0200-000039000000}">
      <text/>
    </comment>
    <comment ref="L58" authorId="0" shapeId="0" xr:uid="{00000000-0006-0000-0200-00003A000000}">
      <text/>
    </comment>
    <comment ref="L59" authorId="0" shapeId="0" xr:uid="{00000000-0006-0000-0200-00003B000000}">
      <text/>
    </comment>
    <comment ref="L60" authorId="0" shapeId="0" xr:uid="{00000000-0006-0000-0200-00003C000000}">
      <text/>
    </comment>
    <comment ref="L61" authorId="0" shapeId="0" xr:uid="{00000000-0006-0000-0200-00003D000000}">
      <text/>
    </comment>
    <comment ref="L62" authorId="0" shapeId="0" xr:uid="{3174A178-8DBB-481D-A48C-2ED4FE3D3544}">
      <text/>
    </comment>
    <comment ref="L63" authorId="0" shapeId="0" xr:uid="{00000000-0006-0000-0200-00003F000000}">
      <text/>
    </comment>
    <comment ref="L64" authorId="0" shapeId="0" xr:uid="{00000000-0006-0000-0200-000040000000}">
      <text/>
    </comment>
    <comment ref="L65" authorId="0" shapeId="0" xr:uid="{00000000-0006-0000-0200-000041000000}">
      <text/>
    </comment>
    <comment ref="L66" authorId="0" shapeId="0" xr:uid="{00000000-0006-0000-0200-000042000000}">
      <text/>
    </comment>
    <comment ref="L70" authorId="0" shapeId="0" xr:uid="{00000000-0006-0000-0200-00004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71" authorId="0" shapeId="0" xr:uid="{00000000-0006-0000-0200-000044000000}">
      <text/>
    </comment>
    <comment ref="L72" authorId="0" shapeId="0" xr:uid="{00000000-0006-0000-0200-000045000000}">
      <text/>
    </comment>
    <comment ref="L73" authorId="0" shapeId="0" xr:uid="{00000000-0006-0000-0200-000046000000}">
      <text/>
    </comment>
    <comment ref="L74" authorId="0" shapeId="0" xr:uid="{00000000-0006-0000-0200-000047000000}">
      <text/>
    </comment>
    <comment ref="L75" authorId="0" shapeId="0" xr:uid="{00000000-0006-0000-0200-000048000000}">
      <text/>
    </comment>
    <comment ref="E76" authorId="0" shapeId="0" xr:uid="{00000000-0006-0000-0200-000049000000}">
      <text/>
    </comment>
    <comment ref="L76" authorId="0" shapeId="0" xr:uid="{00000000-0006-0000-0200-00004A000000}">
      <text/>
    </comment>
    <comment ref="E77" authorId="0" shapeId="0" xr:uid="{00000000-0006-0000-0200-00004B000000}">
      <text/>
    </comment>
    <comment ref="L77" authorId="0" shapeId="0" xr:uid="{00000000-0006-0000-0200-00004C000000}">
      <text/>
    </comment>
    <comment ref="L78" authorId="0" shapeId="0" xr:uid="{00000000-0006-0000-0200-00004D000000}">
      <text/>
    </comment>
    <comment ref="L79" authorId="0" shapeId="0" xr:uid="{00000000-0006-0000-0200-00004E000000}">
      <text/>
    </comment>
    <comment ref="L80" authorId="0" shapeId="0" xr:uid="{00000000-0006-0000-0200-00004F000000}">
      <text/>
    </comment>
    <comment ref="L81" authorId="0" shapeId="0" xr:uid="{00000000-0006-0000-0200-000050000000}">
      <text/>
    </comment>
    <comment ref="L82" authorId="0" shapeId="0" xr:uid="{00000000-0006-0000-0200-000051000000}">
      <text/>
    </comment>
    <comment ref="L83" authorId="0" shapeId="0" xr:uid="{00000000-0006-0000-0200-000052000000}">
      <text/>
    </comment>
    <comment ref="L84" authorId="0" shapeId="0" xr:uid="{C4B6FACC-1174-47C4-99C1-90FCEA0FF3DA}">
      <text/>
    </comment>
    <comment ref="L85" authorId="0" shapeId="0" xr:uid="{00000000-0006-0000-0200-000054000000}">
      <text/>
    </comment>
    <comment ref="L86" authorId="0" shapeId="0" xr:uid="{00000000-0006-0000-0200-000055000000}">
      <text/>
    </comment>
    <comment ref="L87" authorId="0" shapeId="0" xr:uid="{00000000-0006-0000-0200-000056000000}">
      <text/>
    </comment>
    <comment ref="L88" authorId="0" shapeId="0" xr:uid="{00000000-0006-0000-0200-000057000000}">
      <text/>
    </comment>
    <comment ref="L92" authorId="0" shapeId="0" xr:uid="{00000000-0006-0000-0200-00005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93" authorId="0" shapeId="0" xr:uid="{00000000-0006-0000-0200-000059000000}">
      <text/>
    </comment>
    <comment ref="L94" authorId="0" shapeId="0" xr:uid="{00000000-0006-0000-0200-00005A000000}">
      <text/>
    </comment>
    <comment ref="L95" authorId="0" shapeId="0" xr:uid="{00000000-0006-0000-0200-00005B000000}">
      <text/>
    </comment>
    <comment ref="L96" authorId="0" shapeId="0" xr:uid="{00000000-0006-0000-0200-00005C000000}">
      <text/>
    </comment>
    <comment ref="L97" authorId="0" shapeId="0" xr:uid="{00000000-0006-0000-0200-00005D000000}">
      <text/>
    </comment>
    <comment ref="E98" authorId="0" shapeId="0" xr:uid="{00000000-0006-0000-0200-00005E000000}">
      <text/>
    </comment>
    <comment ref="L98" authorId="0" shapeId="0" xr:uid="{00000000-0006-0000-0200-00005F000000}">
      <text/>
    </comment>
    <comment ref="E99" authorId="0" shapeId="0" xr:uid="{00000000-0006-0000-0200-000060000000}">
      <text/>
    </comment>
    <comment ref="L99" authorId="0" shapeId="0" xr:uid="{00000000-0006-0000-0200-000061000000}">
      <text/>
    </comment>
    <comment ref="E100" authorId="0" shapeId="0" xr:uid="{00000000-0006-0000-0200-000062000000}">
      <text/>
    </comment>
    <comment ref="L100" authorId="0" shapeId="0" xr:uid="{00000000-0006-0000-0200-000063000000}">
      <text/>
    </comment>
    <comment ref="L101" authorId="0" shapeId="0" xr:uid="{00000000-0006-0000-0200-000064000000}">
      <text/>
    </comment>
    <comment ref="L102" authorId="0" shapeId="0" xr:uid="{00000000-0006-0000-0200-000065000000}">
      <text/>
    </comment>
    <comment ref="L103" authorId="0" shapeId="0" xr:uid="{00000000-0006-0000-0200-000066000000}">
      <text/>
    </comment>
    <comment ref="L104" authorId="0" shapeId="0" xr:uid="{00000000-0006-0000-0200-000067000000}">
      <text/>
    </comment>
    <comment ref="L105" authorId="0" shapeId="0" xr:uid="{00000000-0006-0000-0200-000068000000}">
      <text/>
    </comment>
    <comment ref="L106" authorId="0" shapeId="0" xr:uid="{F3CD9B4B-80EF-47B1-B6C4-5FEF691038D2}">
      <text/>
    </comment>
    <comment ref="L107" authorId="0" shapeId="0" xr:uid="{00000000-0006-0000-0200-00006A000000}">
      <text/>
    </comment>
    <comment ref="L108" authorId="0" shapeId="0" xr:uid="{00000000-0006-0000-0200-00006B000000}">
      <text/>
    </comment>
    <comment ref="L109" authorId="0" shapeId="0" xr:uid="{00000000-0006-0000-0200-00006C000000}">
      <text/>
    </comment>
    <comment ref="L110" authorId="0" shapeId="0" xr:uid="{00000000-0006-0000-0200-00006D000000}">
      <text/>
    </comment>
    <comment ref="L114" authorId="0" shapeId="0" xr:uid="{00000000-0006-0000-0200-00006E000000}">
      <text/>
    </comment>
    <comment ref="E115" authorId="0" shapeId="0" xr:uid="{00000000-0006-0000-0200-00006F000000}">
      <text/>
    </comment>
    <comment ref="L115" authorId="0" shapeId="0" xr:uid="{00000000-0006-0000-0200-000070000000}">
      <text/>
    </comment>
    <comment ref="L116" authorId="0" shapeId="0" xr:uid="{00000000-0006-0000-0200-000071000000}">
      <text/>
    </comment>
    <comment ref="L117" authorId="0" shapeId="0" xr:uid="{00000000-0006-0000-0200-000072000000}">
      <text/>
    </comment>
    <comment ref="L118" authorId="0" shapeId="0" xr:uid="{00000000-0006-0000-0200-000073000000}">
      <text/>
    </comment>
    <comment ref="L119" authorId="0" shapeId="0" xr:uid="{00000000-0006-0000-0200-000074000000}">
      <text/>
    </comment>
    <comment ref="E120" authorId="0" shapeId="0" xr:uid="{00000000-0006-0000-0200-000075000000}">
      <text/>
    </comment>
    <comment ref="L120" authorId="0" shapeId="0" xr:uid="{F769625C-2220-437E-9DA6-5DB54A4083EF}">
      <text/>
    </comment>
    <comment ref="L121" authorId="0" shapeId="0" xr:uid="{00000000-0006-0000-0200-000077000000}">
      <text/>
    </comment>
    <comment ref="L122" authorId="0" shapeId="0" xr:uid="{00000000-0006-0000-0200-000078000000}">
      <text/>
    </comment>
    <comment ref="L123" authorId="0" shapeId="0" xr:uid="{00000000-0006-0000-0200-000079000000}">
      <text/>
    </comment>
    <comment ref="L133" authorId="0" shapeId="0" xr:uid="{00000000-0006-0000-0200-00007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4" authorId="0" shapeId="0" xr:uid="{00000000-0006-0000-0200-00007B000000}">
      <text/>
    </comment>
    <comment ref="L135" authorId="0" shapeId="0" xr:uid="{00000000-0006-0000-0200-00007C000000}">
      <text/>
    </comment>
    <comment ref="L136" authorId="0" shapeId="0" xr:uid="{00000000-0006-0000-0200-00007D000000}">
      <text/>
    </comment>
    <comment ref="L137" authorId="0" shapeId="0" xr:uid="{00000000-0006-0000-0200-00007E000000}">
      <text/>
    </comment>
    <comment ref="L138" authorId="0" shapeId="0" xr:uid="{00000000-0006-0000-0200-00007F000000}">
      <text/>
    </comment>
    <comment ref="E139" authorId="0" shapeId="0" xr:uid="{00000000-0006-0000-0200-000080000000}">
      <text/>
    </comment>
    <comment ref="L139" authorId="0" shapeId="0" xr:uid="{00000000-0006-0000-0200-000081000000}">
      <text/>
    </comment>
    <comment ref="E140" authorId="0" shapeId="0" xr:uid="{00000000-0006-0000-0200-000082000000}">
      <text/>
    </comment>
    <comment ref="L140" authorId="0" shapeId="0" xr:uid="{00000000-0006-0000-0200-000083000000}">
      <text/>
    </comment>
    <comment ref="L141" authorId="0" shapeId="0" xr:uid="{00000000-0006-0000-0200-000084000000}">
      <text/>
    </comment>
    <comment ref="L142" authorId="0" shapeId="0" xr:uid="{00000000-0006-0000-0200-000085000000}">
      <text/>
    </comment>
    <comment ref="L143" authorId="0" shapeId="0" xr:uid="{00000000-0006-0000-0200-000086000000}">
      <text/>
    </comment>
    <comment ref="L144" authorId="0" shapeId="0" xr:uid="{00000000-0006-0000-0200-000087000000}">
      <text/>
    </comment>
    <comment ref="L145" authorId="0" shapeId="0" xr:uid="{00000000-0006-0000-0200-000088000000}">
      <text/>
    </comment>
    <comment ref="L146" authorId="0" shapeId="0" xr:uid="{00000000-0006-0000-0200-000089000000}">
      <text/>
    </comment>
    <comment ref="L147" authorId="0" shapeId="0" xr:uid="{9D3E9F70-8915-4E26-AA7F-E6BE4F48CD71}">
      <text/>
    </comment>
    <comment ref="L149" authorId="0" shapeId="0" xr:uid="{00000000-0006-0000-0200-00008B000000}">
      <text/>
    </comment>
    <comment ref="L150" authorId="0" shapeId="0" xr:uid="{00000000-0006-0000-0200-00008C000000}">
      <text/>
    </comment>
    <comment ref="L151" authorId="0" shapeId="0" xr:uid="{00000000-0006-0000-0200-00008D000000}">
      <text/>
    </comment>
    <comment ref="L155" authorId="0" shapeId="0" xr:uid="{00000000-0006-0000-0200-00008E000000}">
      <text/>
    </comment>
    <comment ref="L156" authorId="0" shapeId="0" xr:uid="{00000000-0006-0000-0200-00008F000000}">
      <text/>
    </comment>
    <comment ref="L157" authorId="0" shapeId="0" xr:uid="{00000000-0006-0000-0200-000090000000}">
      <text/>
    </comment>
    <comment ref="L158" authorId="0" shapeId="0" xr:uid="{00000000-0006-0000-0200-000091000000}">
      <text/>
    </comment>
    <comment ref="L159" authorId="0" shapeId="0" xr:uid="{00000000-0006-0000-0200-000092000000}">
      <text/>
    </comment>
    <comment ref="E160" authorId="0" shapeId="0" xr:uid="{00000000-0006-0000-0200-000093000000}">
      <text/>
    </comment>
    <comment ref="L160" authorId="0" shapeId="0" xr:uid="{00000000-0006-0000-0200-000094000000}">
      <text/>
    </comment>
    <comment ref="L161" authorId="0" shapeId="0" xr:uid="{00000000-0006-0000-0200-000095000000}">
      <text/>
    </comment>
    <comment ref="L162" authorId="0" shapeId="0" xr:uid="{00000000-0006-0000-0200-000096000000}">
      <text/>
    </comment>
    <comment ref="L163" authorId="0" shapeId="0" xr:uid="{00000000-0006-0000-0200-000097000000}">
      <text/>
    </comment>
    <comment ref="L164" authorId="0" shapeId="0" xr:uid="{00000000-0006-0000-0200-000098000000}">
      <text/>
    </comment>
    <comment ref="L165" authorId="0" shapeId="0" xr:uid="{00000000-0006-0000-0200-000099000000}">
      <text/>
    </comment>
    <comment ref="L166" authorId="0" shapeId="0" xr:uid="{00000000-0006-0000-0200-00009A000000}">
      <text/>
    </comment>
    <comment ref="L167" authorId="0" shapeId="0" xr:uid="{00000000-0006-0000-0200-00009B000000}">
      <text/>
    </comment>
    <comment ref="L168" authorId="0" shapeId="0" xr:uid="{00000000-0006-0000-0200-00009C000000}">
      <text/>
    </comment>
    <comment ref="L169" authorId="0" shapeId="0" xr:uid="{00000000-0006-0000-0200-00009D000000}">
      <text/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7BF4AA9E-D55C-414C-B9D1-A01B59D02F89}">
      <text/>
    </comment>
    <comment ref="L4" authorId="0" shapeId="0" xr:uid="{9BAD4944-2E55-4E09-9717-B83720913479}">
      <text/>
    </comment>
    <comment ref="L5" authorId="0" shapeId="0" xr:uid="{805D5E91-58DA-404C-A1EB-D0D65BAE3A20}">
      <text/>
    </comment>
    <comment ref="E6" authorId="0" shapeId="0" xr:uid="{00000000-0006-0000-0300-000004000000}">
      <text/>
    </comment>
    <comment ref="L6" authorId="0" shapeId="0" xr:uid="{D7C8453D-A14D-4CC5-80AA-84C3DB62AF34}">
      <text/>
    </comment>
    <comment ref="L7" authorId="0" shapeId="0" xr:uid="{BF491D6C-DACA-4915-A1FE-0D99438FDA4C}">
      <text/>
    </comment>
    <comment ref="L8" authorId="0" shapeId="0" xr:uid="{C7D03802-2AF2-4152-9296-7623DBCCE243}">
      <text/>
    </comment>
    <comment ref="E9" authorId="0" shapeId="0" xr:uid="{00000000-0006-0000-0300-000008000000}">
      <text/>
    </comment>
    <comment ref="L9" authorId="0" shapeId="0" xr:uid="{B3FC0C4D-091A-4B54-A011-AFC671A3972F}">
      <text/>
    </comment>
    <comment ref="L10" authorId="0" shapeId="0" xr:uid="{870660CA-5182-46D5-A4D5-E4DAF08263A6}">
      <text/>
    </comment>
    <comment ref="L11" authorId="0" shapeId="0" xr:uid="{A2A5CFB6-51E0-44F7-9435-C7538D0E80BA}">
      <text/>
    </comment>
    <comment ref="L12" authorId="0" shapeId="0" xr:uid="{B55B0448-0B18-41F5-B4F0-0DF612EE0D02}">
      <text/>
    </comment>
    <comment ref="L13" authorId="0" shapeId="0" xr:uid="{753C5F44-3741-4E8F-9C62-24FAD7954533}">
      <text/>
    </comment>
    <comment ref="L14" authorId="0" shapeId="0" xr:uid="{666E7B77-7362-4F12-BEDA-EEC5BDE7F0F6}">
      <text/>
    </comment>
    <comment ref="L15" authorId="0" shapeId="0" xr:uid="{AA7802FE-0100-4592-AEB6-2C1494A3DDD2}">
      <text/>
    </comment>
    <comment ref="L16" authorId="0" shapeId="0" xr:uid="{B7267D67-0454-4DC0-80B1-94A48B91C93D}">
      <text/>
    </comment>
    <comment ref="L17" authorId="0" shapeId="0" xr:uid="{C86C20D7-BE8B-4DDE-B0A3-77ED5C724753}">
      <text/>
    </comment>
    <comment ref="L18" authorId="0" shapeId="0" xr:uid="{EBAC3238-5874-4D6C-BF74-5A60E3D35384}">
      <text/>
    </comment>
    <comment ref="L19" authorId="0" shapeId="0" xr:uid="{AB6CBDA0-752D-48B1-9187-D07C94E05D1A}">
      <text/>
    </comment>
    <comment ref="L20" authorId="0" shapeId="0" xr:uid="{B8294B6F-D652-48B5-967B-3779EDE5F3A5}">
      <text/>
    </comment>
    <comment ref="L21" authorId="0" shapeId="0" xr:uid="{40CA4C88-D3BB-4566-A6EA-EA930CD38300}">
      <text/>
    </comment>
    <comment ref="L22" authorId="0" shapeId="0" xr:uid="{897686C1-6EE6-4167-9130-373E03FB5D3F}">
      <text/>
    </comment>
    <comment ref="L28" authorId="0" shapeId="0" xr:uid="{84719E66-44B5-4C65-8C75-C23EB37B428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9" authorId="0" shapeId="0" xr:uid="{5A63375F-5426-4199-9710-358BF46760A4}">
      <text/>
    </comment>
    <comment ref="E30" authorId="0" shapeId="0" xr:uid="{00000000-0006-0000-0300-00001A000000}">
      <text/>
    </comment>
    <comment ref="L30" authorId="0" shapeId="0" xr:uid="{B9276CFB-DBC2-4A47-A431-C4E17F9209CA}">
      <text/>
    </comment>
    <comment ref="L31" authorId="0" shapeId="0" xr:uid="{E3F647AB-605A-4D73-9BE7-3BA5DF46C22A}">
      <text/>
    </comment>
    <comment ref="L32" authorId="0" shapeId="0" xr:uid="{B499CE30-76AE-4A84-80B9-DAF1E846EA0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33" authorId="0" shapeId="0" xr:uid="{00000000-0006-0000-0300-00001E000000}">
      <text/>
    </comment>
    <comment ref="L34" authorId="0" shapeId="0" xr:uid="{41446D5D-88E1-4C4D-9C79-F9EA8CF21E6B}">
      <text/>
    </comment>
    <comment ref="L35" authorId="0" shapeId="0" xr:uid="{010A9E69-ABA2-47AC-BEC3-E38D4A0B9F76}">
      <text/>
    </comment>
    <comment ref="L36" authorId="0" shapeId="0" xr:uid="{86478BFC-FC53-4679-A4EC-BC3F44D8699C}">
      <text/>
    </comment>
    <comment ref="L37" authorId="0" shapeId="0" xr:uid="{C6770484-1008-4E7B-8096-22CEA34F7DDC}">
      <text/>
    </comment>
    <comment ref="L38" authorId="0" shapeId="0" xr:uid="{BC6DB734-66D9-42F8-A8BB-D5E4F3DDF8F0}">
      <text/>
    </comment>
    <comment ref="L39" authorId="0" shapeId="0" xr:uid="{9F858ED9-D22B-4361-B460-34C2F15F7C0F}">
      <text/>
    </comment>
    <comment ref="L40" authorId="0" shapeId="0" xr:uid="{FFD20FF3-8E75-4B97-83D6-CBCD2A3CB8FD}">
      <text/>
    </comment>
    <comment ref="L41" authorId="0" shapeId="0" xr:uid="{25133F52-BA53-4B67-BD28-C08A5DE4CDFD}">
      <text/>
    </comment>
    <comment ref="L42" authorId="0" shapeId="0" xr:uid="{8914B428-1E83-42A6-862A-5C152F74CEB0}">
      <text/>
    </comment>
    <comment ref="L43" authorId="0" shapeId="0" xr:uid="{7092BCC0-9598-4421-B481-1729D542CFDB}">
      <text/>
    </comment>
    <comment ref="L44" authorId="0" shapeId="0" xr:uid="{F9C3FE3A-5708-425D-A3CD-528FA493F53E}">
      <text/>
    </comment>
    <comment ref="L45" authorId="0" shapeId="0" xr:uid="{DED9C0FA-0AD4-460C-B366-E4B9F093CBE5}">
      <text/>
    </comment>
    <comment ref="L46" authorId="0" shapeId="0" xr:uid="{C870EF7F-797E-425A-B219-46DDDBE3E6D7}">
      <text/>
    </comment>
    <comment ref="L50" authorId="0" shapeId="0" xr:uid="{A9995248-3027-4D9E-BCE6-A2E5D957618E}">
      <text/>
    </comment>
    <comment ref="L51" authorId="0" shapeId="0" xr:uid="{400FC962-29B4-489C-9C49-C61232B41A2B}">
      <text/>
    </comment>
    <comment ref="E52" authorId="0" shapeId="0" xr:uid="{00000000-0006-0000-0300-00002F000000}">
      <text/>
    </comment>
    <comment ref="L52" authorId="0" shapeId="0" xr:uid="{0C6BA867-E471-46AF-8B14-F7C77C373E74}">
      <text/>
    </comment>
    <comment ref="L53" authorId="0" shapeId="0" xr:uid="{CC233594-0749-4C3B-95DE-C8CB06D0B232}">
      <text/>
    </comment>
    <comment ref="L54" authorId="0" shapeId="0" xr:uid="{ACF0BB7D-0DEF-426C-BF41-2ABBEDC01C8C}">
      <text/>
    </comment>
    <comment ref="E55" authorId="0" shapeId="0" xr:uid="{00000000-0006-0000-0300-000033000000}">
      <text/>
    </comment>
    <comment ref="L55" authorId="0" shapeId="0" xr:uid="{E14F5CE2-951C-4EDF-9D3B-D43C72F57811}">
      <text/>
    </comment>
    <comment ref="L56" authorId="0" shapeId="0" xr:uid="{AFF02374-1796-46BA-BCC3-F97A7C0FACA4}">
      <text/>
    </comment>
    <comment ref="L57" authorId="0" shapeId="0" xr:uid="{A207A627-3363-4E8B-B22F-030D51061CA7}">
      <text/>
    </comment>
    <comment ref="L58" authorId="0" shapeId="0" xr:uid="{CFB30614-B718-4412-94FA-D006735A0A7C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9" authorId="0" shapeId="0" xr:uid="{CC52EA01-DFF1-47A5-BA1F-D5DB21D07710}">
      <text/>
    </comment>
    <comment ref="L60" authorId="0" shapeId="0" xr:uid="{9AAF78E1-893F-43E0-BFA4-D3E32F470E69}">
      <text/>
    </comment>
    <comment ref="L61" authorId="0" shapeId="0" xr:uid="{8CBA5376-74FF-47F0-9622-A3117F6197E7}">
      <text/>
    </comment>
    <comment ref="L62" authorId="0" shapeId="0" xr:uid="{6BC76C18-792F-4D67-8324-FFFC10067E47}">
      <text/>
    </comment>
    <comment ref="L63" authorId="0" shapeId="0" xr:uid="{C0BCF950-E749-43BD-AC65-11DD5C93D6A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4" authorId="0" shapeId="0" xr:uid="{7AA70295-76F7-4AA2-8995-FDAB0BB423F1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5" authorId="0" shapeId="0" xr:uid="{2359D338-9A09-40C1-AE49-A205BE4D8C7A}">
      <text/>
    </comment>
    <comment ref="L66" authorId="0" shapeId="0" xr:uid="{88E8E7CA-8716-401A-A6A5-E538F5DDE222}">
      <text/>
    </comment>
    <comment ref="L67" authorId="0" shapeId="0" xr:uid="{C92986A3-1E35-4B41-AE3D-CCD4CED0965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8" authorId="0" shapeId="0" xr:uid="{0DE664DA-1CA5-442B-A468-946E71F3D55C}">
      <text/>
    </comment>
    <comment ref="L69" authorId="0" shapeId="0" xr:uid="{C063A26D-7E21-4DF0-921C-71AA11938F0C}">
      <text/>
    </comment>
    <comment ref="L70" authorId="0" shapeId="0" xr:uid="{B21C7F61-2230-4A32-8DF9-34871F12AC6C}">
      <text/>
    </comment>
    <comment ref="L71" authorId="0" shapeId="0" xr:uid="{E1EEB6A4-649E-4351-A513-EBEC8EBB144F}">
      <text/>
    </comment>
    <comment ref="L72" authorId="0" shapeId="0" xr:uid="{E3E79542-CCB0-4839-BEBD-D6D3C71C3CDE}">
      <text/>
    </comment>
    <comment ref="L73" authorId="0" shapeId="0" xr:uid="{0C39A4E3-8267-4FAA-9091-341FF7F8990F}">
      <text/>
    </comment>
    <comment ref="L77" authorId="0" shapeId="0" xr:uid="{75B173CF-F812-401C-B503-F98D457B6DCB}">
      <text/>
    </comment>
    <comment ref="L78" authorId="0" shapeId="0" xr:uid="{EE2A0F98-22B0-4961-BCCF-89442577853A}">
      <text/>
    </comment>
    <comment ref="L79" authorId="0" shapeId="0" xr:uid="{8051D171-CA30-4E1A-B303-F33723017C7E}">
      <text/>
    </comment>
    <comment ref="E80" authorId="0" shapeId="0" xr:uid="{00000000-0006-0000-0300-00004A000000}">
      <text/>
    </comment>
    <comment ref="L80" authorId="0" shapeId="0" xr:uid="{88E06E8A-0D8D-4FC4-AD9B-79FC190E8D7B}">
      <text/>
    </comment>
    <comment ref="L81" authorId="0" shapeId="0" xr:uid="{A0F12C3D-0543-483C-B773-3B7AC1DCF1C6}">
      <text/>
    </comment>
    <comment ref="L82" authorId="0" shapeId="0" xr:uid="{93ED21ED-89EE-4B49-9EFC-76358B49A4E2}">
      <text/>
    </comment>
    <comment ref="E83" authorId="0" shapeId="0" xr:uid="{00000000-0006-0000-0300-00004E000000}">
      <text/>
    </comment>
    <comment ref="L83" authorId="0" shapeId="0" xr:uid="{46E7916A-3E90-4945-9026-ED269EF0EBEA}">
      <text/>
    </comment>
    <comment ref="L84" authorId="0" shapeId="0" xr:uid="{DB00F786-497A-469B-A82F-D94014A96D32}">
      <text/>
    </comment>
    <comment ref="L85" authorId="0" shapeId="0" xr:uid="{E1006B72-43DE-4E2C-8D49-95A9BEB6C5F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6" authorId="0" shapeId="0" xr:uid="{78FE409B-332B-47D7-B854-CE849682B62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DA2F5237-3C2B-405C-A3E0-FDC1F232495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8" authorId="0" shapeId="0" xr:uid="{896D7922-D6BC-4FCA-9BF9-D94CDF7F43B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9" authorId="0" shapeId="0" xr:uid="{C837744C-95A7-46C1-816A-A86A60624C47}">
      <text/>
    </comment>
    <comment ref="L90" authorId="0" shapeId="0" xr:uid="{92EFB5C9-7C80-4851-BE6A-11BADED15320}">
      <text/>
    </comment>
    <comment ref="L91" authorId="0" shapeId="0" xr:uid="{5E1A9415-9714-45B9-974D-ED95A611704E}">
      <text/>
    </comment>
    <comment ref="L92" authorId="0" shapeId="0" xr:uid="{EA15EB1A-6F26-4AB1-94FB-38C0E75418E6}">
      <text/>
    </comment>
    <comment ref="L93" authorId="0" shapeId="0" xr:uid="{A0615EB8-4EF6-4DF9-B687-2569C27EB24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94" authorId="0" shapeId="0" xr:uid="{95C9BC44-F305-485E-9E34-66ED7867341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95" authorId="0" shapeId="0" xr:uid="{6463D767-EB71-495F-B760-539B7036C44E}">
      <text/>
    </comment>
    <comment ref="L96" authorId="0" shapeId="0" xr:uid="{B1DEC094-E4E8-4184-AF21-C5CC92844831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97" authorId="0" shapeId="0" xr:uid="{BA438D08-BDA3-43E6-9732-94CC3B72973F}">
      <text/>
    </comment>
    <comment ref="L98" authorId="0" shapeId="0" xr:uid="{D78FF139-56CF-4075-81C4-7B89D2DF054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99" authorId="0" shapeId="0" xr:uid="{BDF28E39-A886-4D79-BC8A-AEE53A540D1C}">
      <text/>
    </comment>
    <comment ref="L100" authorId="0" shapeId="0" xr:uid="{3255F959-5E26-4C66-9E22-C2F0D6750D65}">
      <text/>
    </comment>
    <comment ref="L104" authorId="0" shapeId="0" xr:uid="{B2915C88-7A04-44D8-A589-28B15A2C0B9D}">
      <text/>
    </comment>
    <comment ref="E105" authorId="0" shapeId="0" xr:uid="{00000000-0006-0000-0300-000062000000}">
      <text/>
    </comment>
    <comment ref="L105" authorId="0" shapeId="0" xr:uid="{928601AA-F11B-4AE2-BB3D-7F158FBC7699}">
      <text/>
    </comment>
    <comment ref="L106" authorId="0" shapeId="0" xr:uid="{6B436E34-964D-4973-AE37-9260F41DE381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07" authorId="0" shapeId="0" xr:uid="{A0F3DAEC-5AA0-4FDC-A96A-7EFA3F3602E6}">
      <text/>
    </comment>
    <comment ref="E108" authorId="0" shapeId="0" xr:uid="{00000000-0006-0000-0300-000066000000}">
      <text/>
    </comment>
    <comment ref="L108" authorId="0" shapeId="0" xr:uid="{B54958B8-A62A-43E7-A167-5C1F1C6D85CD}">
      <text/>
    </comment>
    <comment ref="L109" authorId="0" shapeId="0" xr:uid="{B19BFBDD-C708-479F-88EA-A3615EDD6A2A}">
      <text/>
    </comment>
    <comment ref="L110" authorId="0" shapeId="0" xr:uid="{79B5543C-416E-4E3F-AD72-B41FC0932BBB}">
      <text/>
    </comment>
    <comment ref="L111" authorId="0" shapeId="0" xr:uid="{15CA7286-EC40-4F81-95D7-96B560DF607E}">
      <text/>
    </comment>
    <comment ref="L112" authorId="0" shapeId="0" xr:uid="{F1667A74-A475-449A-943A-6D223E9F9FF7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3" authorId="0" shapeId="0" xr:uid="{B195FE60-1E90-4DFE-BE6B-565454EFF531}">
      <text/>
    </comment>
    <comment ref="L114" authorId="0" shapeId="0" xr:uid="{AB86E164-9F66-48E4-9612-F145EF2C09C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873A7127-87D9-4277-9D38-982CB09AB3CA}">
      <text/>
    </comment>
    <comment ref="L116" authorId="0" shapeId="0" xr:uid="{2B759925-141B-4073-BB27-DAF0697CD8EE}">
      <text/>
    </comment>
    <comment ref="L117" authorId="0" shapeId="0" xr:uid="{283E4062-DEA3-465D-BD48-D0BF52C2BBA3}">
      <text/>
    </comment>
    <comment ref="L118" authorId="0" shapeId="0" xr:uid="{9411ACC6-676A-495E-95D1-CDE592D24DB7}">
      <text/>
    </comment>
    <comment ref="L119" authorId="0" shapeId="0" xr:uid="{22E22A77-E417-44C5-9D16-51A6EA70C58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0" authorId="0" shapeId="0" xr:uid="{C2BC1700-E608-4379-8001-087FDE555D0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779D08B5-AAE5-48F6-A259-4130A0C2100A}">
      <text/>
    </comment>
    <comment ref="L122" authorId="0" shapeId="0" xr:uid="{91BD5068-EB12-4C56-84F2-96B347A2299E}">
      <text/>
    </comment>
    <comment ref="L123" authorId="0" shapeId="0" xr:uid="{A4234D49-0645-42F7-809C-5718AD318A63}">
      <text/>
    </comment>
    <comment ref="L124" authorId="0" shapeId="0" xr:uid="{95271A21-C01E-49EE-8382-A9F9B77E96D4}">
      <text/>
    </comment>
    <comment ref="L125" authorId="0" shapeId="0" xr:uid="{E0F52B54-7D6C-48DA-849A-96B97AB4398C}">
      <text/>
    </comment>
    <comment ref="L131" authorId="0" shapeId="0" xr:uid="{EB000729-24C7-4B8F-9C79-56CA8C3C0072}">
      <text/>
    </comment>
    <comment ref="E132" authorId="0" shapeId="0" xr:uid="{00000000-0006-0000-0300-00007C000000}">
      <text/>
    </comment>
    <comment ref="L132" authorId="0" shapeId="0" xr:uid="{DAB28F7B-D21E-42B8-8E24-BCCAAE8B9C9D}">
      <text/>
    </comment>
    <comment ref="L133" authorId="0" shapeId="0" xr:uid="{CB396798-91EA-42B3-9EDD-A4459CFDB99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4" authorId="0" shapeId="0" xr:uid="{BB03116C-E131-4DC9-BEF0-DDD49AD1CC03}">
      <text/>
    </comment>
    <comment ref="E135" authorId="0" shapeId="0" xr:uid="{00000000-0006-0000-0300-000080000000}">
      <text/>
    </comment>
    <comment ref="L135" authorId="0" shapeId="0" xr:uid="{18234405-07FA-43C9-9B6E-34F61F457A46}">
      <text/>
    </comment>
    <comment ref="L136" authorId="0" shapeId="0" xr:uid="{8DF7A14A-3A39-4C02-ACFE-9ECB426859C4}">
      <text/>
    </comment>
    <comment ref="L137" authorId="0" shapeId="0" xr:uid="{6536954F-2D03-4D64-854E-55F6DF1E3B54}">
      <text/>
    </comment>
    <comment ref="L138" authorId="0" shapeId="0" xr:uid="{D4FDFA86-1E39-4A81-B727-A2A6F69D2055}">
      <text/>
    </comment>
    <comment ref="L139" authorId="0" shapeId="0" xr:uid="{9925D667-73B1-4A3F-952F-AADBBDEBBE4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0" authorId="0" shapeId="0" xr:uid="{776C5249-7DF7-4792-BDCE-F93919FC521E}">
      <text/>
    </comment>
    <comment ref="L141" authorId="0" shapeId="0" xr:uid="{E01C7055-FCC0-436B-B9BD-0EC72CAF2271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2" authorId="0" shapeId="0" xr:uid="{47CD4EC7-7539-41AE-934A-73384A407EE1}">
      <text/>
    </comment>
    <comment ref="L143" authorId="0" shapeId="0" xr:uid="{19E61077-1C61-474F-B0D3-84AE94A30B79}">
      <text/>
    </comment>
    <comment ref="L144" authorId="0" shapeId="0" xr:uid="{377FF3EA-ADBC-4D62-B578-3226CE04B2D3}">
      <text/>
    </comment>
    <comment ref="L145" authorId="0" shapeId="0" xr:uid="{963D8E15-92E8-45BB-9279-31488BF1E2E0}">
      <text/>
    </comment>
    <comment ref="L146" authorId="0" shapeId="0" xr:uid="{0D767135-9C2C-40A1-A251-16D70AF6033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808CBA78-A4D5-44F0-B33F-13F2FB7DB429}">
      <text/>
    </comment>
    <comment ref="L148" authorId="0" shapeId="0" xr:uid="{35C75071-1E78-4B8E-AF37-CA5A9AD8912C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9" authorId="0" shapeId="0" xr:uid="{33246B68-C19D-4AF5-B09B-603E51A61BFF}">
      <text/>
    </comment>
    <comment ref="L150" authorId="0" shapeId="0" xr:uid="{4901687A-4299-467F-B2CC-2A6F5905E9D7}">
      <text/>
    </comment>
    <comment ref="L151" authorId="0" shapeId="0" xr:uid="{A94CD65D-5109-48DD-AA61-B670D2A0D8BD}">
      <text/>
    </comment>
    <comment ref="L152" authorId="0" shapeId="0" xr:uid="{0206E536-D92C-4409-A1C0-0EC2C1A345BC}">
      <text/>
    </comment>
    <comment ref="L153" authorId="0" shapeId="0" xr:uid="{D2968F78-AE72-4368-BDFD-7044E4BB7E71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400-000001000000}">
      <text/>
    </comment>
    <comment ref="L4" authorId="0" shapeId="0" xr:uid="{00000000-0006-0000-0400-000002000000}">
      <text/>
    </comment>
    <comment ref="E5" authorId="0" shapeId="0" xr:uid="{00000000-0006-0000-0400-000003000000}">
      <text/>
    </comment>
    <comment ref="L5" authorId="0" shapeId="0" xr:uid="{8E16F39F-C65E-41A5-96EB-7C14E6671B26}">
      <text/>
    </comment>
    <comment ref="L6" authorId="0" shapeId="0" xr:uid="{6CFA55F9-F812-4AF5-B3E6-65CA96571F5D}">
      <text/>
    </comment>
    <comment ref="L7" authorId="0" shapeId="0" xr:uid="{149C3FB3-CD09-4EBA-B53D-E17023A17730}">
      <text/>
    </comment>
    <comment ref="E8" authorId="0" shapeId="0" xr:uid="{00000000-0006-0000-0400-000007000000}">
      <text/>
    </comment>
    <comment ref="L9" authorId="0" shapeId="0" xr:uid="{A4520DAC-00AD-4135-A796-6E4EEEFD9C78}">
      <text/>
    </comment>
    <comment ref="L10" authorId="0" shapeId="0" xr:uid="{11CB48E2-C36F-48A9-A100-C6FC4269E786}">
      <text/>
    </comment>
    <comment ref="E11" authorId="0" shapeId="0" xr:uid="{00000000-0006-0000-0400-000009000000}">
      <text/>
    </comment>
    <comment ref="L11" authorId="0" shapeId="0" xr:uid="{F27F32AF-8AE8-4CD5-8F6F-C0C6A06E0D0C}">
      <text/>
    </comment>
    <comment ref="E12" authorId="0" shapeId="0" xr:uid="{00000000-0006-0000-0400-00000B000000}">
      <text/>
    </comment>
    <comment ref="L12" authorId="0" shapeId="0" xr:uid="{BDEFE788-D134-4F40-BA4E-AE8C8DD66696}">
      <text/>
    </comment>
    <comment ref="L13" authorId="0" shapeId="0" xr:uid="{00000000-0006-0000-0400-00000E000000}">
      <text/>
    </comment>
    <comment ref="L14" authorId="0" shapeId="0" xr:uid="{00000000-0006-0000-0400-00000F000000}">
      <text/>
    </comment>
    <comment ref="L15" authorId="0" shapeId="0" xr:uid="{00000000-0006-0000-0400-000010000000}">
      <text/>
    </comment>
    <comment ref="L16" authorId="0" shapeId="0" xr:uid="{00000000-0006-0000-0400-000011000000}">
      <text/>
    </comment>
    <comment ref="L17" authorId="0" shapeId="0" xr:uid="{00000000-0006-0000-0400-000012000000}">
      <text/>
    </comment>
    <comment ref="L18" authorId="0" shapeId="0" xr:uid="{00000000-0006-0000-0400-00001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00000000-0006-0000-0400-000014000000}">
      <text/>
    </comment>
    <comment ref="L20" authorId="0" shapeId="0" xr:uid="{00000000-0006-0000-0400-000015000000}">
      <text/>
    </comment>
    <comment ref="L21" authorId="0" shapeId="0" xr:uid="{00000000-0006-0000-0400-000016000000}">
      <text/>
    </comment>
    <comment ref="L22" authorId="0" shapeId="0" xr:uid="{00000000-0006-0000-0400-000017000000}">
      <text/>
    </comment>
    <comment ref="L23" authorId="0" shapeId="0" xr:uid="{00000000-0006-0000-0400-000018000000}">
      <text/>
    </comment>
    <comment ref="L24" authorId="0" shapeId="0" xr:uid="{00000000-0006-0000-0400-000019000000}">
      <text/>
    </comment>
    <comment ref="L25" authorId="0" shapeId="0" xr:uid="{00000000-0006-0000-0400-00001A000000}">
      <text/>
    </comment>
    <comment ref="L26" authorId="0" shapeId="0" xr:uid="{00000000-0006-0000-0400-00001B000000}">
      <text/>
    </comment>
    <comment ref="L27" authorId="0" shapeId="0" xr:uid="{00000000-0006-0000-0400-00001C000000}">
      <text/>
    </comment>
    <comment ref="L28" authorId="0" shapeId="0" xr:uid="{00000000-0006-0000-0400-00001D000000}">
      <text/>
    </comment>
    <comment ref="L30" authorId="0" shapeId="0" xr:uid="{00000000-0006-0000-0400-00001E000000}">
      <text/>
    </comment>
    <comment ref="L31" authorId="0" shapeId="0" xr:uid="{00000000-0006-0000-0400-00001F000000}">
      <text/>
    </comment>
    <comment ref="L35" authorId="0" shapeId="0" xr:uid="{00000000-0006-0000-0400-000020000000}">
      <text/>
    </comment>
    <comment ref="L36" authorId="0" shapeId="0" xr:uid="{00000000-0006-0000-0400-000021000000}">
      <text/>
    </comment>
    <comment ref="E37" authorId="0" shapeId="0" xr:uid="{00000000-0006-0000-0400-000022000000}">
      <text/>
    </comment>
    <comment ref="L37" authorId="0" shapeId="0" xr:uid="{00000000-0006-0000-0400-000023000000}">
      <text/>
    </comment>
    <comment ref="L38" authorId="0" shapeId="0" xr:uid="{00000000-0006-0000-0400-000024000000}">
      <text/>
    </comment>
    <comment ref="L39" authorId="0" shapeId="0" xr:uid="{00000000-0006-0000-0400-000025000000}">
      <text/>
    </comment>
    <comment ref="E40" authorId="0" shapeId="0" xr:uid="{00000000-0006-0000-0400-000026000000}">
      <text/>
    </comment>
    <comment ref="L41" authorId="0" shapeId="0" xr:uid="{00000000-0006-0000-0400-000027000000}">
      <text/>
    </comment>
    <comment ref="E42" authorId="0" shapeId="0" xr:uid="{00000000-0006-0000-0400-000028000000}">
      <text/>
    </comment>
    <comment ref="L42" authorId="0" shapeId="0" xr:uid="{00000000-0006-0000-0400-000029000000}">
      <text/>
    </comment>
    <comment ref="E43" authorId="0" shapeId="0" xr:uid="{00000000-0006-0000-0400-00002A000000}">
      <text/>
    </comment>
    <comment ref="L43" authorId="0" shapeId="0" xr:uid="{00000000-0006-0000-0400-00002B000000}">
      <text/>
    </comment>
    <comment ref="L44" authorId="0" shapeId="0" xr:uid="{00000000-0006-0000-0400-00002C000000}">
      <text/>
    </comment>
    <comment ref="L45" authorId="0" shapeId="0" xr:uid="{00000000-0006-0000-0400-00002D000000}">
      <text/>
    </comment>
    <comment ref="L46" authorId="0" shapeId="0" xr:uid="{00000000-0006-0000-0400-00002E000000}">
      <text/>
    </comment>
    <comment ref="L47" authorId="0" shapeId="0" xr:uid="{00000000-0006-0000-0400-00002F000000}">
      <text/>
    </comment>
    <comment ref="L48" authorId="0" shapeId="0" xr:uid="{00000000-0006-0000-0400-000030000000}">
      <text/>
    </comment>
    <comment ref="L49" authorId="0" shapeId="0" xr:uid="{00000000-0006-0000-0400-000031000000}">
      <text/>
    </comment>
    <comment ref="L50" authorId="0" shapeId="0" xr:uid="{00000000-0006-0000-0400-00003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00000000-0006-0000-0400-000033000000}">
      <text/>
    </comment>
    <comment ref="L52" authorId="0" shapeId="0" xr:uid="{00000000-0006-0000-0400-000034000000}">
      <text/>
    </comment>
    <comment ref="L53" authorId="0" shapeId="0" xr:uid="{00000000-0006-0000-0400-000035000000}">
      <text/>
    </comment>
    <comment ref="L54" authorId="0" shapeId="0" xr:uid="{00000000-0006-0000-0400-000036000000}">
      <text/>
    </comment>
    <comment ref="L55" authorId="0" shapeId="0" xr:uid="{00000000-0006-0000-0400-000037000000}">
      <text/>
    </comment>
    <comment ref="L56" authorId="0" shapeId="0" xr:uid="{00000000-0006-0000-0400-000038000000}">
      <text/>
    </comment>
    <comment ref="L57" authorId="0" shapeId="0" xr:uid="{00000000-0006-0000-0400-000039000000}">
      <text/>
    </comment>
    <comment ref="L58" authorId="0" shapeId="0" xr:uid="{00000000-0006-0000-0400-00003A000000}">
      <text/>
    </comment>
    <comment ref="L59" authorId="0" shapeId="0" xr:uid="{00000000-0006-0000-0400-00003B000000}">
      <text/>
    </comment>
    <comment ref="L60" authorId="0" shapeId="0" xr:uid="{00000000-0006-0000-0400-00003C000000}">
      <text/>
    </comment>
    <comment ref="L62" authorId="0" shapeId="0" xr:uid="{00000000-0006-0000-0400-00003D000000}">
      <text/>
    </comment>
    <comment ref="L63" authorId="0" shapeId="0" xr:uid="{00000000-0006-0000-0400-00003E000000}">
      <text/>
    </comment>
    <comment ref="L67" authorId="0" shapeId="0" xr:uid="{00000000-0006-0000-0400-00003F000000}">
      <text/>
    </comment>
    <comment ref="L68" authorId="0" shapeId="0" xr:uid="{00000000-0006-0000-0400-000040000000}">
      <text/>
    </comment>
    <comment ref="E69" authorId="0" shapeId="0" xr:uid="{00000000-0006-0000-0400-000041000000}">
      <text/>
    </comment>
    <comment ref="L69" authorId="0" shapeId="0" xr:uid="{00000000-0006-0000-0400-000042000000}">
      <text/>
    </comment>
    <comment ref="L70" authorId="0" shapeId="0" xr:uid="{00000000-0006-0000-0400-000043000000}">
      <text/>
    </comment>
    <comment ref="L71" authorId="0" shapeId="0" xr:uid="{00000000-0006-0000-0400-000044000000}">
      <text/>
    </comment>
    <comment ref="E72" authorId="0" shapeId="0" xr:uid="{00000000-0006-0000-0400-000045000000}">
      <text/>
    </comment>
    <comment ref="L73" authorId="0" shapeId="0" xr:uid="{00000000-0006-0000-0400-000046000000}">
      <text/>
    </comment>
    <comment ref="E74" authorId="0" shapeId="0" xr:uid="{00000000-0006-0000-0400-000047000000}">
      <text/>
    </comment>
    <comment ref="L74" authorId="0" shapeId="0" xr:uid="{00000000-0006-0000-0400-000048000000}">
      <text/>
    </comment>
    <comment ref="E75" authorId="0" shapeId="0" xr:uid="{00000000-0006-0000-0400-000049000000}">
      <text/>
    </comment>
    <comment ref="L75" authorId="0" shapeId="0" xr:uid="{00000000-0006-0000-0400-00004A000000}">
      <text/>
    </comment>
    <comment ref="L76" authorId="0" shapeId="0" xr:uid="{00000000-0006-0000-0400-00004B000000}">
      <text/>
    </comment>
    <comment ref="L77" authorId="0" shapeId="0" xr:uid="{00000000-0006-0000-0400-00004C000000}">
      <text/>
    </comment>
    <comment ref="L78" authorId="0" shapeId="0" xr:uid="{00000000-0006-0000-0400-00004D000000}">
      <text/>
    </comment>
    <comment ref="L79" authorId="0" shapeId="0" xr:uid="{00000000-0006-0000-0400-00004E000000}">
      <text/>
    </comment>
    <comment ref="L80" authorId="0" shapeId="0" xr:uid="{00000000-0006-0000-0400-00004F000000}">
      <text/>
    </comment>
    <comment ref="L81" authorId="0" shapeId="0" xr:uid="{00000000-0006-0000-0400-000050000000}">
      <text/>
    </comment>
    <comment ref="L82" authorId="0" shapeId="0" xr:uid="{00000000-0006-0000-04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0000000-0006-0000-0400-000052000000}">
      <text/>
    </comment>
    <comment ref="L84" authorId="0" shapeId="0" xr:uid="{00000000-0006-0000-0400-000053000000}">
      <text/>
    </comment>
    <comment ref="L85" authorId="0" shapeId="0" xr:uid="{00000000-0006-0000-0400-000054000000}">
      <text/>
    </comment>
    <comment ref="L86" authorId="0" shapeId="0" xr:uid="{00000000-0006-0000-0400-000055000000}">
      <text/>
    </comment>
    <comment ref="L87" authorId="0" shapeId="0" xr:uid="{00000000-0006-0000-0400-000056000000}">
      <text/>
    </comment>
    <comment ref="L88" authorId="0" shapeId="0" xr:uid="{00000000-0006-0000-0400-000057000000}">
      <text/>
    </comment>
    <comment ref="L89" authorId="0" shapeId="0" xr:uid="{00000000-0006-0000-0400-000058000000}">
      <text/>
    </comment>
    <comment ref="L90" authorId="0" shapeId="0" xr:uid="{00000000-0006-0000-0400-000059000000}">
      <text/>
    </comment>
    <comment ref="L91" authorId="0" shapeId="0" xr:uid="{00000000-0006-0000-0400-00005A000000}">
      <text/>
    </comment>
    <comment ref="L92" authorId="0" shapeId="0" xr:uid="{00000000-0006-0000-0400-00005B000000}">
      <text/>
    </comment>
    <comment ref="L94" authorId="0" shapeId="0" xr:uid="{00000000-0006-0000-0400-00005C000000}">
      <text/>
    </comment>
    <comment ref="L95" authorId="0" shapeId="0" xr:uid="{00000000-0006-0000-0400-00005D000000}">
      <text/>
    </comment>
    <comment ref="L99" authorId="0" shapeId="0" xr:uid="{00000000-0006-0000-0400-00005E000000}">
      <text/>
    </comment>
    <comment ref="L100" authorId="0" shapeId="0" xr:uid="{00000000-0006-0000-0400-00005F000000}">
      <text/>
    </comment>
    <comment ref="E101" authorId="0" shapeId="0" xr:uid="{00000000-0006-0000-0400-000060000000}">
      <text/>
    </comment>
    <comment ref="L101" authorId="0" shapeId="0" xr:uid="{00000000-0006-0000-0400-000061000000}">
      <text/>
    </comment>
    <comment ref="L102" authorId="0" shapeId="0" xr:uid="{00000000-0006-0000-0400-000062000000}">
      <text/>
    </comment>
    <comment ref="L103" authorId="0" shapeId="0" xr:uid="{00000000-0006-0000-0400-000063000000}">
      <text/>
    </comment>
    <comment ref="E104" authorId="0" shapeId="0" xr:uid="{00000000-0006-0000-0400-000064000000}">
      <text/>
    </comment>
    <comment ref="L105" authorId="0" shapeId="0" xr:uid="{00000000-0006-0000-0400-000065000000}">
      <text/>
    </comment>
    <comment ref="L106" authorId="0" shapeId="0" xr:uid="{00000000-0006-0000-0400-000066000000}">
      <text/>
    </comment>
    <comment ref="E107" authorId="0" shapeId="0" xr:uid="{00000000-0006-0000-0400-000067000000}">
      <text/>
    </comment>
    <comment ref="L107" authorId="0" shapeId="0" xr:uid="{00000000-0006-0000-0400-000068000000}">
      <text/>
    </comment>
    <comment ref="E108" authorId="0" shapeId="0" xr:uid="{00000000-0006-0000-0400-000069000000}">
      <text/>
    </comment>
    <comment ref="L108" authorId="0" shapeId="0" xr:uid="{00000000-0006-0000-0400-00006A000000}">
      <text/>
    </comment>
    <comment ref="L109" authorId="0" shapeId="0" xr:uid="{00000000-0006-0000-0400-00006B000000}">
      <text/>
    </comment>
    <comment ref="L110" authorId="0" shapeId="0" xr:uid="{00000000-0006-0000-0400-00006C000000}">
      <text/>
    </comment>
    <comment ref="L111" authorId="0" shapeId="0" xr:uid="{00000000-0006-0000-0400-00006D000000}">
      <text/>
    </comment>
    <comment ref="L112" authorId="0" shapeId="0" xr:uid="{00000000-0006-0000-0400-00006E000000}">
      <text/>
    </comment>
    <comment ref="L113" authorId="0" shapeId="0" xr:uid="{00000000-0006-0000-0400-00006F000000}">
      <text/>
    </comment>
    <comment ref="L114" authorId="0" shapeId="0" xr:uid="{00000000-0006-0000-0400-00007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00000000-0006-0000-0400-000071000000}">
      <text/>
    </comment>
    <comment ref="L116" authorId="0" shapeId="0" xr:uid="{00000000-0006-0000-0400-000072000000}">
      <text/>
    </comment>
    <comment ref="L117" authorId="0" shapeId="0" xr:uid="{00000000-0006-0000-0400-000073000000}">
      <text/>
    </comment>
    <comment ref="L118" authorId="0" shapeId="0" xr:uid="{00000000-0006-0000-0400-000074000000}">
      <text/>
    </comment>
    <comment ref="L119" authorId="0" shapeId="0" xr:uid="{00000000-0006-0000-0400-000075000000}">
      <text/>
    </comment>
    <comment ref="L120" authorId="0" shapeId="0" xr:uid="{00000000-0006-0000-0400-00007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00000000-0006-0000-0400-00007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00000000-0006-0000-0400-000078000000}">
      <text/>
    </comment>
    <comment ref="L123" authorId="0" shapeId="0" xr:uid="{00000000-0006-0000-0400-00007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00000000-0006-0000-0400-00007A000000}">
      <text/>
    </comment>
    <comment ref="L126" authorId="0" shapeId="0" xr:uid="{00000000-0006-0000-0400-00007B000000}">
      <text/>
    </comment>
    <comment ref="L127" authorId="0" shapeId="0" xr:uid="{00000000-0006-0000-0400-00007C000000}">
      <text/>
    </comment>
    <comment ref="L131" authorId="0" shapeId="0" xr:uid="{00000000-0006-0000-0400-00007D000000}">
      <text/>
    </comment>
    <comment ref="L132" authorId="0" shapeId="0" xr:uid="{00000000-0006-0000-0400-00007E000000}">
      <text/>
    </comment>
    <comment ref="E133" authorId="0" shapeId="0" xr:uid="{00000000-0006-0000-0400-00007F000000}">
      <text/>
    </comment>
    <comment ref="L133" authorId="0" shapeId="0" xr:uid="{00000000-0006-0000-0400-000080000000}">
      <text/>
    </comment>
    <comment ref="L134" authorId="0" shapeId="0" xr:uid="{00000000-0006-0000-0400-000081000000}">
      <text/>
    </comment>
    <comment ref="L135" authorId="0" shapeId="0" xr:uid="{00000000-0006-0000-0400-000082000000}">
      <text/>
    </comment>
    <comment ref="E136" authorId="0" shapeId="0" xr:uid="{00000000-0006-0000-0400-000083000000}">
      <text/>
    </comment>
    <comment ref="L137" authorId="0" shapeId="0" xr:uid="{00000000-0006-0000-0400-000084000000}">
      <text/>
    </comment>
    <comment ref="E138" authorId="0" shapeId="0" xr:uid="{00000000-0006-0000-0400-000085000000}">
      <text/>
    </comment>
    <comment ref="L138" authorId="0" shapeId="0" xr:uid="{00000000-0006-0000-0400-000086000000}">
      <text/>
    </comment>
    <comment ref="E139" authorId="0" shapeId="0" xr:uid="{00000000-0006-0000-0400-000087000000}">
      <text/>
    </comment>
    <comment ref="L139" authorId="0" shapeId="0" xr:uid="{00000000-0006-0000-0400-000088000000}">
      <text/>
    </comment>
    <comment ref="L140" authorId="0" shapeId="0" xr:uid="{00000000-0006-0000-0400-000089000000}">
      <text/>
    </comment>
    <comment ref="L141" authorId="0" shapeId="0" xr:uid="{00000000-0006-0000-0400-00008A000000}">
      <text/>
    </comment>
    <comment ref="L142" authorId="0" shapeId="0" xr:uid="{00000000-0006-0000-0400-00008B000000}">
      <text/>
    </comment>
    <comment ref="L143" authorId="0" shapeId="0" xr:uid="{00000000-0006-0000-0400-00008C000000}">
      <text/>
    </comment>
    <comment ref="L144" authorId="0" shapeId="0" xr:uid="{00000000-0006-0000-0400-00008D000000}">
      <text/>
    </comment>
    <comment ref="L145" authorId="0" shapeId="0" xr:uid="{00000000-0006-0000-0400-00008E000000}">
      <text/>
    </comment>
    <comment ref="L146" authorId="0" shapeId="0" xr:uid="{00000000-0006-0000-0400-00008F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00000000-0006-0000-0400-000090000000}">
      <text/>
    </comment>
    <comment ref="L148" authorId="0" shapeId="0" xr:uid="{00000000-0006-0000-0400-000091000000}">
      <text/>
    </comment>
    <comment ref="L149" authorId="0" shapeId="0" xr:uid="{00000000-0006-0000-0400-000092000000}">
      <text/>
    </comment>
    <comment ref="L150" authorId="0" shapeId="0" xr:uid="{00000000-0006-0000-0400-000093000000}">
      <text/>
    </comment>
    <comment ref="L151" authorId="0" shapeId="0" xr:uid="{00000000-0006-0000-0400-000094000000}">
      <text/>
    </comment>
    <comment ref="L152" authorId="0" shapeId="0" xr:uid="{00000000-0006-0000-0400-000095000000}">
      <text/>
    </comment>
    <comment ref="L153" authorId="0" shapeId="0" xr:uid="{00000000-0006-0000-0400-000096000000}">
      <text/>
    </comment>
    <comment ref="L154" authorId="0" shapeId="0" xr:uid="{00000000-0006-0000-0400-000097000000}">
      <text/>
    </comment>
    <comment ref="L155" authorId="0" shapeId="0" xr:uid="{00000000-0006-0000-0400-000098000000}">
      <text/>
    </comment>
    <comment ref="L156" authorId="0" shapeId="0" xr:uid="{00000000-0006-0000-0400-000099000000}">
      <text/>
    </comment>
    <comment ref="L158" authorId="0" shapeId="0" xr:uid="{00000000-0006-0000-0400-00009A000000}">
      <text/>
    </comment>
    <comment ref="L159" authorId="0" shapeId="0" xr:uid="{00000000-0006-0000-0400-00009B000000}">
      <text/>
    </comment>
    <comment ref="L163" authorId="0" shapeId="0" xr:uid="{00000000-0006-0000-0400-00009C000000}">
      <text/>
    </comment>
    <comment ref="L164" authorId="0" shapeId="0" xr:uid="{00000000-0006-0000-0400-00009D000000}">
      <text/>
    </comment>
    <comment ref="E165" authorId="0" shapeId="0" xr:uid="{00000000-0006-0000-0400-00009E000000}">
      <text/>
    </comment>
    <comment ref="L165" authorId="0" shapeId="0" xr:uid="{00000000-0006-0000-0400-00009F000000}">
      <text/>
    </comment>
    <comment ref="L166" authorId="0" shapeId="0" xr:uid="{00000000-0006-0000-0400-0000A0000000}">
      <text/>
    </comment>
    <comment ref="L167" authorId="0" shapeId="0" xr:uid="{00000000-0006-0000-0400-0000A1000000}">
      <text/>
    </comment>
    <comment ref="E168" authorId="0" shapeId="0" xr:uid="{00000000-0006-0000-0400-0000A2000000}">
      <text/>
    </comment>
    <comment ref="L168" authorId="0" shapeId="0" xr:uid="{00000000-0006-0000-0400-0000A3000000}">
      <text/>
    </comment>
    <comment ref="L169" authorId="0" shapeId="0" xr:uid="{00000000-0006-0000-0400-0000A4000000}">
      <text/>
    </comment>
    <comment ref="L170" authorId="0" shapeId="0" xr:uid="{00000000-0006-0000-0400-0000A5000000}">
      <text/>
    </comment>
    <comment ref="E171" authorId="0" shapeId="0" xr:uid="{00000000-0006-0000-0400-0000A6000000}">
      <text/>
    </comment>
    <comment ref="L171" authorId="0" shapeId="0" xr:uid="{00000000-0006-0000-0400-0000A7000000}">
      <text/>
    </comment>
    <comment ref="E172" authorId="0" shapeId="0" xr:uid="{00000000-0006-0000-0400-0000A8000000}">
      <text/>
    </comment>
    <comment ref="L172" authorId="0" shapeId="0" xr:uid="{00000000-0006-0000-0400-0000A9000000}">
      <text/>
    </comment>
    <comment ref="L173" authorId="0" shapeId="0" xr:uid="{00000000-0006-0000-0400-0000AA000000}">
      <text/>
    </comment>
    <comment ref="L174" authorId="0" shapeId="0" xr:uid="{00000000-0006-0000-0400-0000AB000000}">
      <text/>
    </comment>
    <comment ref="L175" authorId="0" shapeId="0" xr:uid="{00000000-0006-0000-0400-0000AC000000}">
      <text/>
    </comment>
    <comment ref="L176" authorId="0" shapeId="0" xr:uid="{00000000-0006-0000-0400-0000A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00000000-0006-0000-0400-0000AE000000}">
      <text/>
    </comment>
    <comment ref="L178" authorId="0" shapeId="0" xr:uid="{00000000-0006-0000-0400-0000AF000000}">
      <text/>
    </comment>
    <comment ref="L179" authorId="0" shapeId="0" xr:uid="{00000000-0006-0000-0400-0000B0000000}">
      <text/>
    </comment>
    <comment ref="L180" authorId="0" shapeId="0" xr:uid="{00000000-0006-0000-0400-0000B1000000}">
      <text/>
    </comment>
    <comment ref="L181" authorId="0" shapeId="0" xr:uid="{00000000-0006-0000-0400-0000B2000000}">
      <text/>
    </comment>
    <comment ref="L182" authorId="0" shapeId="0" xr:uid="{00000000-0006-0000-0400-0000B3000000}">
      <text/>
    </comment>
    <comment ref="L183" authorId="0" shapeId="0" xr:uid="{00000000-0006-0000-0400-0000B4000000}">
      <text/>
    </comment>
    <comment ref="L184" authorId="0" shapeId="0" xr:uid="{00000000-0006-0000-0400-0000B5000000}">
      <text/>
    </comment>
    <comment ref="L185" authorId="0" shapeId="0" xr:uid="{00000000-0006-0000-0400-0000B6000000}">
      <text/>
    </comment>
    <comment ref="L186" authorId="0" shapeId="0" xr:uid="{00000000-0006-0000-0400-0000B7000000}">
      <text/>
    </comment>
    <comment ref="L188" authorId="0" shapeId="0" xr:uid="{00000000-0006-0000-0400-0000B8000000}">
      <text/>
    </comment>
    <comment ref="L189" authorId="0" shapeId="0" xr:uid="{00000000-0006-0000-0400-0000B9000000}">
      <text/>
    </comment>
    <comment ref="L193" authorId="0" shapeId="0" xr:uid="{00000000-0006-0000-0400-0000BA000000}">
      <text/>
    </comment>
    <comment ref="L194" authorId="0" shapeId="0" xr:uid="{00000000-0006-0000-0400-0000BB000000}">
      <text/>
    </comment>
    <comment ref="E195" authorId="0" shapeId="0" xr:uid="{00000000-0006-0000-0400-0000BC000000}">
      <text/>
    </comment>
    <comment ref="L195" authorId="0" shapeId="0" xr:uid="{00000000-0006-0000-0400-0000BD000000}">
      <text/>
    </comment>
    <comment ref="L196" authorId="0" shapeId="0" xr:uid="{00000000-0006-0000-0400-0000BE000000}">
      <text/>
    </comment>
    <comment ref="L197" authorId="0" shapeId="0" xr:uid="{00000000-0006-0000-0400-0000BF000000}">
      <text/>
    </comment>
    <comment ref="E198" authorId="0" shapeId="0" xr:uid="{00000000-0006-0000-0400-0000C0000000}">
      <text/>
    </comment>
    <comment ref="L198" authorId="0" shapeId="0" xr:uid="{00000000-0006-0000-0400-0000C1000000}">
      <text/>
    </comment>
    <comment ref="L199" authorId="0" shapeId="0" xr:uid="{00000000-0006-0000-0400-0000C2000000}">
      <text/>
    </comment>
    <comment ref="L200" authorId="0" shapeId="0" xr:uid="{00000000-0006-0000-0400-0000C3000000}">
      <text/>
    </comment>
    <comment ref="L201" authorId="0" shapeId="0" xr:uid="{00000000-0006-0000-0400-0000C4000000}">
      <text/>
    </comment>
    <comment ref="L202" authorId="0" shapeId="0" xr:uid="{00000000-0006-0000-0400-0000C5000000}">
      <text/>
    </comment>
    <comment ref="L203" authorId="0" shapeId="0" xr:uid="{00000000-0006-0000-0400-0000C6000000}">
      <text/>
    </comment>
    <comment ref="L204" authorId="0" shapeId="0" xr:uid="{00000000-0006-0000-0400-0000C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00000000-0006-0000-0400-0000C8000000}">
      <text/>
    </comment>
    <comment ref="L206" authorId="0" shapeId="0" xr:uid="{00000000-0006-0000-0400-0000C9000000}">
      <text/>
    </comment>
    <comment ref="L207" authorId="0" shapeId="0" xr:uid="{00000000-0006-0000-0400-0000CA000000}">
      <text/>
    </comment>
    <comment ref="L208" authorId="0" shapeId="0" xr:uid="{00000000-0006-0000-0400-0000CB000000}">
      <text/>
    </comment>
    <comment ref="L209" authorId="0" shapeId="0" xr:uid="{00000000-0006-0000-0400-0000CC000000}">
      <text/>
    </comment>
    <comment ref="L210" authorId="0" shapeId="0" xr:uid="{00000000-0006-0000-0400-0000C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00000000-0006-0000-0400-0000CE000000}">
      <text/>
    </comment>
    <comment ref="L212" authorId="0" shapeId="0" xr:uid="{00000000-0006-0000-0400-0000CF000000}">
      <text/>
    </comment>
    <comment ref="L214" authorId="0" shapeId="0" xr:uid="{00000000-0006-0000-0400-0000D0000000}">
      <text/>
    </comment>
    <comment ref="L220" authorId="0" shapeId="0" xr:uid="{00000000-0006-0000-0400-0000D1000000}">
      <text/>
    </comment>
    <comment ref="L221" authorId="0" shapeId="0" xr:uid="{00000000-0006-0000-0400-0000D2000000}">
      <text/>
    </comment>
    <comment ref="E222" authorId="0" shapeId="0" xr:uid="{00000000-0006-0000-0400-0000D3000000}">
      <text/>
    </comment>
    <comment ref="L222" authorId="0" shapeId="0" xr:uid="{45BF3EC2-85A8-4B93-98B3-7523D924E41A}">
      <text/>
    </comment>
    <comment ref="L223" authorId="0" shapeId="0" xr:uid="{8F6E8FF4-1FFC-4D1E-85F6-5B3C550397E8}">
      <text/>
    </comment>
    <comment ref="L224" authorId="0" shapeId="0" xr:uid="{99EE8236-3A7A-4DDD-B823-81A0BAA6D0CE}">
      <text/>
    </comment>
    <comment ref="E225" authorId="0" shapeId="0" xr:uid="{00000000-0006-0000-0400-0000D7000000}">
      <text/>
    </comment>
    <comment ref="L226" authorId="0" shapeId="0" xr:uid="{AB8C4FEC-83D8-4F58-9FCF-A7996A30D737}">
      <text/>
    </comment>
    <comment ref="L227" authorId="0" shapeId="0" xr:uid="{39809E16-8B91-4A52-B700-AD84FBFE5882}">
      <text/>
    </comment>
    <comment ref="E228" authorId="0" shapeId="0" xr:uid="{00000000-0006-0000-0400-0000D9000000}">
      <text/>
    </comment>
    <comment ref="L228" authorId="0" shapeId="0" xr:uid="{3528ADDD-8DBE-4E36-B622-DE0FFF7CE988}">
      <text/>
    </comment>
    <comment ref="E229" authorId="0" shapeId="0" xr:uid="{00000000-0006-0000-0400-0000DB000000}">
      <text/>
    </comment>
    <comment ref="L229" authorId="0" shapeId="0" xr:uid="{00000000-0006-0000-0400-0000DD000000}">
      <text/>
    </comment>
    <comment ref="L230" authorId="0" shapeId="0" xr:uid="{00000000-0006-0000-0400-0000DE000000}">
      <text/>
    </comment>
    <comment ref="L231" authorId="0" shapeId="0" xr:uid="{00000000-0006-0000-0400-0000DF000000}">
      <text/>
    </comment>
    <comment ref="L232" authorId="0" shapeId="0" xr:uid="{00000000-0006-0000-0400-0000E0000000}">
      <text/>
    </comment>
    <comment ref="L233" authorId="0" shapeId="0" xr:uid="{00000000-0006-0000-0400-0000E1000000}">
      <text/>
    </comment>
    <comment ref="L234" authorId="0" shapeId="0" xr:uid="{00000000-0006-0000-0400-0000E2000000}">
      <text/>
    </comment>
    <comment ref="L235" authorId="0" shapeId="0" xr:uid="{00000000-0006-0000-0400-0000E3000000}">
      <text/>
    </comment>
    <comment ref="L236" authorId="0" shapeId="0" xr:uid="{00000000-0006-0000-0400-0000E4000000}">
      <text/>
    </comment>
    <comment ref="L237" authorId="0" shapeId="0" xr:uid="{00000000-0006-0000-0400-0000E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00000000-0006-0000-0400-0000E6000000}">
      <text/>
    </comment>
    <comment ref="L239" authorId="0" shapeId="0" xr:uid="{00000000-0006-0000-0400-0000E7000000}">
      <text/>
    </comment>
    <comment ref="L240" authorId="0" shapeId="0" xr:uid="{00000000-0006-0000-0400-0000E8000000}">
      <text/>
    </comment>
    <comment ref="L241" authorId="0" shapeId="0" xr:uid="{00000000-0006-0000-0400-0000E9000000}">
      <text/>
    </comment>
    <comment ref="L242" authorId="0" shapeId="0" xr:uid="{00000000-0006-0000-0400-0000EA000000}">
      <text/>
    </comment>
    <comment ref="L243" authorId="0" shapeId="0" xr:uid="{00000000-0006-0000-0400-0000EB000000}">
      <text/>
    </comment>
    <comment ref="L244" authorId="0" shapeId="0" xr:uid="{00000000-0006-0000-0400-0000EC000000}">
      <text/>
    </comment>
    <comment ref="L245" authorId="0" shapeId="0" xr:uid="{00000000-0006-0000-0400-0000ED000000}">
      <text/>
    </comment>
    <comment ref="L246" authorId="0" shapeId="0" xr:uid="{00000000-0006-0000-0400-0000EE000000}">
      <text/>
    </comment>
    <comment ref="L247" authorId="0" shapeId="0" xr:uid="{00000000-0006-0000-0400-0000EF000000}">
      <text/>
    </comment>
    <comment ref="L249" authorId="0" shapeId="0" xr:uid="{00000000-0006-0000-0400-0000F0000000}">
      <text/>
    </comment>
    <comment ref="L250" authorId="0" shapeId="0" xr:uid="{00000000-0006-0000-0400-0000F1000000}">
      <text/>
    </comment>
    <comment ref="L255" authorId="0" shapeId="0" xr:uid="{00000000-0006-0000-0400-0000F2000000}">
      <text/>
    </comment>
    <comment ref="L256" authorId="0" shapeId="0" xr:uid="{00000000-0006-0000-0400-0000F3000000}">
      <text/>
    </comment>
    <comment ref="E257" authorId="0" shapeId="0" xr:uid="{00000000-0006-0000-0400-0000F4000000}">
      <text/>
    </comment>
    <comment ref="L257" authorId="0" shapeId="0" xr:uid="{00000000-0006-0000-0400-0000F5000000}">
      <text/>
    </comment>
    <comment ref="L258" authorId="0" shapeId="0" xr:uid="{00000000-0006-0000-0400-0000F6000000}">
      <text/>
    </comment>
    <comment ref="L259" authorId="0" shapeId="0" xr:uid="{00000000-0006-0000-0400-0000F7000000}">
      <text/>
    </comment>
    <comment ref="E260" authorId="0" shapeId="0" xr:uid="{00000000-0006-0000-0400-0000F8000000}">
      <text/>
    </comment>
    <comment ref="L260" authorId="0" shapeId="0" xr:uid="{00000000-0006-0000-0400-0000F9000000}">
      <text/>
    </comment>
    <comment ref="L261" authorId="0" shapeId="0" xr:uid="{00000000-0006-0000-0400-0000FA000000}">
      <text/>
    </comment>
    <comment ref="L262" authorId="0" shapeId="0" xr:uid="{00000000-0006-0000-0400-0000FB000000}">
      <text/>
    </comment>
    <comment ref="E263" authorId="0" shapeId="0" xr:uid="{00000000-0006-0000-0400-0000FC000000}">
      <text/>
    </comment>
    <comment ref="L263" authorId="0" shapeId="0" xr:uid="{00000000-0006-0000-0400-0000FD000000}">
      <text/>
    </comment>
    <comment ref="E264" authorId="0" shapeId="0" xr:uid="{00000000-0006-0000-0400-0000FE000000}">
      <text/>
    </comment>
    <comment ref="L264" authorId="0" shapeId="0" xr:uid="{00000000-0006-0000-0400-0000FF000000}">
      <text/>
    </comment>
    <comment ref="L265" authorId="0" shapeId="0" xr:uid="{00000000-0006-0000-0400-000000010000}">
      <text/>
    </comment>
    <comment ref="L266" authorId="0" shapeId="0" xr:uid="{00000000-0006-0000-0400-000001010000}">
      <text/>
    </comment>
    <comment ref="L267" authorId="0" shapeId="0" xr:uid="{00000000-0006-0000-0400-000002010000}">
      <text/>
    </comment>
    <comment ref="L268" authorId="0" shapeId="0" xr:uid="{00000000-0006-0000-0400-00000301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00000000-0006-0000-0400-000004010000}">
      <text/>
    </comment>
    <comment ref="L270" authorId="0" shapeId="0" xr:uid="{00000000-0006-0000-0400-000005010000}">
      <text/>
    </comment>
    <comment ref="L271" authorId="0" shapeId="0" xr:uid="{00000000-0006-0000-0400-000006010000}">
      <text/>
    </comment>
    <comment ref="L272" authorId="0" shapeId="0" xr:uid="{00000000-0006-0000-0400-000007010000}">
      <text/>
    </comment>
    <comment ref="L273" authorId="0" shapeId="0" xr:uid="{00000000-0006-0000-0400-000008010000}">
      <text/>
    </comment>
    <comment ref="L274" authorId="0" shapeId="0" xr:uid="{00000000-0006-0000-0400-000009010000}">
      <text/>
    </comment>
    <comment ref="L275" authorId="0" shapeId="0" xr:uid="{00000000-0006-0000-0400-00000A010000}">
      <text/>
    </comment>
    <comment ref="L276" authorId="0" shapeId="0" xr:uid="{00000000-0006-0000-0400-00000B010000}">
      <text/>
    </comment>
    <comment ref="L278" authorId="0" shapeId="0" xr:uid="{00000000-0006-0000-0400-00000C010000}">
      <text/>
    </comment>
    <comment ref="L279" authorId="0" shapeId="0" xr:uid="{00000000-0006-0000-0400-00000D010000}">
      <text/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500-000001000000}">
      <text/>
    </comment>
    <comment ref="L4" authorId="0" shapeId="0" xr:uid="{00000000-0006-0000-0500-000002000000}">
      <text/>
    </comment>
    <comment ref="L5" authorId="0" shapeId="0" xr:uid="{00000000-0006-0000-0500-000003000000}">
      <text/>
    </comment>
    <comment ref="L6" authorId="0" shapeId="0" xr:uid="{00000000-0006-0000-0500-000004000000}">
      <text/>
    </comment>
    <comment ref="E7" authorId="0" shapeId="0" xr:uid="{00000000-0006-0000-0500-000005000000}">
      <text/>
    </comment>
    <comment ref="L7" authorId="0" shapeId="0" xr:uid="{00000000-0006-0000-0500-000006000000}">
      <text/>
    </comment>
    <comment ref="L8" authorId="0" shapeId="0" xr:uid="{00000000-0006-0000-0500-000007000000}">
      <text/>
    </comment>
    <comment ref="L9" authorId="0" shapeId="0" xr:uid="{00000000-0006-0000-0500-000008000000}">
      <text/>
    </comment>
    <comment ref="L10" authorId="0" shapeId="0" xr:uid="{00000000-0006-0000-0500-000009000000}">
      <text/>
    </comment>
    <comment ref="L11" authorId="0" shapeId="0" xr:uid="{00000000-0006-0000-0500-00000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" authorId="0" shapeId="0" xr:uid="{00000000-0006-0000-0500-00000B000000}">
      <text/>
    </comment>
    <comment ref="L13" authorId="0" shapeId="0" xr:uid="{00000000-0006-0000-0500-00000C000000}">
      <text/>
    </comment>
    <comment ref="L14" authorId="0" shapeId="0" xr:uid="{00000000-0006-0000-0500-00000D000000}">
      <text/>
    </comment>
    <comment ref="L15" authorId="0" shapeId="0" xr:uid="{00000000-0006-0000-0500-00000E000000}">
      <text/>
    </comment>
    <comment ref="L16" authorId="0" shapeId="0" xr:uid="{00000000-0006-0000-0500-00000F000000}">
      <text/>
    </comment>
    <comment ref="L17" authorId="0" shapeId="0" xr:uid="{00000000-0006-0000-0500-000010000000}">
      <text/>
    </comment>
    <comment ref="L18" authorId="0" shapeId="0" xr:uid="{00000000-0006-0000-0500-000011000000}">
      <text/>
    </comment>
    <comment ref="L19" authorId="0" shapeId="0" xr:uid="{00000000-0006-0000-0500-000012000000}">
      <text/>
    </comment>
    <comment ref="L20" authorId="0" shapeId="0" xr:uid="{00000000-0006-0000-0500-000013000000}">
      <text/>
    </comment>
    <comment ref="L21" authorId="0" shapeId="0" xr:uid="{00000000-0006-0000-0500-000014000000}">
      <text/>
    </comment>
    <comment ref="L25" authorId="0" shapeId="0" xr:uid="{00000000-0006-0000-0500-000015000000}">
      <text/>
    </comment>
    <comment ref="L26" authorId="0" shapeId="0" xr:uid="{00000000-0006-0000-0500-000016000000}">
      <text/>
    </comment>
    <comment ref="L27" authorId="0" shapeId="0" xr:uid="{00000000-0006-0000-0500-000017000000}">
      <text/>
    </comment>
    <comment ref="L28" authorId="0" shapeId="0" xr:uid="{00000000-0006-0000-0500-000018000000}">
      <text/>
    </comment>
    <comment ref="E29" authorId="0" shapeId="0" xr:uid="{00000000-0006-0000-0500-000019000000}">
      <text/>
    </comment>
    <comment ref="L29" authorId="0" shapeId="0" xr:uid="{00000000-0006-0000-0500-00001A000000}">
      <text/>
    </comment>
    <comment ref="L30" authorId="0" shapeId="0" xr:uid="{00000000-0006-0000-0500-00001B000000}">
      <text/>
    </comment>
    <comment ref="L31" authorId="0" shapeId="0" xr:uid="{00000000-0006-0000-0500-00001C000000}">
      <text/>
    </comment>
    <comment ref="L32" authorId="0" shapeId="0" xr:uid="{00000000-0006-0000-0500-00001D000000}">
      <text/>
    </comment>
    <comment ref="L33" authorId="0" shapeId="0" xr:uid="{00000000-0006-0000-0500-00001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4" authorId="0" shapeId="0" xr:uid="{00000000-0006-0000-0500-00001F000000}">
      <text/>
    </comment>
    <comment ref="L35" authorId="0" shapeId="0" xr:uid="{00000000-0006-0000-0500-000020000000}">
      <text/>
    </comment>
    <comment ref="L36" authorId="0" shapeId="0" xr:uid="{00000000-0006-0000-0500-000021000000}">
      <text/>
    </comment>
    <comment ref="L37" authorId="0" shapeId="0" xr:uid="{00000000-0006-0000-0500-000022000000}">
      <text/>
    </comment>
    <comment ref="L38" authorId="0" shapeId="0" xr:uid="{00000000-0006-0000-0500-000023000000}">
      <text/>
    </comment>
    <comment ref="L39" authorId="0" shapeId="0" xr:uid="{00000000-0006-0000-0500-000024000000}">
      <text/>
    </comment>
    <comment ref="L40" authorId="0" shapeId="0" xr:uid="{00000000-0006-0000-0500-000025000000}">
      <text/>
    </comment>
    <comment ref="L41" authorId="0" shapeId="0" xr:uid="{00000000-0006-0000-0500-000026000000}">
      <text/>
    </comment>
    <comment ref="L42" authorId="0" shapeId="0" xr:uid="{00000000-0006-0000-0500-000027000000}">
      <text/>
    </comment>
    <comment ref="L43" authorId="0" shapeId="0" xr:uid="{00000000-0006-0000-0500-000028000000}">
      <text/>
    </comment>
    <comment ref="L44" authorId="0" shapeId="0" xr:uid="{00000000-0006-0000-0500-000029000000}">
      <text/>
    </comment>
    <comment ref="L45" authorId="0" shapeId="0" xr:uid="{00000000-0006-0000-0500-00002A000000}">
      <text/>
    </comment>
    <comment ref="L46" authorId="0" shapeId="0" xr:uid="{00000000-0006-0000-0500-00002B000000}">
      <text/>
    </comment>
    <comment ref="L50" authorId="0" shapeId="0" xr:uid="{00000000-0006-0000-0500-00002C000000}">
      <text/>
    </comment>
    <comment ref="L51" authorId="0" shapeId="0" xr:uid="{00000000-0006-0000-0500-00002D000000}">
      <text/>
    </comment>
    <comment ref="L52" authorId="0" shapeId="0" xr:uid="{00000000-0006-0000-0500-00002E000000}">
      <text/>
    </comment>
    <comment ref="E53" authorId="0" shapeId="0" xr:uid="{00000000-0006-0000-0500-00002F000000}">
      <text/>
    </comment>
    <comment ref="L53" authorId="0" shapeId="0" xr:uid="{00000000-0006-0000-0500-000030000000}">
      <text/>
    </comment>
    <comment ref="L54" authorId="0" shapeId="0" xr:uid="{00000000-0006-0000-0500-000031000000}">
      <text/>
    </comment>
    <comment ref="E55" authorId="0" shapeId="0" xr:uid="{00000000-0006-0000-0500-000032000000}">
      <text/>
    </comment>
    <comment ref="L55" authorId="0" shapeId="0" xr:uid="{00000000-0006-0000-0500-000033000000}">
      <text/>
    </comment>
    <comment ref="L56" authorId="0" shapeId="0" xr:uid="{00000000-0006-0000-0500-000034000000}">
      <text/>
    </comment>
    <comment ref="L57" authorId="0" shapeId="0" xr:uid="{00000000-0006-0000-0500-000035000000}">
      <text/>
    </comment>
    <comment ref="L58" authorId="0" shapeId="0" xr:uid="{00000000-0006-0000-0500-00003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9" authorId="0" shapeId="0" xr:uid="{00000000-0006-0000-0500-000037000000}">
      <text/>
    </comment>
    <comment ref="L60" authorId="0" shapeId="0" xr:uid="{00000000-0006-0000-0500-000038000000}">
      <text/>
    </comment>
    <comment ref="L61" authorId="0" shapeId="0" xr:uid="{00000000-0006-0000-0500-000039000000}">
      <text/>
    </comment>
    <comment ref="L62" authorId="0" shapeId="0" xr:uid="{00000000-0006-0000-0500-00003A000000}">
      <text/>
    </comment>
    <comment ref="L63" authorId="0" shapeId="0" xr:uid="{00000000-0006-0000-0500-00003B000000}">
      <text/>
    </comment>
    <comment ref="L64" authorId="0" shapeId="0" xr:uid="{00000000-0006-0000-0500-00003C000000}">
      <text/>
    </comment>
    <comment ref="L65" authorId="0" shapeId="0" xr:uid="{00000000-0006-0000-0500-00003D000000}">
      <text/>
    </comment>
    <comment ref="L66" authorId="0" shapeId="0" xr:uid="{00000000-0006-0000-0500-00003E000000}">
      <text/>
    </comment>
    <comment ref="L67" authorId="0" shapeId="0" xr:uid="{00000000-0006-0000-0500-00003F000000}">
      <text/>
    </comment>
    <comment ref="L68" authorId="0" shapeId="0" xr:uid="{00000000-0006-0000-0500-000040000000}">
      <text/>
    </comment>
    <comment ref="L69" authorId="0" shapeId="0" xr:uid="{00000000-0006-0000-0500-000041000000}">
      <text/>
    </comment>
  </commentList>
</comments>
</file>

<file path=xl/sharedStrings.xml><?xml version="1.0" encoding="utf-8"?>
<sst xmlns="http://schemas.openxmlformats.org/spreadsheetml/2006/main" count="8362" uniqueCount="1570">
  <si>
    <t>DUF60E</t>
  </si>
  <si>
    <t>DDW6X60E</t>
  </si>
  <si>
    <t>DUR40E</t>
  </si>
  <si>
    <t>DDW8X100</t>
  </si>
  <si>
    <t>DUF75E</t>
  </si>
  <si>
    <t>SMA70/033</t>
  </si>
  <si>
    <t>PUFK</t>
  </si>
  <si>
    <t>SM400</t>
  </si>
  <si>
    <t>CMP41H41/1,2MC</t>
  </si>
  <si>
    <t>CMP41H41/3MC</t>
  </si>
  <si>
    <t>LC41H41MC</t>
  </si>
  <si>
    <t>PAL40H40/2,1</t>
  </si>
  <si>
    <t>PUF</t>
  </si>
  <si>
    <t>NKWSM8A</t>
  </si>
  <si>
    <t>PAL40H40/3,15</t>
  </si>
  <si>
    <t>SBR50x500</t>
  </si>
  <si>
    <t>CWC100H50/3,3MC</t>
  </si>
  <si>
    <t>LKTT45H70MC</t>
  </si>
  <si>
    <t>PAL40H40/3,3</t>
  </si>
  <si>
    <t>SRM10X30F</t>
  </si>
  <si>
    <t>BUF32</t>
  </si>
  <si>
    <t>BUF32L</t>
  </si>
  <si>
    <t>BUF33</t>
  </si>
  <si>
    <t>BUF35</t>
  </si>
  <si>
    <t>BUF35L</t>
  </si>
  <si>
    <t>BUF38</t>
  </si>
  <si>
    <t>BUF40</t>
  </si>
  <si>
    <t>BUF40L</t>
  </si>
  <si>
    <t>BUF42</t>
  </si>
  <si>
    <t>BUF45</t>
  </si>
  <si>
    <t>BUF50</t>
  </si>
  <si>
    <t>BUF50L</t>
  </si>
  <si>
    <t>BUFK32</t>
  </si>
  <si>
    <t>BUFK32L</t>
  </si>
  <si>
    <t>BUFK34</t>
  </si>
  <si>
    <t>BUFK35</t>
  </si>
  <si>
    <t>BUFK35L</t>
  </si>
  <si>
    <t>BUFK38</t>
  </si>
  <si>
    <t>BUFK40</t>
  </si>
  <si>
    <t>BUFK40L</t>
  </si>
  <si>
    <t>BUFK42</t>
  </si>
  <si>
    <t>BUFK45</t>
  </si>
  <si>
    <t>BUFK50</t>
  </si>
  <si>
    <t>EPDMW2x40</t>
  </si>
  <si>
    <t>NKZM10E A2</t>
  </si>
  <si>
    <t>NKZM8E A2</t>
  </si>
  <si>
    <t>PAL40H40/6,3</t>
  </si>
  <si>
    <t>PUFL</t>
  </si>
  <si>
    <t>PUFKL</t>
  </si>
  <si>
    <t>RUBTE</t>
  </si>
  <si>
    <t>SBR150x500</t>
  </si>
  <si>
    <t>SGKFM8x20</t>
  </si>
  <si>
    <t>SMA40/033</t>
  </si>
  <si>
    <t>Symbol</t>
  </si>
  <si>
    <t>SAM8X35E</t>
  </si>
  <si>
    <t>SAM8X30E</t>
  </si>
  <si>
    <t>1600-1650</t>
  </si>
  <si>
    <t>1650-1700</t>
  </si>
  <si>
    <t>1950-2000</t>
  </si>
  <si>
    <t>950-1000</t>
  </si>
  <si>
    <t>1000-1050</t>
  </si>
  <si>
    <t>x</t>
  </si>
  <si>
    <t>[mm]</t>
  </si>
  <si>
    <t>PAL40H40/1,15</t>
  </si>
  <si>
    <t>PAL40H40/2,2</t>
  </si>
  <si>
    <t>PUP</t>
  </si>
  <si>
    <t>standard</t>
  </si>
  <si>
    <t>1700-1750</t>
  </si>
  <si>
    <t>pion</t>
  </si>
  <si>
    <t>poziom</t>
  </si>
  <si>
    <t>10x200</t>
  </si>
  <si>
    <t>2000-2050</t>
  </si>
  <si>
    <t>2050-2100</t>
  </si>
  <si>
    <t>SWDM</t>
  </si>
  <si>
    <t>klick</t>
  </si>
  <si>
    <t>10x250</t>
  </si>
  <si>
    <t>10x300</t>
  </si>
  <si>
    <t>12x300</t>
  </si>
  <si>
    <t>suma długości profili</t>
  </si>
  <si>
    <t>ilość uchwytów pion</t>
  </si>
  <si>
    <t>ilość uchwytów wstepna</t>
  </si>
  <si>
    <t>ilość uchwytów poziom</t>
  </si>
  <si>
    <t>SAM8X40E</t>
  </si>
  <si>
    <t>SAM8X45E</t>
  </si>
  <si>
    <t>-------</t>
  </si>
  <si>
    <t>ilosc mod</t>
  </si>
  <si>
    <t>wymiar mod</t>
  </si>
  <si>
    <t>plpan40</t>
  </si>
  <si>
    <t>cena</t>
  </si>
  <si>
    <t>długość</t>
  </si>
  <si>
    <t>il. prof.na rząd</t>
  </si>
  <si>
    <t>ilość prof./łącz.</t>
  </si>
  <si>
    <t>sol</t>
  </si>
  <si>
    <t>PAL</t>
  </si>
  <si>
    <t>PLPAN</t>
  </si>
  <si>
    <t>[%]</t>
  </si>
  <si>
    <t>CC50H35/1,7MC</t>
  </si>
  <si>
    <t>CC55H50/2MC</t>
  </si>
  <si>
    <t>CMP41H41/1,7MC</t>
  </si>
  <si>
    <t>CMP41H41/1MC</t>
  </si>
  <si>
    <t>CMP41H41/2MC</t>
  </si>
  <si>
    <t>CMP41H41/3,5MC</t>
  </si>
  <si>
    <t>CMP41H41/3,7MC</t>
  </si>
  <si>
    <t>CWC100H50/4,4MC</t>
  </si>
  <si>
    <t>CWC100H50/6,6MC</t>
  </si>
  <si>
    <t>KT850A</t>
  </si>
  <si>
    <t>KT2000A</t>
  </si>
  <si>
    <t>KTST1700A</t>
  </si>
  <si>
    <t>KT1000A</t>
  </si>
  <si>
    <t>KT1150A</t>
  </si>
  <si>
    <t>KT1700A</t>
  </si>
  <si>
    <t>NOPAL40x40CZ</t>
  </si>
  <si>
    <t>NOPAL40x40SR</t>
  </si>
  <si>
    <t>UBZ..</t>
  </si>
  <si>
    <t>CMP41H41/2,2MC</t>
  </si>
  <si>
    <t>SBR250x350</t>
  </si>
  <si>
    <t>PAL40H40/6,6</t>
  </si>
  <si>
    <t>typ szyn montażowych</t>
  </si>
  <si>
    <t>SMDP6,0X25E</t>
  </si>
  <si>
    <t>SM…</t>
  </si>
  <si>
    <t>1626-1663</t>
  </si>
  <si>
    <t>1664-1700</t>
  </si>
  <si>
    <t>1943-1980</t>
  </si>
  <si>
    <t>1981-2018</t>
  </si>
  <si>
    <t>CMP</t>
  </si>
  <si>
    <t>LKTT</t>
  </si>
  <si>
    <t>CT</t>
  </si>
  <si>
    <t>SGKFM10x30</t>
  </si>
  <si>
    <t>CWE</t>
  </si>
  <si>
    <t>NRM8F</t>
  </si>
  <si>
    <t>cc2</t>
  </si>
  <si>
    <t>cc1,7</t>
  </si>
  <si>
    <t>KT2</t>
  </si>
  <si>
    <t>KTST</t>
  </si>
  <si>
    <t>OWP1P10NMC</t>
  </si>
  <si>
    <t>OWP1P15NMC</t>
  </si>
  <si>
    <t>OWP1P20NMC</t>
  </si>
  <si>
    <t>OWP2P10NMC</t>
  </si>
  <si>
    <t>OWP2P15NMC</t>
  </si>
  <si>
    <t>OWP2P20NMC</t>
  </si>
  <si>
    <t>OWP3P10NMC</t>
  </si>
  <si>
    <t>OWP3P15NMC</t>
  </si>
  <si>
    <t>OWP3P20NMC</t>
  </si>
  <si>
    <t>OWP4P10NMC</t>
  </si>
  <si>
    <t>OWP4P15NMC</t>
  </si>
  <si>
    <t>OWP4P20NMC</t>
  </si>
  <si>
    <t>OWPP10NMC</t>
  </si>
  <si>
    <t>OWPP15NMC</t>
  </si>
  <si>
    <t>OWPP20NMC</t>
  </si>
  <si>
    <t>PUPK</t>
  </si>
  <si>
    <t>SGKFM10x20PV</t>
  </si>
  <si>
    <t>SSZ10x20E A2</t>
  </si>
  <si>
    <t>CYK20E</t>
  </si>
  <si>
    <t>CYK25E</t>
  </si>
  <si>
    <t>CYK40E</t>
  </si>
  <si>
    <t>CYK50E</t>
  </si>
  <si>
    <t>CYK60E</t>
  </si>
  <si>
    <t>CYB16E</t>
  </si>
  <si>
    <t>CYB20E</t>
  </si>
  <si>
    <t>CYB25E</t>
  </si>
  <si>
    <t>CYB32E</t>
  </si>
  <si>
    <t>CYB50E</t>
  </si>
  <si>
    <t>CYB60E</t>
  </si>
  <si>
    <t>CYB63,5E</t>
  </si>
  <si>
    <t>NOWPAL40x40SR</t>
  </si>
  <si>
    <t>UBZRE25</t>
  </si>
  <si>
    <t>UBZRE32</t>
  </si>
  <si>
    <t>UBZRPE25</t>
  </si>
  <si>
    <t>UBZRPE32</t>
  </si>
  <si>
    <t>UBUF32</t>
  </si>
  <si>
    <t>UBUF33</t>
  </si>
  <si>
    <t>UBUF35</t>
  </si>
  <si>
    <t>UBUF38</t>
  </si>
  <si>
    <t>UBUF40</t>
  </si>
  <si>
    <t>UBUF42</t>
  </si>
  <si>
    <t>UBUF45</t>
  </si>
  <si>
    <t>UBUF50</t>
  </si>
  <si>
    <t>SSZ10X20E A2</t>
  </si>
  <si>
    <t>SGKFM10X20PV</t>
  </si>
  <si>
    <t>LPAN40</t>
  </si>
  <si>
    <t>[°]</t>
  </si>
  <si>
    <t>KW</t>
  </si>
  <si>
    <t>W</t>
  </si>
  <si>
    <t>MW</t>
  </si>
  <si>
    <t>W-H4G2</t>
  </si>
  <si>
    <t>W-H5G2</t>
  </si>
  <si>
    <t>W-H6G2</t>
  </si>
  <si>
    <t>W-V2G2</t>
  </si>
  <si>
    <t>W-V3G2</t>
  </si>
  <si>
    <t>W-V2G1</t>
  </si>
  <si>
    <t>W-H3G1</t>
  </si>
  <si>
    <t>1600-1750</t>
  </si>
  <si>
    <t>1900-2100</t>
  </si>
  <si>
    <t>LCCNMC</t>
  </si>
  <si>
    <t>1722-1758</t>
  </si>
  <si>
    <t>1750-1800</t>
  </si>
  <si>
    <t>1850-1900</t>
  </si>
  <si>
    <t>1800-1850</t>
  </si>
  <si>
    <t>1900-1950</t>
  </si>
  <si>
    <t>1050-1100</t>
  </si>
  <si>
    <t>BUF30</t>
  </si>
  <si>
    <t>BUF30L</t>
  </si>
  <si>
    <t>SAM8X25E</t>
  </si>
  <si>
    <t>2100-2150</t>
  </si>
  <si>
    <t>2150-2200</t>
  </si>
  <si>
    <t>1100-1150</t>
  </si>
  <si>
    <t>1700-1721</t>
  </si>
  <si>
    <t>1759-1796</t>
  </si>
  <si>
    <t>1797-1834</t>
  </si>
  <si>
    <t>1835-1872</t>
  </si>
  <si>
    <t>1873-1910</t>
  </si>
  <si>
    <t>1911-1942</t>
  </si>
  <si>
    <t>OWP5P10NMC</t>
  </si>
  <si>
    <t>OWP6P10NMC</t>
  </si>
  <si>
    <t>OWP7P10NMC</t>
  </si>
  <si>
    <t>OWP8P10NMC</t>
  </si>
  <si>
    <t>OWP9P10NMC</t>
  </si>
  <si>
    <t>OWP10P10NMC</t>
  </si>
  <si>
    <t>OWP5P15NMC</t>
  </si>
  <si>
    <t>OWP6P15NMC</t>
  </si>
  <si>
    <t>OWP7P15NMC</t>
  </si>
  <si>
    <t>OWP8P15NMC</t>
  </si>
  <si>
    <t>OWP9P15NMC</t>
  </si>
  <si>
    <t>OWP10P15NMC</t>
  </si>
  <si>
    <t>OWP5P20NMC</t>
  </si>
  <si>
    <t>OWP6P20NMC</t>
  </si>
  <si>
    <t>OWP7P20NMC</t>
  </si>
  <si>
    <t>OWP8P20NMC</t>
  </si>
  <si>
    <t>OWP9P20NMC</t>
  </si>
  <si>
    <t>OWP10P20NMC</t>
  </si>
  <si>
    <t>NIE WYSTĘPUJE</t>
  </si>
  <si>
    <t>2250-2300</t>
  </si>
  <si>
    <t>2200-2250</t>
  </si>
  <si>
    <t>SMFM8X25E A2</t>
  </si>
  <si>
    <t>PAL30H32/1,15</t>
  </si>
  <si>
    <t>PAL30H32/2,1</t>
  </si>
  <si>
    <t>PAL30H32/2,2</t>
  </si>
  <si>
    <t>PAL30H32/3,15</t>
  </si>
  <si>
    <t>PAL30H32/3,3</t>
  </si>
  <si>
    <t>LPAN30</t>
  </si>
  <si>
    <t>CWC100H50/4,4NMC</t>
  </si>
  <si>
    <t>CWC100H50/3,3NMC</t>
  </si>
  <si>
    <t>LKTT45H70NMC</t>
  </si>
  <si>
    <t>NRM8PV</t>
  </si>
  <si>
    <t>PS8E A2</t>
  </si>
  <si>
    <t>UPPM8MC</t>
  </si>
  <si>
    <t>LCD100MC</t>
  </si>
  <si>
    <t>CWT70H50/3,2NMC</t>
  </si>
  <si>
    <t>2019-2056</t>
  </si>
  <si>
    <t>2057-2094</t>
  </si>
  <si>
    <t>2095-2132</t>
  </si>
  <si>
    <t>2133-2170</t>
  </si>
  <si>
    <t>2171-2208</t>
  </si>
  <si>
    <t>2209-2246</t>
  </si>
  <si>
    <t>2247-2283</t>
  </si>
  <si>
    <t>2284-2321</t>
  </si>
  <si>
    <t>OWP11P10NMC</t>
  </si>
  <si>
    <t>OWP11P15NMC</t>
  </si>
  <si>
    <t>OWP11P20NMC</t>
  </si>
  <si>
    <t>OWP12P10NMC</t>
  </si>
  <si>
    <t>OWP12P15NMC</t>
  </si>
  <si>
    <t>OWP12P20NMC</t>
  </si>
  <si>
    <t>OWP13P10NMC</t>
  </si>
  <si>
    <t>OWP13P15NMC</t>
  </si>
  <si>
    <t>OWP13P20NMC</t>
  </si>
  <si>
    <t>OWP14P10NMC</t>
  </si>
  <si>
    <t>OWP14P15NMC</t>
  </si>
  <si>
    <t>OWP14P20NMC</t>
  </si>
  <si>
    <t>OWP15P10NMC</t>
  </si>
  <si>
    <t>OWP15P15NMC</t>
  </si>
  <si>
    <t>OWP15P20NMC</t>
  </si>
  <si>
    <t>OWP16P10NMC</t>
  </si>
  <si>
    <t>OWP16P15NMC</t>
  </si>
  <si>
    <t>OWP16P20NMC</t>
  </si>
  <si>
    <t>OWP17P10NMC</t>
  </si>
  <si>
    <t>OWP17P15NMC</t>
  </si>
  <si>
    <t>OWP17P20NMC</t>
  </si>
  <si>
    <t>OWP18P10NMC</t>
  </si>
  <si>
    <t>OWP18P15NMC</t>
  </si>
  <si>
    <t>OWP18P20NMC</t>
  </si>
  <si>
    <t>APPMC</t>
  </si>
  <si>
    <t>CYB400E</t>
  </si>
  <si>
    <t>CYK30E</t>
  </si>
  <si>
    <t>SMA40/6</t>
  </si>
  <si>
    <t>SMA70/6</t>
  </si>
  <si>
    <t>SM6500</t>
  </si>
  <si>
    <t>CWC100H50/6,6NMC</t>
  </si>
  <si>
    <t>CT70H50/2NMC</t>
  </si>
  <si>
    <t>CT70H50/3NMC</t>
  </si>
  <si>
    <t>CT70H50/4NMC</t>
  </si>
  <si>
    <t>CWT70H50/1NMC</t>
  </si>
  <si>
    <t>CWT70H50/2NMC</t>
  </si>
  <si>
    <t>CWT70H50/2,4NMC</t>
  </si>
  <si>
    <t>CWT70H50/3NMC</t>
  </si>
  <si>
    <t>CWT70H50/3,4NMC</t>
  </si>
  <si>
    <t>CWT70H50/4,4NMC</t>
  </si>
  <si>
    <t>PCS70</t>
  </si>
  <si>
    <t>PCS100</t>
  </si>
  <si>
    <t>PCB70</t>
  </si>
  <si>
    <t>PCB100</t>
  </si>
  <si>
    <t>SPM1</t>
  </si>
  <si>
    <t>SPM2</t>
  </si>
  <si>
    <t>SPV</t>
  </si>
  <si>
    <t>SBV50X100</t>
  </si>
  <si>
    <t>SBV50X500</t>
  </si>
  <si>
    <t>SBV250X350</t>
  </si>
  <si>
    <t>OWN10MC</t>
  </si>
  <si>
    <t>OWN15MC</t>
  </si>
  <si>
    <t>OWN20MC</t>
  </si>
  <si>
    <t>DUFR75E</t>
  </si>
  <si>
    <t>DUFPE</t>
  </si>
  <si>
    <t>WPTMC</t>
  </si>
  <si>
    <t>DI</t>
  </si>
  <si>
    <t>BDI</t>
  </si>
  <si>
    <t>LDI</t>
  </si>
  <si>
    <t>PW8E A2</t>
  </si>
  <si>
    <t>1950-1950</t>
  </si>
  <si>
    <t>pg</t>
  </si>
  <si>
    <t>NKZM6E A2</t>
  </si>
  <si>
    <t>PGM6/3E A2</t>
  </si>
  <si>
    <t>&gt;=13</t>
  </si>
  <si>
    <t>&lt;1,4)</t>
  </si>
  <si>
    <t>&lt;5,8)</t>
  </si>
  <si>
    <t>&lt;8,13)</t>
  </si>
  <si>
    <t>LCT100H50NMC</t>
  </si>
  <si>
    <t>GSW76x1600N</t>
  </si>
  <si>
    <t>CWP40H35/2,2MC</t>
  </si>
  <si>
    <t>CWP40H35/3,3MC</t>
  </si>
  <si>
    <t>LC40H35MC</t>
  </si>
  <si>
    <t>1150-1200</t>
  </si>
  <si>
    <t>1200-1250</t>
  </si>
  <si>
    <t>1250-1300</t>
  </si>
  <si>
    <t>TYŁ H4G2</t>
  </si>
  <si>
    <t>wiatr/śnieg</t>
  </si>
  <si>
    <t>&lt;9,13)</t>
  </si>
  <si>
    <t>&lt;2,9)</t>
  </si>
  <si>
    <t>NOW100X50SR</t>
  </si>
  <si>
    <t>TYŁ H5G2</t>
  </si>
  <si>
    <t>TYŁ ŁĄCZNIK H5G2</t>
  </si>
  <si>
    <t>3- poniżej 500 m.n.p.m</t>
  </si>
  <si>
    <t>PRZÓD H6G2</t>
  </si>
  <si>
    <t>TYŁ H6G2</t>
  </si>
  <si>
    <t>TYŁ ŁĄCZNIK H6G2</t>
  </si>
  <si>
    <t>TYŁ V2G2-25</t>
  </si>
  <si>
    <t>TYŁ V2G2-30</t>
  </si>
  <si>
    <t>TYŁ V3G2</t>
  </si>
  <si>
    <t>TYŁ ŁĄCZNIK V3G2</t>
  </si>
  <si>
    <t>BRAK MOŻLIWOŚCI MONTAŻU</t>
  </si>
  <si>
    <t>W-H4G2-BI</t>
  </si>
  <si>
    <t>W-V2G2-BI</t>
  </si>
  <si>
    <t>1300-1350</t>
  </si>
  <si>
    <t>2300-2350</t>
  </si>
  <si>
    <t>2350-2400</t>
  </si>
  <si>
    <t>h4g2 bi odstep 20mm</t>
  </si>
  <si>
    <t>w-v2g2 bi + zwykle</t>
  </si>
  <si>
    <t>1350-1400</t>
  </si>
  <si>
    <t>v2g1</t>
  </si>
  <si>
    <t>w-v3g2</t>
  </si>
  <si>
    <t>h4g2</t>
  </si>
  <si>
    <t>h4g2 bi odstep 50mm</t>
  </si>
  <si>
    <t>h5g2</t>
  </si>
  <si>
    <t>h6g2</t>
  </si>
  <si>
    <t>CT/pg</t>
  </si>
  <si>
    <t>ct/pg</t>
  </si>
  <si>
    <t>LCTW100H50MC</t>
  </si>
  <si>
    <t>PP10E A2</t>
  </si>
  <si>
    <t>SGKFM8x14</t>
  </si>
  <si>
    <t>PRZÓD V2G2-BI-25</t>
  </si>
  <si>
    <t>PRZÓD V2G2-BI-30</t>
  </si>
  <si>
    <t>TYŁ V2G2-BI-25</t>
  </si>
  <si>
    <t>TYŁ V2G2-BI-30</t>
  </si>
  <si>
    <t>PW10F</t>
  </si>
  <si>
    <t>NOW100x50SR</t>
  </si>
  <si>
    <t>CWCR100H50/3,3MC</t>
  </si>
  <si>
    <t>CWCR100H50/4,4MC</t>
  </si>
  <si>
    <t>CWCR100H50/6,6MC</t>
  </si>
  <si>
    <t>LCWR100H50MC</t>
  </si>
  <si>
    <t>CCS50H35/1,3MC</t>
  </si>
  <si>
    <t>CCS50H35/1,4MC</t>
  </si>
  <si>
    <t>CC50H35/3,3MC</t>
  </si>
  <si>
    <t>CC50H35/2,2MC</t>
  </si>
  <si>
    <t>LCW50H35MC</t>
  </si>
  <si>
    <t>BUF30MC</t>
  </si>
  <si>
    <t>BUF32MC</t>
  </si>
  <si>
    <t>BUF35MC</t>
  </si>
  <si>
    <t>BUF40MC</t>
  </si>
  <si>
    <t>2400-2450</t>
  </si>
  <si>
    <t>2450-2500</t>
  </si>
  <si>
    <t>DP-DTVBN</t>
  </si>
  <si>
    <t>DP-DTAVBN</t>
  </si>
  <si>
    <t>DP-DTHBN</t>
  </si>
  <si>
    <t>cc55h50</t>
  </si>
  <si>
    <t>own</t>
  </si>
  <si>
    <t>dthk</t>
  </si>
  <si>
    <t>dthk- wschód/zachód</t>
  </si>
  <si>
    <t>v</t>
  </si>
  <si>
    <t>h</t>
  </si>
  <si>
    <t>TYŁ ŁĄCZNIK V2G2-30</t>
  </si>
  <si>
    <t>&lt;2,6)</t>
  </si>
  <si>
    <t>&lt;6,10)</t>
  </si>
  <si>
    <t>&gt;=10</t>
  </si>
  <si>
    <t>SSZ8X12E A2</t>
  </si>
  <si>
    <t>NRKM8PV</t>
  </si>
  <si>
    <t>SMM10X70F</t>
  </si>
  <si>
    <t>PP10F</t>
  </si>
  <si>
    <t xml:space="preserve">w-v2g2 bi </t>
  </si>
  <si>
    <t>LCCW50H35MC</t>
  </si>
  <si>
    <t>BUFMC</t>
  </si>
  <si>
    <t>DUFWE</t>
  </si>
  <si>
    <t>PGWZMC</t>
  </si>
  <si>
    <t>BR45/1MC</t>
  </si>
  <si>
    <t>OWN10/1,8MC</t>
  </si>
  <si>
    <t>OWN10/2,12MC</t>
  </si>
  <si>
    <t>OWN10/2,4MC</t>
  </si>
  <si>
    <t>osłony</t>
  </si>
  <si>
    <t>il. Osłon na rząd</t>
  </si>
  <si>
    <t>SPM</t>
  </si>
  <si>
    <t>OWN15/1,8MC</t>
  </si>
  <si>
    <t>OWN20/1,8MC</t>
  </si>
  <si>
    <t>OWN15/2,12MC</t>
  </si>
  <si>
    <t>OWN20/2,12MC</t>
  </si>
  <si>
    <t>OWN15/2,4MC</t>
  </si>
  <si>
    <t>OWN20/2,4MC</t>
  </si>
  <si>
    <t>GSW76x2200N</t>
  </si>
  <si>
    <t>2500-2550</t>
  </si>
  <si>
    <t>2550-2600</t>
  </si>
  <si>
    <t>suma</t>
  </si>
  <si>
    <t>SMM8X16F</t>
  </si>
  <si>
    <t>SMM</t>
  </si>
  <si>
    <t>OWN</t>
  </si>
  <si>
    <t>CP50H35/0,3MC</t>
  </si>
  <si>
    <t>CP50H35/0,45MC</t>
  </si>
  <si>
    <t>CP50H35/0,55MC</t>
  </si>
  <si>
    <t>SMM10x70F</t>
  </si>
  <si>
    <t>SGKFM8x16</t>
  </si>
  <si>
    <t>UPDMC</t>
  </si>
  <si>
    <t>MJ</t>
  </si>
  <si>
    <t>EAN</t>
  </si>
  <si>
    <t>Hmotnosť [kg]</t>
  </si>
  <si>
    <t>Colné číslo</t>
  </si>
  <si>
    <t>ks</t>
  </si>
  <si>
    <t>100ks</t>
  </si>
  <si>
    <t>Počet</t>
  </si>
  <si>
    <t>Cena netto [€]</t>
  </si>
  <si>
    <t>Spolu netto [€]</t>
  </si>
  <si>
    <t>Zľava</t>
  </si>
  <si>
    <t xml:space="preserve">Cena netto po zľave [€] </t>
  </si>
  <si>
    <t>Spolu netto po zľave [€]</t>
  </si>
  <si>
    <t>KONŠTRUKCIA DS-H6bN</t>
  </si>
  <si>
    <t>KONŠTRUKCIA DS-V6bN</t>
  </si>
  <si>
    <t>KONŠTRUKCIA DS-H6aN</t>
  </si>
  <si>
    <t>KONŠTRUKCIA DS-V6aN</t>
  </si>
  <si>
    <t>rozmer panelov</t>
  </si>
  <si>
    <t>rozostup montážnych držiakov</t>
  </si>
  <si>
    <t>uloženie panelov</t>
  </si>
  <si>
    <t>typ držiakov</t>
  </si>
  <si>
    <t>farba držiakov</t>
  </si>
  <si>
    <t>rozmer skrutiek s dvojitým závitom</t>
  </si>
  <si>
    <t>zľava</t>
  </si>
  <si>
    <t>typ profilov</t>
  </si>
  <si>
    <t>skrutky na montáž</t>
  </si>
  <si>
    <t>[ks]</t>
  </si>
  <si>
    <t>vertikálne</t>
  </si>
  <si>
    <t>horizontálne</t>
  </si>
  <si>
    <t>štandardné</t>
  </si>
  <si>
    <t>klik</t>
  </si>
  <si>
    <t>strieborná</t>
  </si>
  <si>
    <t>čierna</t>
  </si>
  <si>
    <t>40x35 oceľ</t>
  </si>
  <si>
    <t>40x40 hliník</t>
  </si>
  <si>
    <t>30x32 hliník</t>
  </si>
  <si>
    <t>nie je nastaviteľný</t>
  </si>
  <si>
    <t>nastaviteľné</t>
  </si>
  <si>
    <t>NEPLATÍ</t>
  </si>
  <si>
    <t>optimalizátora</t>
  </si>
  <si>
    <t>spôsob montáže konštrukcie</t>
  </si>
  <si>
    <t>uhol sklonu panelov</t>
  </si>
  <si>
    <t>max. vzdialenosť trojuholníkov</t>
  </si>
  <si>
    <t>veterná zóna pre Poľsko</t>
  </si>
  <si>
    <t>snehová zóna pre Poľsko</t>
  </si>
  <si>
    <t>v súlade s normou PN-EN 1991-1-4</t>
  </si>
  <si>
    <t>v súlade s normou PN-EN 1991-1-3</t>
  </si>
  <si>
    <t>zaťažená</t>
  </si>
  <si>
    <t>kotvená</t>
  </si>
  <si>
    <t>prilepená</t>
  </si>
  <si>
    <t>na lištách SMA40</t>
  </si>
  <si>
    <t>NESPRÁVNA KOMBINÁCIA ZÓN</t>
  </si>
  <si>
    <t>3- menej akoj 500 m.n.p.m</t>
  </si>
  <si>
    <t>počet meničov</t>
  </si>
  <si>
    <t>max. vzdialenosť podpier je</t>
  </si>
  <si>
    <t>KONŠTRUKCIA W-V2G2-25°</t>
  </si>
  <si>
    <t>KONŠTRUKCIA W-V2B2-25°</t>
  </si>
  <si>
    <t>KONŠTRUKCIA W-V2K2-25°</t>
  </si>
  <si>
    <t>KONŠTRUKCIA W-V2S2-25°</t>
  </si>
  <si>
    <t>KONŠTRUKCIA W-V2G2-30°</t>
  </si>
  <si>
    <t>KONŠTRUKCIA W-V2B2-30°</t>
  </si>
  <si>
    <t>KONŠTRUKCIA W-V2K2-30°</t>
  </si>
  <si>
    <t>KONŠTRUKCIA W-V2S2-30°</t>
  </si>
  <si>
    <t>KONŠTRUKCIA W-V2G1-25°</t>
  </si>
  <si>
    <t>KONŠTRUKCIA W-V2B1-25°</t>
  </si>
  <si>
    <t>KONŠTRUKCIA W-V2K1-25°</t>
  </si>
  <si>
    <t>KONŠTRUKCIA W-V2S1-25°</t>
  </si>
  <si>
    <t>KONŠTRUKCIA W-V2G1-30°</t>
  </si>
  <si>
    <t>KONŠTRUKCIA W-V2B1-30°</t>
  </si>
  <si>
    <t>KONŠTRUKCIA W-V2K1-30°</t>
  </si>
  <si>
    <t>KONŠTRUKCIA W-V2S1-30°</t>
  </si>
  <si>
    <t>KONŠTRUKCIA W-V2G2-BI-25°</t>
  </si>
  <si>
    <t>KONŠTRUKCIA W-V2B2-BI-25°</t>
  </si>
  <si>
    <t>KONŠTRUKCIA W-V2K2-BI-25°</t>
  </si>
  <si>
    <t>KONŠTRUKCIA W-V2S2-BI-25°</t>
  </si>
  <si>
    <t>KONŠTRUKCIA W-V2G2-BI-30°</t>
  </si>
  <si>
    <t>KONŠTRUKCIA W-V2B2-BI-30°</t>
  </si>
  <si>
    <t>KONŠTRUKCIA W-V2K2-BI-30°</t>
  </si>
  <si>
    <t>KONŠTRUKCIA W-V2S2-BI-30°</t>
  </si>
  <si>
    <t>Montáž invertora</t>
  </si>
  <si>
    <t>zatĺkaná</t>
  </si>
  <si>
    <t>betónovaná</t>
  </si>
  <si>
    <t>na zemných skrutkach</t>
  </si>
  <si>
    <t>Príručka - verzia zatĺkaná</t>
  </si>
  <si>
    <t>Príručka - verzia betónovaná</t>
  </si>
  <si>
    <t>Príručka - verzia kotvená</t>
  </si>
  <si>
    <t>Príručka - verzia na zemných skrutkach</t>
  </si>
  <si>
    <t>nesprávna kombinácia zón</t>
  </si>
  <si>
    <t>Dĺžka modulu+50mm</t>
  </si>
  <si>
    <t>2XŠírka modulu+40mm</t>
  </si>
  <si>
    <t>usporiadanie panelov</t>
  </si>
  <si>
    <t>Typ svorky</t>
  </si>
  <si>
    <t>Počet obalov</t>
  </si>
  <si>
    <t>zoznam nezahŕňa upevňovacie kotvy</t>
  </si>
  <si>
    <t>KONŠTRUKCIA E-VKTN</t>
  </si>
  <si>
    <t>KONŠTRUKCIA B-VPN</t>
  </si>
  <si>
    <t>Výpočet počtu panelov</t>
  </si>
  <si>
    <t>VEĽKOSŤ INŠTALÁCIE [MW]</t>
  </si>
  <si>
    <t xml:space="preserve">VÝKON PANELOV [W] </t>
  </si>
  <si>
    <t>POČET PANELOV [KS]</t>
  </si>
  <si>
    <t>VEĽKOSŤ INŠTALÁCIE [KW]</t>
  </si>
  <si>
    <t>Prevodník jednotiek</t>
  </si>
  <si>
    <t>Výpočet minimálnej vzdialenosti medzi radmi panelov - ploché strechy</t>
  </si>
  <si>
    <t>Usporiadanie panelov</t>
  </si>
  <si>
    <t>Uhol sklonu strechy [°]</t>
  </si>
  <si>
    <t>Dĺžka rámu panelov [mm]</t>
  </si>
  <si>
    <t>Šírka rámu panelov [mm]</t>
  </si>
  <si>
    <t>Uhol dopadu slnečných lúčov [°]</t>
  </si>
  <si>
    <t>Uhol sklonu panelov [°]</t>
  </si>
  <si>
    <t>Vzdialenosť medzi radmi panelov [mm]</t>
  </si>
  <si>
    <t>Výpočet mnimálnej vzdialenosti medzi radmi panelov - voľne stojace konštrukcie</t>
  </si>
  <si>
    <t>Typ konštrukcie</t>
  </si>
  <si>
    <t>VSTUPNÉ ÚDAJE</t>
  </si>
  <si>
    <t>VYPOČÍTANÁ HODNOTA</t>
  </si>
  <si>
    <t>počet panelov v rade [ks]</t>
  </si>
  <si>
    <t>počet radov [ks]</t>
  </si>
  <si>
    <t>typ držiaka falcov</t>
  </si>
  <si>
    <t>typ strešného držiaka</t>
  </si>
  <si>
    <t>počet panelov v 2 radoch [ks]</t>
  </si>
  <si>
    <t>počet panelov na 1 stôl [ks]</t>
  </si>
  <si>
    <t>počet stolov [ks]</t>
  </si>
  <si>
    <t>uhol sklonu modulov</t>
  </si>
  <si>
    <t>vzdialenosť podpier je</t>
  </si>
  <si>
    <t>kotvy vyberte podľa pre daný typ fasády</t>
  </si>
  <si>
    <t>Katalógové číslo</t>
  </si>
  <si>
    <t>CP50H35/0,25MC</t>
  </si>
  <si>
    <t>CP50H35/0,35MC</t>
  </si>
  <si>
    <t>5900993227321</t>
  </si>
  <si>
    <t>Príručka</t>
  </si>
  <si>
    <t>KONŠTRUKCIA W-H5G2-25°</t>
  </si>
  <si>
    <t>KONŠTRUKCIA W-H5B2-25°</t>
  </si>
  <si>
    <t>KONŠTRUKCIA W-H5K2-25°</t>
  </si>
  <si>
    <t>KONŠTRUKCIA W-H5S2-25°</t>
  </si>
  <si>
    <t>KONŠTRUKCIA W-H5G2-30°</t>
  </si>
  <si>
    <t>KONŠTRUKCIA W-H5B2-30°</t>
  </si>
  <si>
    <t>KONŠTRUKCIA W-H5K2-30°</t>
  </si>
  <si>
    <t>KONŠTRUKCIA W-H5S2-30°</t>
  </si>
  <si>
    <t>TYŁ H4G2-bi</t>
  </si>
  <si>
    <t>Príručka - verzia zaťažená</t>
  </si>
  <si>
    <t>Príručka - verzia prilepená</t>
  </si>
  <si>
    <t>Príručka - verzia na lištách SMA40</t>
  </si>
  <si>
    <t>Príručka DS-V6aN</t>
  </si>
  <si>
    <t>Príručka DS-V6bN</t>
  </si>
  <si>
    <t>PC50P</t>
  </si>
  <si>
    <t>PC100P</t>
  </si>
  <si>
    <t>PC100C</t>
  </si>
  <si>
    <t>5900993224856</t>
  </si>
  <si>
    <t>5900993224863</t>
  </si>
  <si>
    <t>5900993231748</t>
  </si>
  <si>
    <t>5900993228915</t>
  </si>
  <si>
    <t>5900993228922</t>
  </si>
  <si>
    <t>5900993228960</t>
  </si>
  <si>
    <t>5900993228939</t>
  </si>
  <si>
    <t>5900993228977</t>
  </si>
  <si>
    <t>5900993228946</t>
  </si>
  <si>
    <t>5900993228953</t>
  </si>
  <si>
    <t>5900993228991</t>
  </si>
  <si>
    <t>5900993228984</t>
  </si>
  <si>
    <t>5900993229196</t>
  </si>
  <si>
    <t>5900993232233</t>
  </si>
  <si>
    <t>5900993229578</t>
  </si>
  <si>
    <t>5900993229585</t>
  </si>
  <si>
    <t>5900993224870</t>
  </si>
  <si>
    <t>5900993224887</t>
  </si>
  <si>
    <t>5900993224894</t>
  </si>
  <si>
    <t>5900993206883</t>
  </si>
  <si>
    <t>5900993224900</t>
  </si>
  <si>
    <t>5900993224917</t>
  </si>
  <si>
    <t>5900993206890</t>
  </si>
  <si>
    <t>5900993224924</t>
  </si>
  <si>
    <t>5900993206906</t>
  </si>
  <si>
    <t>5900993206913</t>
  </si>
  <si>
    <t>5900993206920</t>
  </si>
  <si>
    <t>5900993224931</t>
  </si>
  <si>
    <t>5900993224948</t>
  </si>
  <si>
    <t>5900993224955</t>
  </si>
  <si>
    <t>5900993224962</t>
  </si>
  <si>
    <t>5900993224979</t>
  </si>
  <si>
    <t>5900993224986</t>
  </si>
  <si>
    <t>5900993224993</t>
  </si>
  <si>
    <t>5900993225006</t>
  </si>
  <si>
    <t>5900993225013</t>
  </si>
  <si>
    <t>5900993225020</t>
  </si>
  <si>
    <t>5900993225037</t>
  </si>
  <si>
    <t>5900993225044</t>
  </si>
  <si>
    <t>5900993231977</t>
  </si>
  <si>
    <t>5900993231984</t>
  </si>
  <si>
    <t>5900993231991</t>
  </si>
  <si>
    <t>5900993232004</t>
  </si>
  <si>
    <t>5900993226744</t>
  </si>
  <si>
    <t>5900993226768</t>
  </si>
  <si>
    <t>5900993232271</t>
  </si>
  <si>
    <t>5900993232011</t>
  </si>
  <si>
    <t>5900993226775</t>
  </si>
  <si>
    <t>5900993226751</t>
  </si>
  <si>
    <t>5900993232028</t>
  </si>
  <si>
    <t>5900993232035</t>
  </si>
  <si>
    <t>5900993229691</t>
  </si>
  <si>
    <t>5900993229684</t>
  </si>
  <si>
    <t>5900993232042</t>
  </si>
  <si>
    <t>5900993226782</t>
  </si>
  <si>
    <t>5900993232059</t>
  </si>
  <si>
    <t>5900993229677</t>
  </si>
  <si>
    <t>5900993229660</t>
  </si>
  <si>
    <t>5900993225419</t>
  </si>
  <si>
    <t>5900993225426</t>
  </si>
  <si>
    <t>5900993225433</t>
  </si>
  <si>
    <t>5900993226799</t>
  </si>
  <si>
    <t>5900993227208</t>
  </si>
  <si>
    <t>5900993232288</t>
  </si>
  <si>
    <t>5900993226805</t>
  </si>
  <si>
    <t>5900993226812</t>
  </si>
  <si>
    <t>5900993226829</t>
  </si>
  <si>
    <t>5900993225440</t>
  </si>
  <si>
    <t>5900993225457</t>
  </si>
  <si>
    <t>5900993232301</t>
  </si>
  <si>
    <t>5900993232318</t>
  </si>
  <si>
    <t>5900993232325</t>
  </si>
  <si>
    <t>5900993232295</t>
  </si>
  <si>
    <t>5900993232332</t>
  </si>
  <si>
    <t>5900993229004</t>
  </si>
  <si>
    <t>5900993229011</t>
  </si>
  <si>
    <t>5900993229028</t>
  </si>
  <si>
    <t>5900993229035</t>
  </si>
  <si>
    <t>5900993229042</t>
  </si>
  <si>
    <t>5900993229059</t>
  </si>
  <si>
    <t>5900993229066</t>
  </si>
  <si>
    <t>5900993232264</t>
  </si>
  <si>
    <t>5900993231915</t>
  </si>
  <si>
    <t>5900993231922</t>
  </si>
  <si>
    <t>5900993231939</t>
  </si>
  <si>
    <t>5900993232066</t>
  </si>
  <si>
    <t>5900993227260</t>
  </si>
  <si>
    <t>5900993225594</t>
  </si>
  <si>
    <t>5900993231885</t>
  </si>
  <si>
    <t>5900993231892</t>
  </si>
  <si>
    <t>5900993229103</t>
  </si>
  <si>
    <t>5900993229127</t>
  </si>
  <si>
    <t>5900993229110</t>
  </si>
  <si>
    <t>5900993229134</t>
  </si>
  <si>
    <t>5900993229141</t>
  </si>
  <si>
    <t>5900993229158</t>
  </si>
  <si>
    <t>5900993229165</t>
  </si>
  <si>
    <t>5900993227406</t>
  </si>
  <si>
    <t>5900993227413</t>
  </si>
  <si>
    <t>5900993227420</t>
  </si>
  <si>
    <t>5900993227437</t>
  </si>
  <si>
    <t>5900993227444</t>
  </si>
  <si>
    <t>5900993227451</t>
  </si>
  <si>
    <t>5900993227468</t>
  </si>
  <si>
    <t>5900993227475</t>
  </si>
  <si>
    <t>5900993227482</t>
  </si>
  <si>
    <t>5900993227499</t>
  </si>
  <si>
    <t>5900993227505</t>
  </si>
  <si>
    <t>5900993227512</t>
  </si>
  <si>
    <t>5900993227529</t>
  </si>
  <si>
    <t>5900993227536</t>
  </si>
  <si>
    <t>5900993227543</t>
  </si>
  <si>
    <t>5900993226324</t>
  </si>
  <si>
    <t>5900993226331</t>
  </si>
  <si>
    <t>5900993226348</t>
  </si>
  <si>
    <t>5900993229202</t>
  </si>
  <si>
    <t>5900993225723</t>
  </si>
  <si>
    <t>5900993227161</t>
  </si>
  <si>
    <t>5900993225730</t>
  </si>
  <si>
    <t>5900993225747</t>
  </si>
  <si>
    <t>5900993229219</t>
  </si>
  <si>
    <t>5900993229172</t>
  </si>
  <si>
    <t>5900993229653</t>
  </si>
  <si>
    <t>5900993225754</t>
  </si>
  <si>
    <t>5900993227178</t>
  </si>
  <si>
    <t>5900993226508</t>
  </si>
  <si>
    <t>5900993231779</t>
  </si>
  <si>
    <t>5900993232073</t>
  </si>
  <si>
    <t>5900993229226</t>
  </si>
  <si>
    <t>5900993229233</t>
  </si>
  <si>
    <t>5900993229240</t>
  </si>
  <si>
    <t>5900993226881</t>
  </si>
  <si>
    <t>5900993226898</t>
  </si>
  <si>
    <t>5900993226546</t>
  </si>
  <si>
    <t>5900993226553</t>
  </si>
  <si>
    <t>5900993226539</t>
  </si>
  <si>
    <t>5900993226560</t>
  </si>
  <si>
    <t>5900993231908</t>
  </si>
  <si>
    <t>5900993225792</t>
  </si>
  <si>
    <t>5900993227642</t>
  </si>
  <si>
    <t>5900993232080</t>
  </si>
  <si>
    <t>5900993231953</t>
  </si>
  <si>
    <t>5900993225853</t>
  </si>
  <si>
    <t>5900993232097</t>
  </si>
  <si>
    <t>5900993231861</t>
  </si>
  <si>
    <t>5900993231946</t>
  </si>
  <si>
    <t>5900993229257</t>
  </si>
  <si>
    <t>5900993229592</t>
  </si>
  <si>
    <t>5900993229264</t>
  </si>
  <si>
    <t>5900993227659</t>
  </si>
  <si>
    <t>5900993226577</t>
  </si>
  <si>
    <t>5900993226355</t>
  </si>
  <si>
    <t>5900993226362</t>
  </si>
  <si>
    <t>5900993226904</t>
  </si>
  <si>
    <t>5900993226911</t>
  </si>
  <si>
    <t>5900993231854</t>
  </si>
  <si>
    <t>5900993227635</t>
  </si>
  <si>
    <t>5900993232103</t>
  </si>
  <si>
    <t>5900993229271</t>
  </si>
  <si>
    <t>5900993226379</t>
  </si>
  <si>
    <t>5900993232110</t>
  </si>
  <si>
    <t>5900993232127</t>
  </si>
  <si>
    <t>5900993232134</t>
  </si>
  <si>
    <t>5900993232141</t>
  </si>
  <si>
    <t>5900993232158</t>
  </si>
  <si>
    <t>5900993232165</t>
  </si>
  <si>
    <t>5900993232172</t>
  </si>
  <si>
    <t>5900993232189</t>
  </si>
  <si>
    <t>5900993232196</t>
  </si>
  <si>
    <t>5900993229486</t>
  </si>
  <si>
    <t>5900993231960</t>
  </si>
  <si>
    <t>5900993229509</t>
  </si>
  <si>
    <t>5900993229516</t>
  </si>
  <si>
    <t>5900993229523</t>
  </si>
  <si>
    <t>5900993227239</t>
  </si>
  <si>
    <t>5900993225068</t>
  </si>
  <si>
    <t>5900993227154</t>
  </si>
  <si>
    <t>5900993232240</t>
  </si>
  <si>
    <t>5900993225082</t>
  </si>
  <si>
    <t>5900993225099</t>
  </si>
  <si>
    <t>5900993232257</t>
  </si>
  <si>
    <t>5900993225105</t>
  </si>
  <si>
    <t>5900993227253</t>
  </si>
  <si>
    <t>5900993229318</t>
  </si>
  <si>
    <t>5900993229325</t>
  </si>
  <si>
    <t>5900993229332</t>
  </si>
  <si>
    <t>5900993229349</t>
  </si>
  <si>
    <t>5900993229356</t>
  </si>
  <si>
    <t>5900993229363</t>
  </si>
  <si>
    <t>5900993229189</t>
  </si>
  <si>
    <t>5900993231755</t>
  </si>
  <si>
    <t>5900993226386</t>
  </si>
  <si>
    <t>5900993226409</t>
  </si>
  <si>
    <t>5900993227116</t>
  </si>
  <si>
    <t>5900993225198</t>
  </si>
  <si>
    <t>5900993225204</t>
  </si>
  <si>
    <t>5900993225211</t>
  </si>
  <si>
    <t>5900993227079</t>
  </si>
  <si>
    <t>5900993227291</t>
  </si>
  <si>
    <t>5900993225983</t>
  </si>
  <si>
    <t>5900993226416</t>
  </si>
  <si>
    <t>5900993226423</t>
  </si>
  <si>
    <t>5900993227246</t>
  </si>
  <si>
    <t>5900993226430</t>
  </si>
  <si>
    <t>5900993224818</t>
  </si>
  <si>
    <t>5900993227222</t>
  </si>
  <si>
    <t>5900993224849</t>
  </si>
  <si>
    <t>5900993229646</t>
  </si>
  <si>
    <t>5900993229622</t>
  </si>
  <si>
    <t>5900993229639</t>
  </si>
  <si>
    <t>5900993227307</t>
  </si>
  <si>
    <t>5900993227314</t>
  </si>
  <si>
    <t>5900993226454</t>
  </si>
  <si>
    <t>5900993226607</t>
  </si>
  <si>
    <t>5900993229554</t>
  </si>
  <si>
    <t>5900993225174</t>
  </si>
  <si>
    <t>5900993229530</t>
  </si>
  <si>
    <t>5900993225181</t>
  </si>
  <si>
    <t>5900993229547</t>
  </si>
  <si>
    <t>5900993226713</t>
  </si>
  <si>
    <t>5900993229462</t>
  </si>
  <si>
    <t>5900993229479</t>
  </si>
  <si>
    <t>5900993229394</t>
  </si>
  <si>
    <t>5900993227338</t>
  </si>
  <si>
    <t>5900993226461</t>
  </si>
  <si>
    <t>5900993231786</t>
  </si>
  <si>
    <t>5900993226737</t>
  </si>
  <si>
    <t>5900993227345</t>
  </si>
  <si>
    <t>5900993226010</t>
  </si>
  <si>
    <t>5900993227550</t>
  </si>
  <si>
    <t>5900993227567</t>
  </si>
  <si>
    <t>5900993227574</t>
  </si>
  <si>
    <t>5900993227581</t>
  </si>
  <si>
    <t>5900993227598</t>
  </si>
  <si>
    <t>5900993227604</t>
  </si>
  <si>
    <t>5900993227611</t>
  </si>
  <si>
    <t>5900993227628</t>
  </si>
  <si>
    <t>5900993227383</t>
  </si>
  <si>
    <t>5900993227390</t>
  </si>
  <si>
    <t>5900993227369</t>
  </si>
  <si>
    <t>5900993227376</t>
  </si>
  <si>
    <t>5900993229561</t>
  </si>
  <si>
    <t>5900993227185</t>
  </si>
  <si>
    <t>5900993229400</t>
  </si>
  <si>
    <t>5900993229417</t>
  </si>
  <si>
    <t>5900993229424</t>
  </si>
  <si>
    <t>5900993229431</t>
  </si>
  <si>
    <t>5900993229448</t>
  </si>
  <si>
    <t>5900993229455</t>
  </si>
  <si>
    <t>PUPL</t>
  </si>
  <si>
    <t>LCK1ES</t>
  </si>
  <si>
    <t>PAL40H40/0,4</t>
  </si>
  <si>
    <t>Montážny adaptér (1.4301)</t>
  </si>
  <si>
    <t>Názov</t>
  </si>
  <si>
    <t>Adaptér</t>
  </si>
  <si>
    <t>Profil 2,75 m</t>
  </si>
  <si>
    <t>Profil 3,2 m</t>
  </si>
  <si>
    <t>Profil 3,6 m</t>
  </si>
  <si>
    <t>Profil 4,4 m</t>
  </si>
  <si>
    <t>Profil 4,8 m</t>
  </si>
  <si>
    <t>Profil 5,4 m</t>
  </si>
  <si>
    <t>Profil 6,4 m</t>
  </si>
  <si>
    <t>Profil 6,8 m</t>
  </si>
  <si>
    <t>Profil 6,0 m</t>
  </si>
  <si>
    <t>Bok striešky meniča</t>
  </si>
  <si>
    <t>Dištančný plech</t>
  </si>
  <si>
    <t>Držiak panela bočný (Hliník AW-6063)</t>
  </si>
  <si>
    <t>Držiak panela bočný (Hliník AW-6063) lakovaný</t>
  </si>
  <si>
    <t>Držiak panela bočný-KLIK (Hliník)</t>
  </si>
  <si>
    <t>Držiak panela bočný-KLIK (Hliník) lakovaný</t>
  </si>
  <si>
    <t>Držiak panela bočný</t>
  </si>
  <si>
    <t>C-uholník 0,3 m</t>
  </si>
  <si>
    <t>C-uholník 0,45 m</t>
  </si>
  <si>
    <t>C-uholník 0,55 m</t>
  </si>
  <si>
    <t>C-uholník 0,85 m</t>
  </si>
  <si>
    <t>C-uholník 1,15 m</t>
  </si>
  <si>
    <t>C-uholník 1,3 m</t>
  </si>
  <si>
    <t>C-uholník 1,5 m</t>
  </si>
  <si>
    <t>C-uholník 1,7 m</t>
  </si>
  <si>
    <t>C-uholník 1,0 m</t>
  </si>
  <si>
    <t>C-uholník 2,2 m</t>
  </si>
  <si>
    <t>C-uholník 3,3 m</t>
  </si>
  <si>
    <t>C-uholník 0,6 m</t>
  </si>
  <si>
    <t>C-uholník 0,7 m</t>
  </si>
  <si>
    <t>C-uholník 1,55 m</t>
  </si>
  <si>
    <t>C-uholník 2,0 m</t>
  </si>
  <si>
    <t>C-uholník 3,0 m</t>
  </si>
  <si>
    <t>C-uholník 1,4 m</t>
  </si>
  <si>
    <t>C-uholník montážny 1,2 m</t>
  </si>
  <si>
    <t>C-uholník montážny 1,5 m</t>
  </si>
  <si>
    <t>C-uholník montážny 1,7 m</t>
  </si>
  <si>
    <t>C-uholník montážny 1,0 m</t>
  </si>
  <si>
    <t>C-uholník montážny 2,2 m</t>
  </si>
  <si>
    <t>C-uholník montážny 2,5 m</t>
  </si>
  <si>
    <t>C-uholník montážny 2,0 m</t>
  </si>
  <si>
    <t>C-uholník montážny 3,5 m</t>
  </si>
  <si>
    <t>C-uholník montážny 3,7 m</t>
  </si>
  <si>
    <t>C-uholník montážny 3,0 m</t>
  </si>
  <si>
    <t>C-uholník montážny 6,0 m</t>
  </si>
  <si>
    <t>C-uholník 4,0 m</t>
  </si>
  <si>
    <t>C-uholník zosilnený 3,3 m</t>
  </si>
  <si>
    <t>C-uholník zosilnený 4,4 m</t>
  </si>
  <si>
    <t>C-uholník zosilnený 6,6 m</t>
  </si>
  <si>
    <t>C-uholník zosilnený 4,0 m</t>
  </si>
  <si>
    <t>C-uholník zosilnený 1,5 m</t>
  </si>
  <si>
    <t>C-uholník zosilnený 3,2 m</t>
  </si>
  <si>
    <t>C-uholník zosilnený 3,6 m</t>
  </si>
  <si>
    <t>C-uholník zosilnený 2,2 m</t>
  </si>
  <si>
    <t>C-uholník zosilnený 1,0 m</t>
  </si>
  <si>
    <t>C-uholník zosilnený 2,4 m</t>
  </si>
  <si>
    <t>C-uholník zosilnený 2,0 m</t>
  </si>
  <si>
    <t>C-uholník zosilnený 3,4 m</t>
  </si>
  <si>
    <t>C-uholník zosilnený 3,0 m</t>
  </si>
  <si>
    <t>Strmeň oválny</t>
  </si>
  <si>
    <t>Strmeň hranatý</t>
  </si>
  <si>
    <t>Skrutka do dreva nerez (100ks)</t>
  </si>
  <si>
    <t>Skrutka do dreva gal. zinkovaná (100ks)</t>
  </si>
  <si>
    <t>Strieška meniča</t>
  </si>
  <si>
    <t>Držiak strešný</t>
  </si>
  <si>
    <t>Držiak strešný so strešnou škrídľou</t>
  </si>
  <si>
    <t>Držiak strešný so strešnou oceľovou škrídľou</t>
  </si>
  <si>
    <t>Držiak strešný regulovateľný</t>
  </si>
  <si>
    <t>Držiak  strešný regulovateľný</t>
  </si>
  <si>
    <t>Gumená páska (bal. 10 m)</t>
  </si>
  <si>
    <t>Zemný vrut</t>
  </si>
  <si>
    <t>Žľab</t>
  </si>
  <si>
    <t>L-uholník hliníkový</t>
  </si>
  <si>
    <t>Spojka C-uholníka</t>
  </si>
  <si>
    <t>Spojka</t>
  </si>
  <si>
    <t>Spojka striešky meniča</t>
  </si>
  <si>
    <t>Spojka hlinikového profilu</t>
  </si>
  <si>
    <t>Matica posuvná s guľkou</t>
  </si>
  <si>
    <t>Matica s golierom vrúbk. (bal. 100ks)</t>
  </si>
  <si>
    <t>Ochranná koncovka AL profilu PAL40x40 čierna</t>
  </si>
  <si>
    <t>Ochranná koncovka AL profilu PAL40x40 šedá</t>
  </si>
  <si>
    <t>Ochranná koncovka</t>
  </si>
  <si>
    <t>Ochranná koncovka pre profil</t>
  </si>
  <si>
    <t>Matica rombova (kosoštvorcová krátka)</t>
  </si>
  <si>
    <t>Univerzálny veterný štít</t>
  </si>
  <si>
    <t>Hliníkový profil 1,15 m</t>
  </si>
  <si>
    <t>Hliníkový profil 2,1 m</t>
  </si>
  <si>
    <t>Hliníkový profil 2,2 m</t>
  </si>
  <si>
    <t>Hliníkový profil 3,15 m</t>
  </si>
  <si>
    <t>Hliníkový profil 3,3 m</t>
  </si>
  <si>
    <t>Hliníkový profil 2,2 m (lakovaný RAL9005)</t>
  </si>
  <si>
    <t>Hliníkový profil 3,3 m (Lakovaný RAL9005)</t>
  </si>
  <si>
    <t>Hliníkový profil 6,3 m</t>
  </si>
  <si>
    <t>Hliníkový profil 6,6 m</t>
  </si>
  <si>
    <t>Základňa</t>
  </si>
  <si>
    <t>Základňa montážna</t>
  </si>
  <si>
    <t>Balastná základňa</t>
  </si>
  <si>
    <t>Kryt</t>
  </si>
  <si>
    <t>Podložka pružná (bal. 100ks) A2</t>
  </si>
  <si>
    <t>Kotva prievlaková - žiar. zinok</t>
  </si>
  <si>
    <t>Držiak panela stredový</t>
  </si>
  <si>
    <t>Držiak panela stredový KLIK</t>
  </si>
  <si>
    <t>Držiak panela stredový KLIK čierny RAL9005</t>
  </si>
  <si>
    <t>Uzemnovacia podložka pre rámy FVE panelov</t>
  </si>
  <si>
    <t>Uzemňovacia podložka pre rámy fotovoltaických panelov</t>
  </si>
  <si>
    <t>Držiak na trapézový plech regulovateľný</t>
  </si>
  <si>
    <t>Skrutka A2</t>
  </si>
  <si>
    <t>Gumená antivibračná podložka (hr. 10 mm)</t>
  </si>
  <si>
    <t>Gumená antivibračná podložka (hr. 5 mm)</t>
  </si>
  <si>
    <t>Skrutka s polguľovou hlavou+matica s golierom (bal. 100ks)</t>
  </si>
  <si>
    <t>Lišta montážna hliníková 0,4 m</t>
  </si>
  <si>
    <t>Lišta montážna hliníková 6,5 m</t>
  </si>
  <si>
    <t>Lišta montážna hliníková 0,33 m</t>
  </si>
  <si>
    <t>Lišta montážna hliníková 6,0 m</t>
  </si>
  <si>
    <t>Skrutka samorezná s EPDM tesnením A2</t>
  </si>
  <si>
    <t>Skrutka s T-hlavou k držiakom UBZRPE</t>
  </si>
  <si>
    <t>Oceľová montážna doska na plochú strechu</t>
  </si>
  <si>
    <t>Spona</t>
  </si>
  <si>
    <t>Skrutka s rombovou mat. (kpl) - žiar.zinok</t>
  </si>
  <si>
    <t>Skrutka so šesťhrannou hlavou (100ks) A2</t>
  </si>
  <si>
    <t>Skrutka s dvojitým závitom</t>
  </si>
  <si>
    <t>Držiak na trapézový plech</t>
  </si>
  <si>
    <t>Držiak panela bočný univerzálny</t>
  </si>
  <si>
    <t>Držiak na strechu s plochým falcom</t>
  </si>
  <si>
    <t>Stredový úchyt panela - voľnostojacej konštr.</t>
  </si>
  <si>
    <t>Vešiak závitovej tyče</t>
  </si>
  <si>
    <t>Výložník zaklápací</t>
  </si>
  <si>
    <t>C-uholník 1,35 m</t>
  </si>
  <si>
    <t>C-uholník 2,6 m</t>
  </si>
  <si>
    <t>C-uholník 0,25 m</t>
  </si>
  <si>
    <t>C-uholník 0,35 m</t>
  </si>
  <si>
    <t>C-uholník zosilnený 2,2 m lak čierny</t>
  </si>
  <si>
    <t>C-uholník zosilnený 3,3 m lak čierny</t>
  </si>
  <si>
    <t>Držiak panela dolný (new 2023)</t>
  </si>
  <si>
    <t>Držiak panela horný  10° (new 2023)</t>
  </si>
  <si>
    <t>Držiak panela horný  15° (new 2023)</t>
  </si>
  <si>
    <t>Držiak panela horný  20° (new 2023)</t>
  </si>
  <si>
    <t>Uzemňujúca podložka pre lakované profily</t>
  </si>
  <si>
    <t>Základňa C-uholníka s antivibračnou gumou</t>
  </si>
  <si>
    <t>Základňa horná  východ - západ</t>
  </si>
  <si>
    <t>Vešiak otočný</t>
  </si>
  <si>
    <t>Držiak na zábradlie univerzálny</t>
  </si>
  <si>
    <t>Podložka (bal. 100ks) žiar. zin.</t>
  </si>
  <si>
    <t>Podložka veľkoplošná (bal. 100ks) žiar. zinok</t>
  </si>
  <si>
    <t>cnp</t>
  </si>
  <si>
    <t>m</t>
  </si>
  <si>
    <t>NOW40x40SR</t>
  </si>
  <si>
    <t>PSRM10X90F</t>
  </si>
  <si>
    <t>BUFK30</t>
  </si>
  <si>
    <t>BUFK30L</t>
  </si>
  <si>
    <t>Držiak strešný zosilnený</t>
  </si>
  <si>
    <t>C-uholník 3 m</t>
  </si>
  <si>
    <t>C-uholník 4 m</t>
  </si>
  <si>
    <t>C-uholník zosilnený 3 m</t>
  </si>
  <si>
    <t>Matica rombova žiar. zinok.</t>
  </si>
  <si>
    <t>SGKFM8X16</t>
  </si>
  <si>
    <t>bal</t>
  </si>
  <si>
    <t>Profil</t>
  </si>
  <si>
    <t>BDFCH100/2,75MC</t>
  </si>
  <si>
    <t>Podložka (bal. 100ks) nerez A2</t>
  </si>
  <si>
    <t>Hliníkový profil 6,0 m</t>
  </si>
  <si>
    <t>PAL40H40/6</t>
  </si>
  <si>
    <t>5900993251241</t>
  </si>
  <si>
    <t>5900993251258</t>
  </si>
  <si>
    <t>5900993251265</t>
  </si>
  <si>
    <t>5900993251272</t>
  </si>
  <si>
    <t>5900993251289</t>
  </si>
  <si>
    <t>5900993251296</t>
  </si>
  <si>
    <t>5900993251302</t>
  </si>
  <si>
    <t>5900993251319</t>
  </si>
  <si>
    <t>5900993251326</t>
  </si>
  <si>
    <t>5900993251333</t>
  </si>
  <si>
    <t>5900993251340</t>
  </si>
  <si>
    <t>5900993251357</t>
  </si>
  <si>
    <t>5900993251364</t>
  </si>
  <si>
    <t>5900993251371</t>
  </si>
  <si>
    <t>5900993251388</t>
  </si>
  <si>
    <t>5900993251395</t>
  </si>
  <si>
    <t>5900993251401</t>
  </si>
  <si>
    <t>5900993251418</t>
  </si>
  <si>
    <t>5900993251425</t>
  </si>
  <si>
    <t>5900993251432</t>
  </si>
  <si>
    <t>5900993251449</t>
  </si>
  <si>
    <t>5900993251456</t>
  </si>
  <si>
    <t>5900993251463</t>
  </si>
  <si>
    <t>5900993251470</t>
  </si>
  <si>
    <t>5900993251487</t>
  </si>
  <si>
    <t>5900993251494</t>
  </si>
  <si>
    <t>5900993251517</t>
  </si>
  <si>
    <t>5900993251524</t>
  </si>
  <si>
    <t>5900993251531</t>
  </si>
  <si>
    <t>5900993251555</t>
  </si>
  <si>
    <t>5900993251562</t>
  </si>
  <si>
    <t>73181639</t>
  </si>
  <si>
    <t>73182200</t>
  </si>
  <si>
    <t>73181595</t>
  </si>
  <si>
    <t>73089059</t>
  </si>
  <si>
    <t>76042990</t>
  </si>
  <si>
    <t>73181575</t>
  </si>
  <si>
    <t>Protective cap for aluminum profile</t>
  </si>
  <si>
    <t>Adaptér bočného držiaka panela</t>
  </si>
  <si>
    <t>5900993253740</t>
  </si>
  <si>
    <t>Adaptér stredového držiaka panela</t>
  </si>
  <si>
    <t>5900993253733</t>
  </si>
  <si>
    <t>Skrutkový adaptér na koncový panel</t>
  </si>
  <si>
    <t>5900993254051</t>
  </si>
  <si>
    <t>Skrutkový adaptér medziľahlého panelu</t>
  </si>
  <si>
    <t>5900993254044</t>
  </si>
  <si>
    <t>Spojovací plech</t>
  </si>
  <si>
    <t>5900993253184</t>
  </si>
  <si>
    <t>5900993253177</t>
  </si>
  <si>
    <t>BUFE30/100</t>
  </si>
  <si>
    <t>5900993252781</t>
  </si>
  <si>
    <t>BUFE30/50</t>
  </si>
  <si>
    <t>5900993252729</t>
  </si>
  <si>
    <t>BUFE30/75</t>
  </si>
  <si>
    <t>5900993252750</t>
  </si>
  <si>
    <t>BUFE32/100</t>
  </si>
  <si>
    <t>5900993252798</t>
  </si>
  <si>
    <t>BUFE32/50</t>
  </si>
  <si>
    <t>5900993252736</t>
  </si>
  <si>
    <t>BUFE32/75</t>
  </si>
  <si>
    <t>5900993252767</t>
  </si>
  <si>
    <t>BUFE35/100</t>
  </si>
  <si>
    <t>5900993252804</t>
  </si>
  <si>
    <t>BUFE35/50</t>
  </si>
  <si>
    <t>5900993252743</t>
  </si>
  <si>
    <t>BUFE35/75</t>
  </si>
  <si>
    <t>5900993252774</t>
  </si>
  <si>
    <t>Držiak panela bočný KLIK</t>
  </si>
  <si>
    <t>BUFEK30/100</t>
  </si>
  <si>
    <t>5900993252668</t>
  </si>
  <si>
    <t>BUFEK30/50</t>
  </si>
  <si>
    <t>5900993252606</t>
  </si>
  <si>
    <t>BUFEK30/75</t>
  </si>
  <si>
    <t>5900993252637</t>
  </si>
  <si>
    <t>BUFEK32/100</t>
  </si>
  <si>
    <t>5900993252675</t>
  </si>
  <si>
    <t>BUFEK32/50</t>
  </si>
  <si>
    <t>5900993252613</t>
  </si>
  <si>
    <t>BUFEK32/75</t>
  </si>
  <si>
    <t>5900993252644</t>
  </si>
  <si>
    <t>BUFEK35/100</t>
  </si>
  <si>
    <t>5900993252682</t>
  </si>
  <si>
    <t>BUFEK35/50</t>
  </si>
  <si>
    <t>5900993252620</t>
  </si>
  <si>
    <t>BUFEK35/75</t>
  </si>
  <si>
    <t>5900993252651</t>
  </si>
  <si>
    <t>5900993253573</t>
  </si>
  <si>
    <t>5900993253580</t>
  </si>
  <si>
    <t>Unverzálny držiak na zábradlie</t>
  </si>
  <si>
    <t>5900993252811</t>
  </si>
  <si>
    <t>Nosník horizontálny</t>
  </si>
  <si>
    <t>5900993253788</t>
  </si>
  <si>
    <t>Symetrický nosník</t>
  </si>
  <si>
    <t>5900993253948</t>
  </si>
  <si>
    <t>Ukončovací plech</t>
  </si>
  <si>
    <t>5900993253207</t>
  </si>
  <si>
    <t>5900993253191</t>
  </si>
  <si>
    <t>Ľavá väznica</t>
  </si>
  <si>
    <t>5900993253818</t>
  </si>
  <si>
    <t>Pravá väznica</t>
  </si>
  <si>
    <t>5900993253825</t>
  </si>
  <si>
    <t>Križovatka žľabu</t>
  </si>
  <si>
    <t>5900993253108</t>
  </si>
  <si>
    <t>5900993253092</t>
  </si>
  <si>
    <t>Križovatka žľabu KLIK</t>
  </si>
  <si>
    <t>5900993253085</t>
  </si>
  <si>
    <t>5900993253078</t>
  </si>
  <si>
    <t>Nadstavec prístrešku pre jedno auto</t>
  </si>
  <si>
    <t>DK1</t>
  </si>
  <si>
    <t>kpl</t>
  </si>
  <si>
    <t>5900993254082</t>
  </si>
  <si>
    <t>Nadstavec prístrešku na jedno auto, lakovaný</t>
  </si>
  <si>
    <t>DK1L</t>
  </si>
  <si>
    <t>5900993254099</t>
  </si>
  <si>
    <t>Nadstavec dvoprístrešku na auto</t>
  </si>
  <si>
    <t>DK2</t>
  </si>
  <si>
    <t>5900993254129</t>
  </si>
  <si>
    <t>Nadstavec dvoprístrešku na auto lakovaný</t>
  </si>
  <si>
    <t>DK2L</t>
  </si>
  <si>
    <t>5900993254136</t>
  </si>
  <si>
    <t>Betónový základ</t>
  </si>
  <si>
    <t>FB92M14</t>
  </si>
  <si>
    <t>5900993253979</t>
  </si>
  <si>
    <t>Prístrešok pre jedno auto</t>
  </si>
  <si>
    <t>K1</t>
  </si>
  <si>
    <t>5900993254068</t>
  </si>
  <si>
    <t>Krokva</t>
  </si>
  <si>
    <t>5900993253801</t>
  </si>
  <si>
    <t>Prístrešok pre jedno auto lakovaný</t>
  </si>
  <si>
    <t>K1L</t>
  </si>
  <si>
    <t>5900993254075</t>
  </si>
  <si>
    <t>Dvojitý prístrešok pre auto</t>
  </si>
  <si>
    <t>K2</t>
  </si>
  <si>
    <t>5900993254105</t>
  </si>
  <si>
    <t>Dvojitý prístrešok pre auto lakovaný</t>
  </si>
  <si>
    <t>K2L</t>
  </si>
  <si>
    <t>5900993254112</t>
  </si>
  <si>
    <t xml:space="preserve">Koleno žľabu 90° </t>
  </si>
  <si>
    <t>5900993252927</t>
  </si>
  <si>
    <t>5900993252910</t>
  </si>
  <si>
    <t>Koleno žľabu 90° KLIK</t>
  </si>
  <si>
    <t>5900993252880</t>
  </si>
  <si>
    <t>5900993252873</t>
  </si>
  <si>
    <t xml:space="preserve">Koleno žľabu 45° </t>
  </si>
  <si>
    <t>5900993252941</t>
  </si>
  <si>
    <t>5900993252934</t>
  </si>
  <si>
    <t>Koleno žľabu 45° KLIK</t>
  </si>
  <si>
    <t>5900993252903</t>
  </si>
  <si>
    <t>5900993252897</t>
  </si>
  <si>
    <t>Koleno žľabu 90° regulovateľné</t>
  </si>
  <si>
    <t>5900993252965</t>
  </si>
  <si>
    <t>5900993252958</t>
  </si>
  <si>
    <t>Spojka zosilňovacieho nosníka</t>
  </si>
  <si>
    <t>5900993253863</t>
  </si>
  <si>
    <t>5900993253603</t>
  </si>
  <si>
    <t>5900993253597</t>
  </si>
  <si>
    <t>Spojka väznice</t>
  </si>
  <si>
    <t>5900993253917</t>
  </si>
  <si>
    <t>Spojka žľabu otočná</t>
  </si>
  <si>
    <t>5900993252859</t>
  </si>
  <si>
    <t>Spojka krokvy</t>
  </si>
  <si>
    <t>5900993253955</t>
  </si>
  <si>
    <t>Spojka žľabu uhlová</t>
  </si>
  <si>
    <t>5900993252866</t>
  </si>
  <si>
    <t>Spojka zosilňovacieho nosníka/stĺpu</t>
  </si>
  <si>
    <t>5900993253870</t>
  </si>
  <si>
    <t>Spojka žľabu</t>
  </si>
  <si>
    <t>5900993252842</t>
  </si>
  <si>
    <t>Spojka - bočná vzpera/krokvy</t>
  </si>
  <si>
    <t>5900993253900</t>
  </si>
  <si>
    <t>Spojka - bočná výstuha/stĺp</t>
  </si>
  <si>
    <t>5900993253887</t>
  </si>
  <si>
    <t>Spojka stlp krokiev</t>
  </si>
  <si>
    <t>5900993253894</t>
  </si>
  <si>
    <t>5900993254006</t>
  </si>
  <si>
    <t>Kryt základu</t>
  </si>
  <si>
    <t>5900993253856</t>
  </si>
  <si>
    <t>Matica s vrúbk. golierom DIN 6923 A2. (bal. 100ks)</t>
  </si>
  <si>
    <t>Matica rombová (kosoštvorcová dlhá)</t>
  </si>
  <si>
    <t>Matica nízka A2 (bal 100ks)</t>
  </si>
  <si>
    <t>Veterný štít</t>
  </si>
  <si>
    <t>5900993254013</t>
  </si>
  <si>
    <t>5900993254020</t>
  </si>
  <si>
    <t>5900993254037</t>
  </si>
  <si>
    <t>Profil hliníkový 6,6 m</t>
  </si>
  <si>
    <t>PAL40H120/6,6</t>
  </si>
  <si>
    <t>5900993252514</t>
  </si>
  <si>
    <t>Hliníkový profil 0,4 m</t>
  </si>
  <si>
    <t>Profil hliníkový 1,3 m</t>
  </si>
  <si>
    <t>PAL40H40/1,3</t>
  </si>
  <si>
    <t>5900993253726</t>
  </si>
  <si>
    <t>Profil hliníkový 2,4 m</t>
  </si>
  <si>
    <t>PAL40H40/2,4</t>
  </si>
  <si>
    <t>5900993252484</t>
  </si>
  <si>
    <t>Profil hliníkový 4,4 m</t>
  </si>
  <si>
    <t>PAL40H40/4,4</t>
  </si>
  <si>
    <t>5900993252491</t>
  </si>
  <si>
    <t>PAL40H80/6,6</t>
  </si>
  <si>
    <t>5900993252507</t>
  </si>
  <si>
    <t>Profil hliníkový 1,15 m</t>
  </si>
  <si>
    <t xml:space="preserve">PALE40H40/1,15 </t>
  </si>
  <si>
    <t>5900993253627</t>
  </si>
  <si>
    <t>PALE40H40/1,3</t>
  </si>
  <si>
    <t>5900993253634</t>
  </si>
  <si>
    <t>Profil hliníkový 2,1 m</t>
  </si>
  <si>
    <t>PALE40H40/2,1</t>
  </si>
  <si>
    <t>5900993253641</t>
  </si>
  <si>
    <t>Profil hliníkový 2,2 m</t>
  </si>
  <si>
    <t>PALE40H40/2,2</t>
  </si>
  <si>
    <t>5900993253658</t>
  </si>
  <si>
    <t>PALE40H40/2,4</t>
  </si>
  <si>
    <t>5900993253665</t>
  </si>
  <si>
    <t>Profil hliníkový 3,15 m</t>
  </si>
  <si>
    <t>PALE40H40/3,15</t>
  </si>
  <si>
    <t>5900993253672</t>
  </si>
  <si>
    <t>Profil hliníkový 3,3 m</t>
  </si>
  <si>
    <t>PALE40H40/3,3</t>
  </si>
  <si>
    <t>5900993253689</t>
  </si>
  <si>
    <t>PALE40H40/4,4</t>
  </si>
  <si>
    <t>5900993253696</t>
  </si>
  <si>
    <t>Profil hliníkový 6,3 m</t>
  </si>
  <si>
    <t>PALE40H40/6,3</t>
  </si>
  <si>
    <t>5900993253702</t>
  </si>
  <si>
    <t>PALE40H40/6,6</t>
  </si>
  <si>
    <t>5900993253719</t>
  </si>
  <si>
    <t>5900993253757</t>
  </si>
  <si>
    <t>Kryt križovatky žľabu KLIK</t>
  </si>
  <si>
    <t>5900993253443</t>
  </si>
  <si>
    <t>5900993253436</t>
  </si>
  <si>
    <t>Kryt križovatky žľabu</t>
  </si>
  <si>
    <t>5900993253467</t>
  </si>
  <si>
    <t>5900993253450</t>
  </si>
  <si>
    <t>5900993253993</t>
  </si>
  <si>
    <t>Trojuholník hore</t>
  </si>
  <si>
    <t>5900993253986</t>
  </si>
  <si>
    <t>Kryt kolena žľabu 90° KLIK</t>
  </si>
  <si>
    <t>5900993253269</t>
  </si>
  <si>
    <t>5900993253252</t>
  </si>
  <si>
    <t>Kryt kolena žľabu 90°</t>
  </si>
  <si>
    <t>5900993253283</t>
  </si>
  <si>
    <t>5900993253276</t>
  </si>
  <si>
    <t>Kryt kolena žľabu 45° KLIK</t>
  </si>
  <si>
    <t>5900993253306</t>
  </si>
  <si>
    <t>5900993253290</t>
  </si>
  <si>
    <t>Kryt kolena žľabu 45°</t>
  </si>
  <si>
    <t>5900993253320</t>
  </si>
  <si>
    <t>5900993253313</t>
  </si>
  <si>
    <t>Kryt redukcie žľabu ľavej KLIK</t>
  </si>
  <si>
    <t>5900993253474</t>
  </si>
  <si>
    <t>Kryt redukcie žľabu ľavej</t>
  </si>
  <si>
    <t>5900993253504</t>
  </si>
  <si>
    <t>Kryt redukcie žľabu pravej KLIK</t>
  </si>
  <si>
    <t>5900993253481</t>
  </si>
  <si>
    <t xml:space="preserve">Kryt redukcie žľabu pravej </t>
  </si>
  <si>
    <t>5900993253511</t>
  </si>
  <si>
    <t>Kryt redukcie žľabu symetrickej KLIK</t>
  </si>
  <si>
    <t>5900993253498</t>
  </si>
  <si>
    <t xml:space="preserve">Kryt redukcie žľabu symetrickej </t>
  </si>
  <si>
    <t>5900993253528</t>
  </si>
  <si>
    <t>Kryt doplňujúceho dielu žľabu T KLIK</t>
  </si>
  <si>
    <t>5900993253382</t>
  </si>
  <si>
    <t>5900993253375</t>
  </si>
  <si>
    <t xml:space="preserve">Kryt doplňujúceho dielu žľabu T </t>
  </si>
  <si>
    <t>5900993253405</t>
  </si>
  <si>
    <t>5900993253399</t>
  </si>
  <si>
    <t>Kryt T-kusa žľabu KLIK</t>
  </si>
  <si>
    <t>5900993253344</t>
  </si>
  <si>
    <t>5900993253337</t>
  </si>
  <si>
    <t xml:space="preserve">Kryt T-kusa žľabu </t>
  </si>
  <si>
    <t>5900993253368</t>
  </si>
  <si>
    <t>5900993253351</t>
  </si>
  <si>
    <t>Kryt T-kusa redukcie</t>
  </si>
  <si>
    <t>5900993253429</t>
  </si>
  <si>
    <t>5900993253412</t>
  </si>
  <si>
    <t>PUFE100</t>
  </si>
  <si>
    <t>5900993252712</t>
  </si>
  <si>
    <t>PUFE50</t>
  </si>
  <si>
    <t>5900993252699</t>
  </si>
  <si>
    <t>PUFE75</t>
  </si>
  <si>
    <t>5900993252705</t>
  </si>
  <si>
    <t>Držiak panela stredový KLIK 100 mm</t>
  </si>
  <si>
    <t>PUFEK100</t>
  </si>
  <si>
    <t>5900993252590</t>
  </si>
  <si>
    <t>Držiak panela stredový KLIK 50 mm</t>
  </si>
  <si>
    <t>PUFEK50</t>
  </si>
  <si>
    <t>5900993252576</t>
  </si>
  <si>
    <t>Držiak panela stredový KLIK 75 mm</t>
  </si>
  <si>
    <t>PUFEK75</t>
  </si>
  <si>
    <t>5900993252583</t>
  </si>
  <si>
    <t>Držiak panela stredový - lakovaný čierny RAL9005</t>
  </si>
  <si>
    <t xml:space="preserve">Redukcia žľabu ľavá </t>
  </si>
  <si>
    <t>5900993253146</t>
  </si>
  <si>
    <t>Redukcia žľabu ľavá KLIK</t>
  </si>
  <si>
    <t>5900993253115</t>
  </si>
  <si>
    <t xml:space="preserve">Redukcia žľabu pravá </t>
  </si>
  <si>
    <t>5900993253153</t>
  </si>
  <si>
    <t>Redukcia žľabu pravá KLIK</t>
  </si>
  <si>
    <t>5900993253122</t>
  </si>
  <si>
    <t xml:space="preserve">Redukcia žľabu symetrická </t>
  </si>
  <si>
    <t>5900993253160</t>
  </si>
  <si>
    <t>Redukcia žľabu symetrická KLIK</t>
  </si>
  <si>
    <t>5900993253139</t>
  </si>
  <si>
    <t>Objímka</t>
  </si>
  <si>
    <t>5900993253962</t>
  </si>
  <si>
    <t>Bočné vystuženie</t>
  </si>
  <si>
    <t>5900993253795</t>
  </si>
  <si>
    <t>5900993253832</t>
  </si>
  <si>
    <t>Skrutka s polguľ. hlavou + matica s vrub. golierom</t>
  </si>
  <si>
    <t>SGKFM10x125</t>
  </si>
  <si>
    <t>5900993253849</t>
  </si>
  <si>
    <t>Lišta montážna hliníková</t>
  </si>
  <si>
    <t>SMA100/033</t>
  </si>
  <si>
    <t>5900993252545</t>
  </si>
  <si>
    <t>SMA100/04</t>
  </si>
  <si>
    <t>5900993252552</t>
  </si>
  <si>
    <t>SMA100/6</t>
  </si>
  <si>
    <t>5900993252569</t>
  </si>
  <si>
    <t>SMA40/04</t>
  </si>
  <si>
    <t>5900993252521</t>
  </si>
  <si>
    <t>SMA70/04</t>
  </si>
  <si>
    <t>5900993252538</t>
  </si>
  <si>
    <t>Skrutka s T-hlavou</t>
  </si>
  <si>
    <t>5900993252828</t>
  </si>
  <si>
    <t>5900993252835</t>
  </si>
  <si>
    <t>Skrutka kompl. žiar. zinok  (bal. 100ks)</t>
  </si>
  <si>
    <t>Oceľová montážna doska na plochu strechu</t>
  </si>
  <si>
    <t>SPM3</t>
  </si>
  <si>
    <t>5900993253610</t>
  </si>
  <si>
    <t>Predná noha</t>
  </si>
  <si>
    <t>5900993253771</t>
  </si>
  <si>
    <t>Zadná noha</t>
  </si>
  <si>
    <t>5900993253764</t>
  </si>
  <si>
    <t xml:space="preserve">T-kus žľabu </t>
  </si>
  <si>
    <t>5900993253009</t>
  </si>
  <si>
    <t>5900993252996</t>
  </si>
  <si>
    <t>Doplňujúci diel žľabu T KLIK</t>
  </si>
  <si>
    <t>5900993253023</t>
  </si>
  <si>
    <t>5900993253016</t>
  </si>
  <si>
    <t>Doplňujúci diel žľabu T</t>
  </si>
  <si>
    <t>5900993253047</t>
  </si>
  <si>
    <t>5900993253030</t>
  </si>
  <si>
    <t>T-kus žľabu KLIK</t>
  </si>
  <si>
    <t>5900993252989</t>
  </si>
  <si>
    <t>5900993252972</t>
  </si>
  <si>
    <t>Ochranná lemovka spevnená</t>
  </si>
  <si>
    <t>TOZ14</t>
  </si>
  <si>
    <t>5900993253221</t>
  </si>
  <si>
    <t>TOZ14C</t>
  </si>
  <si>
    <t>5900993253245</t>
  </si>
  <si>
    <t>TOZ14S</t>
  </si>
  <si>
    <t>5900993253238</t>
  </si>
  <si>
    <t>TOZC</t>
  </si>
  <si>
    <t>5900993253214</t>
  </si>
  <si>
    <t>T-redukcia žľabu</t>
  </si>
  <si>
    <t>5900993253061</t>
  </si>
  <si>
    <t>5900993253054</t>
  </si>
  <si>
    <t>Držiak solárneho kábla</t>
  </si>
  <si>
    <t>UKS1</t>
  </si>
  <si>
    <t>5900993253542</t>
  </si>
  <si>
    <t>UKS2</t>
  </si>
  <si>
    <t>5900993253559</t>
  </si>
  <si>
    <t>UKS3</t>
  </si>
  <si>
    <t>5900993253566</t>
  </si>
  <si>
    <t>Tesnenie modulu carport</t>
  </si>
  <si>
    <t>UMC</t>
  </si>
  <si>
    <t>5900993254143</t>
  </si>
  <si>
    <t>Spojka drôteného žľabu</t>
  </si>
  <si>
    <t>5900993253535</t>
  </si>
  <si>
    <t>Výložník zosilnený</t>
  </si>
  <si>
    <t>Ľavá spevňujúca výstuha</t>
  </si>
  <si>
    <t>5900993253924</t>
  </si>
  <si>
    <t>Pravá spevňujúca výstuha</t>
  </si>
  <si>
    <t>5900993253931</t>
  </si>
  <si>
    <t>AD11E</t>
  </si>
  <si>
    <t>AD13E</t>
  </si>
  <si>
    <t>ADBIBUFMC</t>
  </si>
  <si>
    <t>ADBIPUFMC</t>
  </si>
  <si>
    <t>ASPKMC</t>
  </si>
  <si>
    <t>ASPPMC</t>
  </si>
  <si>
    <t>BDFCH100/2,75NMC</t>
  </si>
  <si>
    <t>BDFCH100/3,2NMC</t>
  </si>
  <si>
    <t>BDFCH120/3,6NMC</t>
  </si>
  <si>
    <t>BDFCH120/4,4NMC</t>
  </si>
  <si>
    <t>BDFCH120/4,8NMC</t>
  </si>
  <si>
    <t>BDFCH120/5,4NMC</t>
  </si>
  <si>
    <t>BDFTH120/6,4NMC</t>
  </si>
  <si>
    <t>BDFTH120/6,8NMC</t>
  </si>
  <si>
    <t>BDFTH120/6NMC</t>
  </si>
  <si>
    <t>BL100MC</t>
  </si>
  <si>
    <t>BL50MC</t>
  </si>
  <si>
    <t>BUU1MC</t>
  </si>
  <si>
    <t>BW100H100/2,6MC</t>
  </si>
  <si>
    <t>BWS100H100/3MC</t>
  </si>
  <si>
    <t>BZK100MC</t>
  </si>
  <si>
    <t>BZK50MC</t>
  </si>
  <si>
    <t>CBT70H50/3MC</t>
  </si>
  <si>
    <t>CBT70H50/4MC</t>
  </si>
  <si>
    <t>CC50H35/0,3MC</t>
  </si>
  <si>
    <t>CC50H35/0,45MC</t>
  </si>
  <si>
    <t>CC50H35/0,55MC</t>
  </si>
  <si>
    <t>CC50H35/0,85MC</t>
  </si>
  <si>
    <t>CC50H35/1MC</t>
  </si>
  <si>
    <t>CC50H35/1,15MC</t>
  </si>
  <si>
    <t>CC50H35/1,3MC</t>
  </si>
  <si>
    <t>CC50H35/1,35MC</t>
  </si>
  <si>
    <t>CC50H35/1,5MC</t>
  </si>
  <si>
    <t>CC50H35/1,55MC</t>
  </si>
  <si>
    <t>CC55H50/0,6NMC</t>
  </si>
  <si>
    <t>CC55H50/0,7NMC</t>
  </si>
  <si>
    <t>CC55H50/1,35MC</t>
  </si>
  <si>
    <t>CC55H50/1,55MC</t>
  </si>
  <si>
    <t>CC55H50/2,6MC</t>
  </si>
  <si>
    <t>CC55H50/3MC</t>
  </si>
  <si>
    <t>CMP41H41/1,5MC</t>
  </si>
  <si>
    <t>CMP41H41/2,5MC</t>
  </si>
  <si>
    <t>CMP41H41/6MC</t>
  </si>
  <si>
    <t>CP50H35/1,3MC</t>
  </si>
  <si>
    <t>CP50H35/1,5MC</t>
  </si>
  <si>
    <t>CT70H50/1NMC</t>
  </si>
  <si>
    <t>CWBT70H50/2,4MC</t>
  </si>
  <si>
    <t>CWBT70H50/3MC</t>
  </si>
  <si>
    <t>CWBT70H50/3,2MC</t>
  </si>
  <si>
    <t>CWBT70H50/4,4MC</t>
  </si>
  <si>
    <t>CWC70H50/4NMC</t>
  </si>
  <si>
    <t>CWE100H50/1,5MC</t>
  </si>
  <si>
    <t>CWE100H50/3,2MC</t>
  </si>
  <si>
    <t>CWE100H50/3,6MC</t>
  </si>
  <si>
    <t>CWP40H35/2,2MCL</t>
  </si>
  <si>
    <t>CWP40H35/3,3MCL</t>
  </si>
  <si>
    <t>CWTL120H85/2,925MC</t>
  </si>
  <si>
    <t>CWTP120H85/2,925MC</t>
  </si>
  <si>
    <t>CYB40E</t>
  </si>
  <si>
    <t>CYK32E</t>
  </si>
  <si>
    <t>CYK63,5E</t>
  </si>
  <si>
    <t>CZKBJ100H60MC</t>
  </si>
  <si>
    <t>CZKBJ50H60MC</t>
  </si>
  <si>
    <t>CZKFJ100H60MC</t>
  </si>
  <si>
    <t>CZKFJ50H60MC</t>
  </si>
  <si>
    <t>DDW6x60E</t>
  </si>
  <si>
    <t xml:space="preserve">DDW8x100E </t>
  </si>
  <si>
    <t>DUF75KE</t>
  </si>
  <si>
    <t>DUF75KMC</t>
  </si>
  <si>
    <t>DUFR60E</t>
  </si>
  <si>
    <t>DURSE</t>
  </si>
  <si>
    <t>K100H100/2,5MC</t>
  </si>
  <si>
    <t>KBL100H60/3MC</t>
  </si>
  <si>
    <t>KFL100H60/3MC</t>
  </si>
  <si>
    <t>KFL50H60/3MC</t>
  </si>
  <si>
    <t>KKBJ100H60MC</t>
  </si>
  <si>
    <t>KKBJ50H60MC</t>
  </si>
  <si>
    <t>KKFJ100H60MC</t>
  </si>
  <si>
    <t>KKFJ50H60MC</t>
  </si>
  <si>
    <t>KKMBJ100H60MC</t>
  </si>
  <si>
    <t>KKMBJ50H60MC</t>
  </si>
  <si>
    <t>KKMFJ100H60MC</t>
  </si>
  <si>
    <t>KKMFJ50H60MC</t>
  </si>
  <si>
    <t>KKRPJ100H60MC</t>
  </si>
  <si>
    <t>KKRPJ50H60MC</t>
  </si>
  <si>
    <t>LBW100H100MC</t>
  </si>
  <si>
    <t>LCD100NMC</t>
  </si>
  <si>
    <t>LCJ70NMC</t>
  </si>
  <si>
    <t>LCT70H50MC</t>
  </si>
  <si>
    <t>LCT70H50NMC</t>
  </si>
  <si>
    <t>LCWT120H85MC</t>
  </si>
  <si>
    <t>LGJH60MC</t>
  </si>
  <si>
    <t>LK100H100MC</t>
  </si>
  <si>
    <t>LKJH60MC</t>
  </si>
  <si>
    <t>LMBW100H100MC</t>
  </si>
  <si>
    <t>LPU1H60MC</t>
  </si>
  <si>
    <t>LSBKMC</t>
  </si>
  <si>
    <t>LSBSMC</t>
  </si>
  <si>
    <t>LSKMC</t>
  </si>
  <si>
    <t>LTFMC</t>
  </si>
  <si>
    <t>MPCPDMC</t>
  </si>
  <si>
    <t>NSNM8EA2</t>
  </si>
  <si>
    <t>OWTF/1,8MC</t>
  </si>
  <si>
    <t>OWTF/2,12MC</t>
  </si>
  <si>
    <t>OWTF/2,4MC</t>
  </si>
  <si>
    <t>PAL40H40/2,2L</t>
  </si>
  <si>
    <t>PAL40H40/3,3L</t>
  </si>
  <si>
    <t>PBK40MC</t>
  </si>
  <si>
    <t>PBK50MC</t>
  </si>
  <si>
    <t>PBKD40MC</t>
  </si>
  <si>
    <t>PBKD50MC</t>
  </si>
  <si>
    <t>PCPEMC</t>
  </si>
  <si>
    <t>PCZKFJ100MC</t>
  </si>
  <si>
    <t>PCZKFJ50MC</t>
  </si>
  <si>
    <t>PCZKJ100MC</t>
  </si>
  <si>
    <t>PCZKJ50MC</t>
  </si>
  <si>
    <t>PDTFMC</t>
  </si>
  <si>
    <t>PGTFMC</t>
  </si>
  <si>
    <t>PKKFJ100MC</t>
  </si>
  <si>
    <t>PKKFJ50MC</t>
  </si>
  <si>
    <t>PKKJ100MC</t>
  </si>
  <si>
    <t>PKKJ50MC</t>
  </si>
  <si>
    <t>PKKMFJ100MC</t>
  </si>
  <si>
    <t>PKKMFJ50MC</t>
  </si>
  <si>
    <t>PKKMJ100MC</t>
  </si>
  <si>
    <t>PKKMJ50MC</t>
  </si>
  <si>
    <t>PKL100/3MC</t>
  </si>
  <si>
    <t>PKL50/3MC</t>
  </si>
  <si>
    <t>PRKLFJ100/50MC</t>
  </si>
  <si>
    <t>PRKLJ100/50MC</t>
  </si>
  <si>
    <t>PRKPFJ100/50MC</t>
  </si>
  <si>
    <t>PRKPJ100/50MC</t>
  </si>
  <si>
    <t>PRKSFJ100/50MC</t>
  </si>
  <si>
    <t>PRKSJ100/50MC</t>
  </si>
  <si>
    <t>PS6E</t>
  </si>
  <si>
    <t>PSRM12x110F</t>
  </si>
  <si>
    <t>PSRM8x75F</t>
  </si>
  <si>
    <t>PTKDFJ100MC</t>
  </si>
  <si>
    <t>PTKDFJ50MC</t>
  </si>
  <si>
    <t>PTKDJ100MC</t>
  </si>
  <si>
    <t>PTKDJ50MC</t>
  </si>
  <si>
    <t>PTKFJ100MC</t>
  </si>
  <si>
    <t>PTKFJ50MC</t>
  </si>
  <si>
    <t>PTKJ100MC</t>
  </si>
  <si>
    <t>PTKJ50MC</t>
  </si>
  <si>
    <t>PTRRZP100MC</t>
  </si>
  <si>
    <t>PTRRZP50MC</t>
  </si>
  <si>
    <t>RKLBJ100/50H60MC</t>
  </si>
  <si>
    <t>RKLFJ100/50H60MC</t>
  </si>
  <si>
    <t>RKPBJ100/50H60MC</t>
  </si>
  <si>
    <t>RKPFJ100/50H60MC</t>
  </si>
  <si>
    <t>RKSBJ100/50H60MC</t>
  </si>
  <si>
    <t>RKSFJ100/50H60MC</t>
  </si>
  <si>
    <t>RU16x1/01E</t>
  </si>
  <si>
    <t>SAM8x25E</t>
  </si>
  <si>
    <t>SAM8x30E</t>
  </si>
  <si>
    <t>SAM8x35E</t>
  </si>
  <si>
    <t>SAM8x40E</t>
  </si>
  <si>
    <t>SBP100H50/3MC</t>
  </si>
  <si>
    <t>SBS100H50/1,48MC</t>
  </si>
  <si>
    <t>SMDP6,0x25E</t>
  </si>
  <si>
    <t>SMFM8x25E A2</t>
  </si>
  <si>
    <t>SMHM10x25E</t>
  </si>
  <si>
    <t>SMHM10x33E</t>
  </si>
  <si>
    <t>SMM8x16F</t>
  </si>
  <si>
    <t>SPP100H100/2,8MC</t>
  </si>
  <si>
    <t>SPT100H100/2,25MC</t>
  </si>
  <si>
    <t>SRM10x30F</t>
  </si>
  <si>
    <t>SSZ8x12E</t>
  </si>
  <si>
    <t>SSZ8x30E A2</t>
  </si>
  <si>
    <t>SWDM10x200E</t>
  </si>
  <si>
    <t>SWDM10x250E</t>
  </si>
  <si>
    <t>SWDM10x300E</t>
  </si>
  <si>
    <t>SWDM12x300E</t>
  </si>
  <si>
    <t>TKBJ100H60MC</t>
  </si>
  <si>
    <t>TKBJ50H60MC</t>
  </si>
  <si>
    <t>TKDFJ100H60MC</t>
  </si>
  <si>
    <t>TKDFJ50H60MC</t>
  </si>
  <si>
    <t>TKDJ100H60MC</t>
  </si>
  <si>
    <t>TKDJ50H60MC</t>
  </si>
  <si>
    <t>TKFJ100H60MC</t>
  </si>
  <si>
    <t>TKFJ50H60MC</t>
  </si>
  <si>
    <t>TRJ100H60MC</t>
  </si>
  <si>
    <t>TRJ50H60MC</t>
  </si>
  <si>
    <t>UB1MC</t>
  </si>
  <si>
    <t>UBT45E</t>
  </si>
  <si>
    <t>UBTR45E</t>
  </si>
  <si>
    <t>UPG10MC</t>
  </si>
  <si>
    <t>UPG15MC</t>
  </si>
  <si>
    <t>UPG20MC</t>
  </si>
  <si>
    <t>UPPMC</t>
  </si>
  <si>
    <t>USSNMC</t>
  </si>
  <si>
    <t>WPPGTE</t>
  </si>
  <si>
    <t>WSZ100NMC</t>
  </si>
  <si>
    <t>WSZ150NMC</t>
  </si>
  <si>
    <t>WWS100MC</t>
  </si>
  <si>
    <t>WWS150MC</t>
  </si>
  <si>
    <t>WWSR100MC</t>
  </si>
  <si>
    <t>ZWL100H100MC</t>
  </si>
  <si>
    <t>ZWP100H100MC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</si>
</sst>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z_ł_-;\-* #,##0.00\ _z_ł_-;_-* &quot;-&quot;??\ _z_ł_-;_-@_-"/>
    <numFmt numFmtId="165" formatCode=";;;"/>
    <numFmt numFmtId="166" formatCode="_-* #,##0\ _z_ł_-;\-* #,##0\ _z_ł_-;_-* &quot;-&quot;??\ _z_ł_-;_-@_-"/>
    <numFmt numFmtId="167" formatCode="_ * #,##0.00_)_ ;_ * \(#,##0.00\)_ ;_ * &quot;-&quot;??_)_ ;_ @_ "/>
  </numFmts>
  <fonts count="5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charset val="238"/>
      <scheme val="minor"/>
    </font>
    <font>
      <sz val="9"/>
      <color indexed="81"/>
      <name val="Tahoma"/>
      <family val="2"/>
      <charset val="238"/>
    </font>
    <font>
      <b/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9"/>
      <color theme="1"/>
      <name val="Calibri"/>
      <family val="2"/>
      <charset val="238"/>
      <scheme val="minor"/>
    </font>
    <font>
      <sz val="10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2"/>
      <color theme="4" tint="-0.499984740745262"/>
      <name val="Calibri"/>
      <family val="2"/>
      <charset val="238"/>
      <scheme val="minor"/>
    </font>
    <font>
      <sz val="11"/>
      <name val="Calibri"/>
      <family val="2"/>
      <scheme val="minor"/>
    </font>
    <font>
      <b/>
      <sz val="9"/>
      <color rgb="FFFF0000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b/>
      <sz val="9"/>
      <name val="Calibri"/>
      <family val="2"/>
      <charset val="238"/>
      <scheme val="minor"/>
    </font>
    <font>
      <sz val="10"/>
      <name val="Calibri"/>
      <family val="2"/>
      <scheme val="minor"/>
    </font>
    <font>
      <b/>
      <sz val="10"/>
      <color rgb="FFFF0000"/>
      <name val="Calibri"/>
      <family val="2"/>
      <charset val="238"/>
      <scheme val="minor"/>
    </font>
    <font>
      <sz val="10"/>
      <color rgb="FFFF0000"/>
      <name val="Calibri"/>
      <family val="2"/>
      <scheme val="minor"/>
    </font>
    <font>
      <b/>
      <sz val="10"/>
      <name val="Calibri"/>
      <family val="2"/>
      <scheme val="minor"/>
    </font>
    <font>
      <sz val="9"/>
      <name val="Calibri"/>
      <family val="2"/>
      <scheme val="minor"/>
    </font>
    <font>
      <sz val="11"/>
      <name val="Calibri"/>
      <family val="2"/>
      <charset val="238"/>
      <scheme val="minor"/>
    </font>
    <font>
      <sz val="10"/>
      <name val="Arial CE"/>
      <charset val="238"/>
    </font>
    <font>
      <b/>
      <sz val="11"/>
      <name val="Calibri"/>
      <family val="2"/>
      <charset val="238"/>
      <scheme val="minor"/>
    </font>
    <font>
      <sz val="11"/>
      <name val="Calibri"/>
      <family val="2"/>
      <charset val="238"/>
    </font>
    <font>
      <b/>
      <sz val="11"/>
      <color rgb="FFFF0000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color theme="0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u/>
      <sz val="11"/>
      <color theme="10"/>
      <name val="Calibri"/>
      <family val="2"/>
      <scheme val="minor"/>
    </font>
    <font>
      <sz val="11"/>
      <color rgb="FFFF0000"/>
      <name val="Calibri"/>
      <family val="2"/>
      <charset val="238"/>
      <scheme val="minor"/>
    </font>
    <font>
      <sz val="8"/>
      <color rgb="FFFF000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9"/>
      <color rgb="FFFF0000"/>
      <name val="Calibri"/>
      <family val="2"/>
      <scheme val="minor"/>
    </font>
    <font>
      <sz val="11"/>
      <color theme="0"/>
      <name val="Calibri"/>
      <family val="2"/>
      <charset val="238"/>
      <scheme val="minor"/>
    </font>
    <font>
      <sz val="10"/>
      <color theme="0"/>
      <name val="Calibri"/>
      <family val="2"/>
      <charset val="238"/>
      <scheme val="minor"/>
    </font>
    <font>
      <sz val="9"/>
      <color rgb="FF000000"/>
      <name val="Calibri"/>
      <family val="2"/>
      <charset val="238"/>
    </font>
    <font>
      <sz val="9"/>
      <color rgb="FF000000"/>
      <name val="Calibri"/>
      <family val="2"/>
      <charset val="238"/>
      <scheme val="minor"/>
    </font>
    <font>
      <sz val="7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2"/>
      <color theme="1"/>
      <name val="Calibri"/>
      <family val="2"/>
      <charset val="238"/>
      <scheme val="minor"/>
    </font>
    <font>
      <sz val="9"/>
      <color rgb="FF2B2A29"/>
      <name val="Helvetica"/>
      <family val="2"/>
    </font>
  </fonts>
  <fills count="10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0.14999847407452621"/>
        <bgColor indexed="49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rgb="FF000000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6">
    <xf numFmtId="0" fontId="0" fillId="0" borderId="0"/>
    <xf numFmtId="0" fontId="5" fillId="0" borderId="0"/>
    <xf numFmtId="0" fontId="6" fillId="0" borderId="0"/>
    <xf numFmtId="0" fontId="6" fillId="0" borderId="0"/>
    <xf numFmtId="0" fontId="4" fillId="0" borderId="0"/>
    <xf numFmtId="164" fontId="6" fillId="0" borderId="0" applyFont="0" applyFill="0" applyBorder="0" applyAlignment="0" applyProtection="0"/>
    <xf numFmtId="0" fontId="3" fillId="0" borderId="0"/>
    <xf numFmtId="164" fontId="3" fillId="0" borderId="0" applyFont="0" applyFill="0" applyBorder="0" applyAlignment="0" applyProtection="0"/>
    <xf numFmtId="0" fontId="3" fillId="0" borderId="0"/>
    <xf numFmtId="164" fontId="28" fillId="0" borderId="0" applyFont="0" applyFill="0" applyBorder="0" applyAlignment="0" applyProtection="0"/>
    <xf numFmtId="0" fontId="37" fillId="0" borderId="0" applyNumberFormat="0" applyFill="0" applyBorder="0" applyAlignment="0" applyProtection="0"/>
    <xf numFmtId="9" fontId="6" fillId="0" borderId="0" applyFont="0" applyFill="0" applyBorder="0" applyAlignment="0" applyProtection="0"/>
    <xf numFmtId="164" fontId="2" fillId="0" borderId="0" applyFont="0" applyFill="0" applyBorder="0" applyAlignment="0" applyProtection="0"/>
    <xf numFmtId="0" fontId="48" fillId="0" borderId="0"/>
    <xf numFmtId="167" fontId="48" fillId="0" borderId="0" applyFont="0" applyFill="0" applyBorder="0" applyAlignment="0" applyProtection="0"/>
    <xf numFmtId="0" fontId="1" fillId="0" borderId="0"/>
  </cellStyleXfs>
  <cellXfs count="227">
    <xf numFmtId="0" fontId="0" fillId="0" borderId="0" xfId="0"/>
    <xf numFmtId="0" fontId="0" fillId="0" borderId="0" xfId="0" applyProtection="1">
      <protection hidden="1"/>
    </xf>
    <xf numFmtId="165" fontId="7" fillId="0" borderId="0" xfId="0" applyNumberFormat="1" applyFont="1" applyProtection="1">
      <protection hidden="1"/>
    </xf>
    <xf numFmtId="0" fontId="8" fillId="0" borderId="0" xfId="0" applyFont="1" applyAlignment="1" applyProtection="1">
      <alignment horizontal="center" wrapText="1"/>
      <protection hidden="1"/>
    </xf>
    <xf numFmtId="0" fontId="7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hidden="1"/>
    </xf>
    <xf numFmtId="0" fontId="8" fillId="0" borderId="0" xfId="0" applyFont="1" applyProtection="1">
      <protection hidden="1"/>
    </xf>
    <xf numFmtId="0" fontId="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locked="0" hidden="1"/>
    </xf>
    <xf numFmtId="0" fontId="11" fillId="0" borderId="0" xfId="0" applyFont="1" applyProtection="1">
      <protection hidden="1"/>
    </xf>
    <xf numFmtId="0" fontId="12" fillId="0" borderId="0" xfId="0" applyFont="1" applyAlignment="1" applyProtection="1">
      <alignment horizontal="center"/>
      <protection hidden="1"/>
    </xf>
    <xf numFmtId="0" fontId="11" fillId="0" borderId="0" xfId="0" applyFont="1" applyAlignment="1" applyProtection="1">
      <alignment horizontal="center"/>
      <protection hidden="1"/>
    </xf>
    <xf numFmtId="2" fontId="12" fillId="0" borderId="0" xfId="0" applyNumberFormat="1" applyFont="1" applyAlignment="1" applyProtection="1">
      <alignment horizontal="center"/>
      <protection hidden="1"/>
    </xf>
    <xf numFmtId="1" fontId="12" fillId="0" borderId="0" xfId="0" applyNumberFormat="1" applyFont="1" applyAlignment="1" applyProtection="1">
      <alignment horizontal="center"/>
      <protection hidden="1"/>
    </xf>
    <xf numFmtId="0" fontId="7" fillId="0" borderId="0" xfId="0" applyFont="1" applyAlignment="1" applyProtection="1">
      <alignment horizontal="center"/>
      <protection hidden="1"/>
    </xf>
    <xf numFmtId="0" fontId="10" fillId="0" borderId="0" xfId="0" applyFont="1" applyProtection="1">
      <protection hidden="1"/>
    </xf>
    <xf numFmtId="0" fontId="23" fillId="0" borderId="0" xfId="0" applyFont="1" applyProtection="1">
      <protection hidden="1"/>
    </xf>
    <xf numFmtId="0" fontId="15" fillId="0" borderId="0" xfId="0" applyFont="1" applyProtection="1">
      <protection hidden="1"/>
    </xf>
    <xf numFmtId="165" fontId="8" fillId="0" borderId="0" xfId="0" applyNumberFormat="1" applyFont="1" applyProtection="1">
      <protection hidden="1"/>
    </xf>
    <xf numFmtId="165" fontId="22" fillId="0" borderId="0" xfId="0" applyNumberFormat="1" applyFont="1" applyProtection="1">
      <protection hidden="1"/>
    </xf>
    <xf numFmtId="165" fontId="18" fillId="0" borderId="0" xfId="0" applyNumberFormat="1" applyFont="1" applyProtection="1"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1" fontId="7" fillId="0" borderId="0" xfId="0" applyNumberFormat="1" applyFont="1" applyAlignment="1" applyProtection="1">
      <alignment horizontal="center"/>
      <protection hidden="1"/>
    </xf>
    <xf numFmtId="0" fontId="0" fillId="0" borderId="0" xfId="0" applyAlignment="1" applyProtection="1">
      <alignment horizontal="center"/>
      <protection hidden="1"/>
    </xf>
    <xf numFmtId="0" fontId="16" fillId="0" borderId="0" xfId="0" applyFont="1" applyProtection="1">
      <protection hidden="1"/>
    </xf>
    <xf numFmtId="165" fontId="22" fillId="0" borderId="0" xfId="0" applyNumberFormat="1" applyFont="1" applyAlignment="1" applyProtection="1">
      <alignment horizontal="center"/>
      <protection hidden="1"/>
    </xf>
    <xf numFmtId="165" fontId="25" fillId="0" borderId="0" xfId="0" applyNumberFormat="1" applyFont="1" applyProtection="1">
      <protection hidden="1"/>
    </xf>
    <xf numFmtId="0" fontId="18" fillId="0" borderId="0" xfId="0" applyFont="1" applyProtection="1">
      <protection hidden="1"/>
    </xf>
    <xf numFmtId="165" fontId="25" fillId="0" borderId="0" xfId="0" applyNumberFormat="1" applyFont="1" applyAlignment="1" applyProtection="1">
      <alignment horizontal="center"/>
      <protection hidden="1"/>
    </xf>
    <xf numFmtId="0" fontId="0" fillId="0" borderId="0" xfId="0" applyAlignment="1">
      <alignment horizontal="center"/>
    </xf>
    <xf numFmtId="2" fontId="24" fillId="0" borderId="0" xfId="0" applyNumberFormat="1" applyFont="1" applyAlignment="1" applyProtection="1">
      <alignment horizontal="center"/>
      <protection hidden="1"/>
    </xf>
    <xf numFmtId="0" fontId="10" fillId="0" borderId="0" xfId="0" applyFont="1" applyAlignment="1" applyProtection="1">
      <alignment horizontal="center"/>
      <protection hidden="1"/>
    </xf>
    <xf numFmtId="0" fontId="27" fillId="0" borderId="0" xfId="0" applyFont="1" applyProtection="1">
      <protection hidden="1"/>
    </xf>
    <xf numFmtId="0" fontId="31" fillId="0" borderId="0" xfId="0" applyFont="1" applyProtection="1">
      <protection hidden="1"/>
    </xf>
    <xf numFmtId="0" fontId="31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hidden="1"/>
    </xf>
    <xf numFmtId="2" fontId="11" fillId="0" borderId="0" xfId="0" applyNumberFormat="1" applyFont="1" applyAlignment="1" applyProtection="1">
      <alignment horizontal="center"/>
      <protection hidden="1"/>
    </xf>
    <xf numFmtId="1" fontId="11" fillId="0" borderId="0" xfId="0" applyNumberFormat="1" applyFont="1" applyAlignment="1" applyProtection="1">
      <alignment horizontal="center"/>
      <protection hidden="1"/>
    </xf>
    <xf numFmtId="0" fontId="8" fillId="0" borderId="0" xfId="0" applyFont="1"/>
    <xf numFmtId="0" fontId="32" fillId="0" borderId="0" xfId="0" applyFont="1"/>
    <xf numFmtId="0" fontId="33" fillId="0" borderId="0" xfId="0" applyFont="1" applyProtection="1">
      <protection hidden="1"/>
    </xf>
    <xf numFmtId="0" fontId="34" fillId="0" borderId="0" xfId="0" applyFont="1" applyProtection="1">
      <protection hidden="1"/>
    </xf>
    <xf numFmtId="0" fontId="35" fillId="0" borderId="0" xfId="0" applyFont="1" applyAlignment="1" applyProtection="1">
      <alignment horizontal="center"/>
      <protection locked="0" hidden="1"/>
    </xf>
    <xf numFmtId="0" fontId="21" fillId="0" borderId="0" xfId="0" applyFont="1" applyProtection="1">
      <protection hidden="1"/>
    </xf>
    <xf numFmtId="0" fontId="37" fillId="0" borderId="0" xfId="10" applyBorder="1" applyProtection="1">
      <protection hidden="1"/>
    </xf>
    <xf numFmtId="0" fontId="22" fillId="0" borderId="0" xfId="0" applyFont="1" applyAlignment="1" applyProtection="1">
      <alignment horizontal="center"/>
      <protection hidden="1"/>
    </xf>
    <xf numFmtId="0" fontId="14" fillId="0" borderId="1" xfId="6" applyFont="1" applyBorder="1" applyAlignment="1" applyProtection="1">
      <alignment horizontal="center"/>
      <protection hidden="1"/>
    </xf>
    <xf numFmtId="0" fontId="14" fillId="0" borderId="1" xfId="6" applyFont="1" applyBorder="1" applyAlignment="1" applyProtection="1">
      <alignment vertical="center"/>
      <protection hidden="1"/>
    </xf>
    <xf numFmtId="0" fontId="36" fillId="0" borderId="0" xfId="6" applyFont="1" applyAlignment="1" applyProtection="1">
      <alignment horizontal="center"/>
      <protection hidden="1"/>
    </xf>
    <xf numFmtId="0" fontId="36" fillId="0" borderId="0" xfId="0" applyFont="1" applyAlignment="1">
      <alignment horizontal="center"/>
    </xf>
    <xf numFmtId="9" fontId="36" fillId="0" borderId="0" xfId="1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166" fontId="23" fillId="0" borderId="0" xfId="9" applyNumberFormat="1" applyFont="1" applyFill="1" applyBorder="1" applyAlignment="1">
      <alignment horizontal="center" vertical="center" wrapText="1"/>
    </xf>
    <xf numFmtId="9" fontId="36" fillId="0" borderId="0" xfId="6" applyNumberFormat="1" applyFont="1" applyAlignment="1" applyProtection="1">
      <alignment horizontal="center"/>
      <protection hidden="1"/>
    </xf>
    <xf numFmtId="9" fontId="36" fillId="0" borderId="0" xfId="11" applyFont="1" applyFill="1" applyBorder="1" applyAlignment="1" applyProtection="1">
      <alignment horizontal="center"/>
      <protection hidden="1"/>
    </xf>
    <xf numFmtId="164" fontId="39" fillId="0" borderId="0" xfId="7" applyFont="1" applyFill="1" applyBorder="1" applyAlignment="1" applyProtection="1">
      <alignment horizontal="center"/>
      <protection hidden="1"/>
    </xf>
    <xf numFmtId="0" fontId="23" fillId="0" borderId="0" xfId="0" applyFont="1" applyAlignment="1" applyProtection="1">
      <alignment horizontal="center"/>
      <protection hidden="1"/>
    </xf>
    <xf numFmtId="0" fontId="40" fillId="0" borderId="0" xfId="0" applyFont="1" applyProtection="1">
      <protection hidden="1"/>
    </xf>
    <xf numFmtId="0" fontId="22" fillId="0" borderId="0" xfId="0" applyFont="1" applyProtection="1">
      <protection hidden="1"/>
    </xf>
    <xf numFmtId="0" fontId="7" fillId="2" borderId="0" xfId="0" applyFont="1" applyFill="1" applyAlignment="1" applyProtection="1">
      <alignment horizontal="center"/>
      <protection locked="0" hidden="1"/>
    </xf>
    <xf numFmtId="0" fontId="7" fillId="3" borderId="0" xfId="0" applyFont="1" applyFill="1" applyAlignment="1" applyProtection="1">
      <alignment horizontal="center"/>
      <protection hidden="1"/>
    </xf>
    <xf numFmtId="0" fontId="22" fillId="2" borderId="0" xfId="0" applyFont="1" applyFill="1" applyProtection="1">
      <protection hidden="1"/>
    </xf>
    <xf numFmtId="0" fontId="22" fillId="3" borderId="0" xfId="0" applyFont="1" applyFill="1" applyProtection="1">
      <protection hidden="1"/>
    </xf>
    <xf numFmtId="0" fontId="23" fillId="0" borderId="0" xfId="0" applyFont="1" applyAlignment="1" applyProtection="1">
      <alignment horizontal="left"/>
      <protection hidden="1"/>
    </xf>
    <xf numFmtId="165" fontId="27" fillId="0" borderId="0" xfId="0" applyNumberFormat="1" applyFont="1" applyProtection="1">
      <protection hidden="1"/>
    </xf>
    <xf numFmtId="165" fontId="27" fillId="0" borderId="2" xfId="0" applyNumberFormat="1" applyFont="1" applyBorder="1" applyProtection="1">
      <protection hidden="1"/>
    </xf>
    <xf numFmtId="165" fontId="27" fillId="0" borderId="3" xfId="0" applyNumberFormat="1" applyFont="1" applyBorder="1" applyProtection="1">
      <protection hidden="1"/>
    </xf>
    <xf numFmtId="165" fontId="27" fillId="0" borderId="4" xfId="0" applyNumberFormat="1" applyFont="1" applyBorder="1" applyProtection="1">
      <protection hidden="1"/>
    </xf>
    <xf numFmtId="165" fontId="27" fillId="0" borderId="0" xfId="0" applyNumberFormat="1" applyFont="1"/>
    <xf numFmtId="165" fontId="27" fillId="0" borderId="5" xfId="0" applyNumberFormat="1" applyFont="1" applyBorder="1" applyProtection="1">
      <protection hidden="1"/>
    </xf>
    <xf numFmtId="165" fontId="27" fillId="0" borderId="6" xfId="0" applyNumberFormat="1" applyFont="1" applyBorder="1" applyProtection="1">
      <protection hidden="1"/>
    </xf>
    <xf numFmtId="165" fontId="27" fillId="0" borderId="6" xfId="0" applyNumberFormat="1" applyFont="1" applyBorder="1"/>
    <xf numFmtId="165" fontId="12" fillId="0" borderId="0" xfId="0" applyNumberFormat="1" applyFont="1" applyProtection="1">
      <protection hidden="1"/>
    </xf>
    <xf numFmtId="165" fontId="27" fillId="0" borderId="7" xfId="0" applyNumberFormat="1" applyFont="1" applyBorder="1" applyProtection="1">
      <protection hidden="1"/>
    </xf>
    <xf numFmtId="165" fontId="27" fillId="0" borderId="8" xfId="0" applyNumberFormat="1" applyFont="1" applyBorder="1" applyProtection="1">
      <protection hidden="1"/>
    </xf>
    <xf numFmtId="165" fontId="27" fillId="0" borderId="9" xfId="0" applyNumberFormat="1" applyFont="1" applyBorder="1" applyProtection="1">
      <protection hidden="1"/>
    </xf>
    <xf numFmtId="165" fontId="27" fillId="0" borderId="3" xfId="0" applyNumberFormat="1" applyFont="1" applyBorder="1"/>
    <xf numFmtId="165" fontId="27" fillId="0" borderId="4" xfId="0" applyNumberFormat="1" applyFont="1" applyBorder="1"/>
    <xf numFmtId="165" fontId="27" fillId="0" borderId="8" xfId="0" applyNumberFormat="1" applyFont="1" applyBorder="1"/>
    <xf numFmtId="165" fontId="27" fillId="0" borderId="9" xfId="0" applyNumberFormat="1" applyFont="1" applyBorder="1"/>
    <xf numFmtId="0" fontId="42" fillId="0" borderId="0" xfId="0" applyFont="1" applyProtection="1">
      <protection hidden="1"/>
    </xf>
    <xf numFmtId="0" fontId="43" fillId="0" borderId="0" xfId="0" applyFont="1" applyProtection="1">
      <protection hidden="1"/>
    </xf>
    <xf numFmtId="165" fontId="10" fillId="0" borderId="0" xfId="0" applyNumberFormat="1" applyFont="1" applyAlignment="1" applyProtection="1">
      <alignment horizontal="center"/>
      <protection hidden="1"/>
    </xf>
    <xf numFmtId="165" fontId="29" fillId="0" borderId="0" xfId="0" applyNumberFormat="1" applyFont="1" applyProtection="1">
      <protection hidden="1"/>
    </xf>
    <xf numFmtId="165" fontId="29" fillId="0" borderId="0" xfId="0" applyNumberFormat="1" applyFont="1" applyAlignment="1" applyProtection="1">
      <alignment horizontal="center"/>
      <protection hidden="1"/>
    </xf>
    <xf numFmtId="165" fontId="12" fillId="0" borderId="0" xfId="0" applyNumberFormat="1" applyFont="1" applyAlignment="1" applyProtection="1">
      <alignment horizontal="center"/>
      <protection hidden="1"/>
    </xf>
    <xf numFmtId="165" fontId="12" fillId="0" borderId="0" xfId="0" quotePrefix="1" applyNumberFormat="1" applyFont="1" applyProtection="1">
      <protection hidden="1"/>
    </xf>
    <xf numFmtId="165" fontId="27" fillId="0" borderId="0" xfId="0" applyNumberFormat="1" applyFont="1" applyAlignment="1" applyProtection="1">
      <alignment horizontal="center"/>
      <protection hidden="1"/>
    </xf>
    <xf numFmtId="165" fontId="10" fillId="0" borderId="0" xfId="0" applyNumberFormat="1" applyFont="1" applyProtection="1">
      <protection hidden="1"/>
    </xf>
    <xf numFmtId="165" fontId="12" fillId="0" borderId="0" xfId="0" quotePrefix="1" applyNumberFormat="1" applyFont="1" applyAlignment="1" applyProtection="1">
      <alignment horizontal="center"/>
      <protection hidden="1"/>
    </xf>
    <xf numFmtId="165" fontId="27" fillId="0" borderId="0" xfId="0" applyNumberFormat="1" applyFont="1" applyAlignment="1">
      <alignment horizontal="center"/>
    </xf>
    <xf numFmtId="165" fontId="29" fillId="0" borderId="0" xfId="0" applyNumberFormat="1" applyFont="1"/>
    <xf numFmtId="165" fontId="30" fillId="0" borderId="0" xfId="0" applyNumberFormat="1" applyFont="1" applyProtection="1">
      <protection hidden="1"/>
    </xf>
    <xf numFmtId="165" fontId="27" fillId="0" borderId="0" xfId="0" applyNumberFormat="1" applyFont="1" applyAlignment="1" applyProtection="1">
      <alignment horizontal="left"/>
      <protection hidden="1"/>
    </xf>
    <xf numFmtId="165" fontId="27" fillId="0" borderId="2" xfId="0" applyNumberFormat="1" applyFont="1" applyBorder="1"/>
    <xf numFmtId="165" fontId="27" fillId="0" borderId="5" xfId="0" applyNumberFormat="1" applyFont="1" applyBorder="1"/>
    <xf numFmtId="165" fontId="27" fillId="0" borderId="7" xfId="0" applyNumberFormat="1" applyFont="1" applyBorder="1"/>
    <xf numFmtId="165" fontId="14" fillId="0" borderId="0" xfId="6" applyNumberFormat="1" applyFont="1" applyProtection="1">
      <protection hidden="1"/>
    </xf>
    <xf numFmtId="165" fontId="14" fillId="0" borderId="0" xfId="6" applyNumberFormat="1" applyFont="1" applyAlignment="1" applyProtection="1">
      <alignment horizontal="center"/>
      <protection hidden="1"/>
    </xf>
    <xf numFmtId="165" fontId="21" fillId="0" borderId="0" xfId="6" applyNumberFormat="1" applyFont="1" applyAlignment="1" applyProtection="1">
      <alignment horizontal="center"/>
      <protection hidden="1"/>
    </xf>
    <xf numFmtId="165" fontId="14" fillId="0" borderId="0" xfId="7" applyNumberFormat="1" applyFont="1" applyFill="1" applyBorder="1" applyAlignment="1" applyProtection="1">
      <alignment horizontal="center"/>
      <protection hidden="1"/>
    </xf>
    <xf numFmtId="165" fontId="11" fillId="0" borderId="0" xfId="0" applyNumberFormat="1" applyFont="1" applyProtection="1">
      <protection hidden="1"/>
    </xf>
    <xf numFmtId="165" fontId="14" fillId="0" borderId="1" xfId="6" applyNumberFormat="1" applyFont="1" applyBorder="1" applyAlignment="1" applyProtection="1">
      <alignment horizontal="center"/>
      <protection hidden="1"/>
    </xf>
    <xf numFmtId="165" fontId="3" fillId="0" borderId="0" xfId="6" applyNumberFormat="1" applyAlignment="1" applyProtection="1">
      <alignment horizontal="center"/>
      <protection hidden="1"/>
    </xf>
    <xf numFmtId="165" fontId="11" fillId="0" borderId="0" xfId="0" applyNumberFormat="1" applyFont="1" applyAlignment="1" applyProtection="1">
      <alignment horizontal="center"/>
      <protection hidden="1"/>
    </xf>
    <xf numFmtId="165" fontId="13" fillId="0" borderId="0" xfId="0" applyNumberFormat="1" applyFont="1" applyProtection="1">
      <protection hidden="1"/>
    </xf>
    <xf numFmtId="165" fontId="13" fillId="0" borderId="0" xfId="0" applyNumberFormat="1" applyFont="1" applyAlignment="1" applyProtection="1">
      <alignment horizontal="center"/>
      <protection hidden="1"/>
    </xf>
    <xf numFmtId="165" fontId="21" fillId="0" borderId="0" xfId="0" applyNumberFormat="1" applyFont="1" applyAlignment="1" applyProtection="1">
      <alignment horizontal="center"/>
      <protection hidden="1"/>
    </xf>
    <xf numFmtId="165" fontId="21" fillId="0" borderId="0" xfId="0" applyNumberFormat="1" applyFont="1" applyProtection="1">
      <protection hidden="1"/>
    </xf>
    <xf numFmtId="165" fontId="14" fillId="0" borderId="0" xfId="0" applyNumberFormat="1" applyFont="1"/>
    <xf numFmtId="165" fontId="20" fillId="0" borderId="0" xfId="6" applyNumberFormat="1" applyFont="1" applyAlignment="1" applyProtection="1">
      <alignment horizontal="center"/>
      <protection hidden="1"/>
    </xf>
    <xf numFmtId="165" fontId="14" fillId="0" borderId="0" xfId="5" applyNumberFormat="1" applyFont="1" applyAlignment="1">
      <alignment horizontal="center"/>
    </xf>
    <xf numFmtId="165" fontId="14" fillId="0" borderId="0" xfId="0" applyNumberFormat="1" applyFont="1" applyAlignment="1">
      <alignment horizontal="center"/>
    </xf>
    <xf numFmtId="165" fontId="8" fillId="0" borderId="0" xfId="0" applyNumberFormat="1" applyFont="1" applyAlignment="1" applyProtection="1">
      <alignment horizontal="center"/>
      <protection hidden="1"/>
    </xf>
    <xf numFmtId="165" fontId="36" fillId="0" borderId="0" xfId="5" applyNumberFormat="1" applyFont="1" applyAlignment="1">
      <alignment horizontal="center"/>
    </xf>
    <xf numFmtId="165" fontId="13" fillId="0" borderId="0" xfId="6" applyNumberFormat="1" applyFont="1" applyProtection="1">
      <protection hidden="1"/>
    </xf>
    <xf numFmtId="165" fontId="13" fillId="0" borderId="0" xfId="6" applyNumberFormat="1" applyFont="1" applyAlignment="1" applyProtection="1">
      <alignment horizontal="center"/>
      <protection hidden="1"/>
    </xf>
    <xf numFmtId="165" fontId="13" fillId="0" borderId="0" xfId="7" applyNumberFormat="1" applyFont="1" applyFill="1" applyAlignment="1" applyProtection="1">
      <alignment horizontal="center"/>
      <protection hidden="1"/>
    </xf>
    <xf numFmtId="165" fontId="13" fillId="0" borderId="0" xfId="0" applyNumberFormat="1" applyFont="1" applyAlignment="1" applyProtection="1">
      <alignment horizontal="left"/>
      <protection hidden="1"/>
    </xf>
    <xf numFmtId="165" fontId="13" fillId="0" borderId="0" xfId="5" applyNumberFormat="1" applyFont="1" applyFill="1" applyBorder="1" applyAlignment="1" applyProtection="1">
      <alignment horizontal="center"/>
      <protection hidden="1"/>
    </xf>
    <xf numFmtId="165" fontId="13" fillId="0" borderId="0" xfId="0" applyNumberFormat="1" applyFont="1" applyAlignment="1" applyProtection="1">
      <alignment vertical="center" wrapText="1"/>
      <protection hidden="1"/>
    </xf>
    <xf numFmtId="165" fontId="26" fillId="0" borderId="0" xfId="0" applyNumberFormat="1" applyFont="1" applyProtection="1">
      <protection hidden="1"/>
    </xf>
    <xf numFmtId="165" fontId="26" fillId="0" borderId="0" xfId="0" quotePrefix="1" applyNumberFormat="1" applyFont="1" applyProtection="1">
      <protection hidden="1"/>
    </xf>
    <xf numFmtId="165" fontId="26" fillId="0" borderId="0" xfId="0" applyNumberFormat="1" applyFont="1" applyAlignment="1" applyProtection="1">
      <alignment horizontal="center"/>
      <protection hidden="1"/>
    </xf>
    <xf numFmtId="165" fontId="27" fillId="7" borderId="0" xfId="0" applyNumberFormat="1" applyFont="1" applyFill="1" applyProtection="1">
      <protection hidden="1"/>
    </xf>
    <xf numFmtId="165" fontId="10" fillId="8" borderId="0" xfId="0" applyNumberFormat="1" applyFont="1" applyFill="1" applyProtection="1">
      <protection hidden="1"/>
    </xf>
    <xf numFmtId="0" fontId="35" fillId="0" borderId="0" xfId="0" applyFont="1" applyProtection="1">
      <protection hidden="1"/>
    </xf>
    <xf numFmtId="1" fontId="14" fillId="0" borderId="1" xfId="6" applyNumberFormat="1" applyFont="1" applyBorder="1" applyAlignment="1" applyProtection="1">
      <alignment horizontal="center"/>
      <protection hidden="1"/>
    </xf>
    <xf numFmtId="165" fontId="45" fillId="9" borderId="1" xfId="0" applyNumberFormat="1" applyFont="1" applyFill="1" applyBorder="1"/>
    <xf numFmtId="165" fontId="45" fillId="9" borderId="1" xfId="0" applyNumberFormat="1" applyFont="1" applyFill="1" applyBorder="1" applyAlignment="1">
      <alignment horizontal="center"/>
    </xf>
    <xf numFmtId="165" fontId="19" fillId="9" borderId="1" xfId="0" applyNumberFormat="1" applyFont="1" applyFill="1" applyBorder="1" applyAlignment="1">
      <alignment horizontal="center"/>
    </xf>
    <xf numFmtId="165" fontId="14" fillId="0" borderId="1" xfId="0" applyNumberFormat="1" applyFont="1" applyBorder="1" applyProtection="1">
      <protection hidden="1"/>
    </xf>
    <xf numFmtId="165" fontId="14" fillId="0" borderId="1" xfId="0" applyNumberFormat="1" applyFont="1" applyBorder="1" applyAlignment="1" applyProtection="1">
      <alignment horizontal="center"/>
      <protection hidden="1"/>
    </xf>
    <xf numFmtId="165" fontId="45" fillId="0" borderId="10" xfId="0" applyNumberFormat="1" applyFont="1" applyBorder="1"/>
    <xf numFmtId="165" fontId="45" fillId="0" borderId="10" xfId="0" applyNumberFormat="1" applyFont="1" applyBorder="1" applyAlignment="1">
      <alignment horizontal="center"/>
    </xf>
    <xf numFmtId="165" fontId="36" fillId="0" borderId="1" xfId="6" applyNumberFormat="1" applyFont="1" applyBorder="1" applyAlignment="1" applyProtection="1">
      <alignment horizontal="center"/>
      <protection hidden="1"/>
    </xf>
    <xf numFmtId="165" fontId="14" fillId="0" borderId="1" xfId="5" applyNumberFormat="1" applyFont="1" applyBorder="1" applyAlignment="1" applyProtection="1">
      <alignment horizontal="center"/>
      <protection hidden="1"/>
    </xf>
    <xf numFmtId="165" fontId="45" fillId="0" borderId="11" xfId="0" applyNumberFormat="1" applyFont="1" applyBorder="1"/>
    <xf numFmtId="165" fontId="45" fillId="0" borderId="11" xfId="0" applyNumberFormat="1" applyFont="1" applyBorder="1" applyAlignment="1">
      <alignment horizontal="center"/>
    </xf>
    <xf numFmtId="0" fontId="46" fillId="0" borderId="0" xfId="0" applyFont="1" applyProtection="1">
      <protection hidden="1"/>
    </xf>
    <xf numFmtId="0" fontId="26" fillId="0" borderId="1" xfId="6" applyFont="1" applyBorder="1" applyAlignment="1" applyProtection="1">
      <alignment horizontal="left" vertical="center"/>
      <protection hidden="1"/>
    </xf>
    <xf numFmtId="0" fontId="14" fillId="4" borderId="1" xfId="13" applyFont="1" applyFill="1" applyBorder="1" applyAlignment="1">
      <alignment vertical="center"/>
    </xf>
    <xf numFmtId="0" fontId="13" fillId="0" borderId="1" xfId="6" applyFont="1" applyBorder="1" applyAlignment="1" applyProtection="1">
      <alignment horizontal="left" vertical="center"/>
      <protection hidden="1"/>
    </xf>
    <xf numFmtId="0" fontId="14" fillId="0" borderId="1" xfId="13" applyFont="1" applyBorder="1" applyAlignment="1">
      <alignment vertical="center"/>
    </xf>
    <xf numFmtId="1" fontId="47" fillId="0" borderId="1" xfId="6" applyNumberFormat="1" applyFont="1" applyBorder="1" applyAlignment="1" applyProtection="1">
      <alignment horizontal="left" vertical="center"/>
      <protection hidden="1"/>
    </xf>
    <xf numFmtId="0" fontId="49" fillId="0" borderId="1" xfId="13" applyFont="1" applyBorder="1" applyAlignment="1">
      <alignment vertical="center"/>
    </xf>
    <xf numFmtId="0" fontId="26" fillId="4" borderId="1" xfId="13" applyFont="1" applyFill="1" applyBorder="1" applyAlignment="1">
      <alignment vertical="center"/>
    </xf>
    <xf numFmtId="0" fontId="13" fillId="0" borderId="1" xfId="13" applyFont="1" applyBorder="1" applyAlignment="1">
      <alignment vertical="center"/>
    </xf>
    <xf numFmtId="0" fontId="14" fillId="0" borderId="1" xfId="15" applyFont="1" applyBorder="1"/>
    <xf numFmtId="0" fontId="29" fillId="5" borderId="1" xfId="0" applyFont="1" applyFill="1" applyBorder="1" applyAlignment="1">
      <alignment horizontal="center" vertical="center"/>
    </xf>
    <xf numFmtId="164" fontId="29" fillId="5" borderId="1" xfId="5" applyFont="1" applyFill="1" applyBorder="1" applyAlignment="1">
      <alignment horizontal="center" vertical="center"/>
    </xf>
    <xf numFmtId="0" fontId="29" fillId="5" borderId="1" xfId="0" applyFont="1" applyFill="1" applyBorder="1" applyAlignment="1">
      <alignment horizontal="center" vertical="center" wrapText="1"/>
    </xf>
    <xf numFmtId="165" fontId="14" fillId="0" borderId="1" xfId="15" applyNumberFormat="1" applyFont="1" applyBorder="1" applyAlignment="1">
      <alignment horizontal="center"/>
    </xf>
    <xf numFmtId="165" fontId="14" fillId="0" borderId="0" xfId="15" applyNumberFormat="1" applyFont="1"/>
    <xf numFmtId="165" fontId="14" fillId="0" borderId="0" xfId="15" applyNumberFormat="1" applyFont="1" applyAlignment="1">
      <alignment horizontal="center"/>
    </xf>
    <xf numFmtId="165" fontId="14" fillId="4" borderId="0" xfId="13" applyNumberFormat="1" applyFont="1" applyFill="1" applyAlignment="1">
      <alignment vertical="center"/>
    </xf>
    <xf numFmtId="165" fontId="26" fillId="0" borderId="0" xfId="14" applyNumberFormat="1" applyFont="1" applyBorder="1" applyAlignment="1">
      <alignment horizontal="center" vertical="center"/>
    </xf>
    <xf numFmtId="165" fontId="36" fillId="0" borderId="0" xfId="0" applyNumberFormat="1" applyFont="1" applyAlignment="1">
      <alignment horizontal="center"/>
    </xf>
    <xf numFmtId="0" fontId="42" fillId="0" borderId="3" xfId="0" applyFont="1" applyBorder="1" applyProtection="1">
      <protection hidden="1"/>
    </xf>
    <xf numFmtId="0" fontId="42" fillId="0" borderId="8" xfId="0" applyFont="1" applyBorder="1" applyProtection="1">
      <protection hidden="1"/>
    </xf>
    <xf numFmtId="0" fontId="42" fillId="0" borderId="0" xfId="0" applyFont="1"/>
    <xf numFmtId="0" fontId="14" fillId="0" borderId="1" xfId="6" applyFont="1" applyBorder="1" applyProtection="1">
      <protection hidden="1"/>
    </xf>
    <xf numFmtId="2" fontId="14" fillId="0" borderId="1" xfId="5" applyNumberFormat="1" applyFont="1" applyBorder="1" applyAlignment="1">
      <alignment horizontal="center"/>
    </xf>
    <xf numFmtId="2" fontId="14" fillId="0" borderId="1" xfId="5" applyNumberFormat="1" applyFont="1" applyBorder="1" applyAlignment="1" applyProtection="1">
      <alignment horizontal="center"/>
      <protection hidden="1"/>
    </xf>
    <xf numFmtId="2" fontId="14" fillId="6" borderId="1" xfId="5" applyNumberFormat="1" applyFont="1" applyFill="1" applyBorder="1" applyAlignment="1">
      <alignment horizontal="center"/>
    </xf>
    <xf numFmtId="2" fontId="14" fillId="0" borderId="1" xfId="5" applyNumberFormat="1" applyFont="1" applyFill="1" applyBorder="1" applyAlignment="1" applyProtection="1">
      <alignment horizontal="center"/>
      <protection hidden="1"/>
    </xf>
    <xf numFmtId="0" fontId="14" fillId="6" borderId="1" xfId="6" applyFont="1" applyFill="1" applyBorder="1" applyProtection="1">
      <protection hidden="1"/>
    </xf>
    <xf numFmtId="0" fontId="14" fillId="6" borderId="1" xfId="6" applyFont="1" applyFill="1" applyBorder="1" applyAlignment="1" applyProtection="1">
      <alignment horizontal="center"/>
      <protection hidden="1"/>
    </xf>
    <xf numFmtId="2" fontId="14" fillId="6" borderId="1" xfId="5" applyNumberFormat="1" applyFont="1" applyFill="1" applyBorder="1" applyAlignment="1" applyProtection="1">
      <alignment horizontal="center"/>
      <protection hidden="1"/>
    </xf>
    <xf numFmtId="2" fontId="14" fillId="0" borderId="1" xfId="5" applyNumberFormat="1" applyFont="1" applyFill="1" applyBorder="1" applyAlignment="1">
      <alignment horizontal="center"/>
    </xf>
    <xf numFmtId="2" fontId="14" fillId="0" borderId="1" xfId="0" applyNumberFormat="1" applyFont="1" applyBorder="1" applyAlignment="1">
      <alignment horizontal="left" vertical="center"/>
    </xf>
    <xf numFmtId="0" fontId="14" fillId="0" borderId="1" xfId="0" applyFont="1" applyBorder="1" applyAlignment="1">
      <alignment horizontal="center"/>
    </xf>
    <xf numFmtId="0" fontId="13" fillId="0" borderId="1" xfId="0" applyFont="1" applyBorder="1"/>
    <xf numFmtId="0" fontId="13" fillId="0" borderId="1" xfId="0" applyFont="1" applyBorder="1" applyAlignment="1">
      <alignment horizontal="center"/>
    </xf>
    <xf numFmtId="2" fontId="13" fillId="0" borderId="1" xfId="5" applyNumberFormat="1" applyFont="1" applyFill="1" applyBorder="1" applyAlignment="1">
      <alignment horizontal="center"/>
    </xf>
    <xf numFmtId="2" fontId="13" fillId="0" borderId="1" xfId="5" applyNumberFormat="1" applyFont="1" applyBorder="1" applyAlignment="1">
      <alignment horizontal="center"/>
    </xf>
    <xf numFmtId="0" fontId="14" fillId="0" borderId="1" xfId="6" applyFont="1" applyBorder="1" applyAlignment="1" applyProtection="1">
      <alignment horizontal="left"/>
      <protection hidden="1"/>
    </xf>
    <xf numFmtId="0" fontId="14" fillId="0" borderId="1" xfId="0" applyFont="1" applyBorder="1"/>
    <xf numFmtId="164" fontId="14" fillId="0" borderId="1" xfId="5" applyFont="1" applyBorder="1" applyAlignment="1">
      <alignment horizontal="center"/>
    </xf>
    <xf numFmtId="0" fontId="14" fillId="0" borderId="1" xfId="0" applyFont="1" applyBorder="1" applyAlignment="1">
      <alignment horizontal="left"/>
    </xf>
    <xf numFmtId="0" fontId="13" fillId="0" borderId="1" xfId="6" applyFont="1" applyBorder="1" applyProtection="1">
      <protection hidden="1"/>
    </xf>
    <xf numFmtId="0" fontId="13" fillId="0" borderId="1" xfId="6" applyFont="1" applyBorder="1" applyAlignment="1" applyProtection="1">
      <alignment horizontal="center"/>
      <protection hidden="1"/>
    </xf>
    <xf numFmtId="2" fontId="13" fillId="0" borderId="1" xfId="5" applyNumberFormat="1" applyFont="1" applyBorder="1" applyAlignment="1" applyProtection="1">
      <alignment horizontal="center"/>
      <protection hidden="1"/>
    </xf>
    <xf numFmtId="2" fontId="13" fillId="0" borderId="1" xfId="5" applyNumberFormat="1" applyFont="1" applyFill="1" applyBorder="1" applyAlignment="1" applyProtection="1">
      <alignment horizontal="center"/>
      <protection hidden="1"/>
    </xf>
    <xf numFmtId="0" fontId="13" fillId="0" borderId="12" xfId="6" applyFont="1" applyBorder="1" applyProtection="1">
      <protection hidden="1"/>
    </xf>
    <xf numFmtId="0" fontId="13" fillId="0" borderId="12" xfId="6" applyFont="1" applyBorder="1" applyAlignment="1" applyProtection="1">
      <alignment horizontal="center"/>
      <protection hidden="1"/>
    </xf>
    <xf numFmtId="2" fontId="14" fillId="0" borderId="12" xfId="5" applyNumberFormat="1" applyFont="1" applyFill="1" applyBorder="1" applyAlignment="1">
      <alignment horizontal="center"/>
    </xf>
    <xf numFmtId="2" fontId="13" fillId="0" borderId="12" xfId="5" applyNumberFormat="1" applyFont="1" applyFill="1" applyBorder="1" applyAlignment="1" applyProtection="1">
      <alignment horizontal="center"/>
      <protection hidden="1"/>
    </xf>
    <xf numFmtId="49" fontId="14" fillId="0" borderId="1" xfId="0" applyNumberFormat="1" applyFont="1" applyBorder="1" applyAlignment="1">
      <alignment horizontal="center"/>
    </xf>
    <xf numFmtId="0" fontId="44" fillId="0" borderId="1" xfId="0" applyFont="1" applyBorder="1" applyAlignment="1">
      <alignment vertical="center"/>
    </xf>
    <xf numFmtId="0" fontId="44" fillId="0" borderId="1" xfId="0" applyFont="1" applyBorder="1" applyAlignment="1">
      <alignment horizontal="center" vertical="center"/>
    </xf>
    <xf numFmtId="0" fontId="44" fillId="0" borderId="1" xfId="0" applyFont="1" applyBorder="1" applyAlignment="1">
      <alignment horizontal="center"/>
    </xf>
    <xf numFmtId="2" fontId="44" fillId="0" borderId="1" xfId="5" applyNumberFormat="1" applyFont="1" applyBorder="1" applyAlignment="1">
      <alignment horizontal="center"/>
    </xf>
    <xf numFmtId="49" fontId="44" fillId="0" borderId="1" xfId="0" applyNumberFormat="1" applyFont="1" applyBorder="1" applyAlignment="1">
      <alignment horizontal="center" vertical="center"/>
    </xf>
    <xf numFmtId="49" fontId="14" fillId="0" borderId="1" xfId="6" applyNumberFormat="1" applyFont="1" applyBorder="1" applyAlignment="1" applyProtection="1">
      <alignment horizontal="center"/>
      <protection hidden="1"/>
    </xf>
    <xf numFmtId="2" fontId="14" fillId="0" borderId="1" xfId="5" applyNumberFormat="1" applyFont="1" applyBorder="1" applyProtection="1">
      <protection hidden="1"/>
    </xf>
    <xf numFmtId="0" fontId="13" fillId="0" borderId="1" xfId="6" applyFont="1" applyBorder="1" applyAlignment="1" applyProtection="1">
      <alignment horizontal="left" wrapText="1"/>
      <protection hidden="1"/>
    </xf>
    <xf numFmtId="0" fontId="13" fillId="0" borderId="1" xfId="6" applyFont="1" applyBorder="1" applyAlignment="1" applyProtection="1">
      <alignment horizontal="center" wrapText="1"/>
      <protection hidden="1"/>
    </xf>
    <xf numFmtId="2" fontId="13" fillId="0" borderId="1" xfId="5" applyNumberFormat="1" applyFont="1" applyBorder="1" applyAlignment="1" applyProtection="1">
      <alignment horizontal="center" wrapText="1"/>
      <protection hidden="1"/>
    </xf>
    <xf numFmtId="0" fontId="14" fillId="0" borderId="1" xfId="0" applyFont="1" applyBorder="1" applyAlignment="1">
      <alignment horizontal="left" vertical="center"/>
    </xf>
    <xf numFmtId="165" fontId="14" fillId="4" borderId="1" xfId="13" applyNumberFormat="1" applyFont="1" applyFill="1" applyBorder="1" applyAlignment="1">
      <alignment vertical="center"/>
    </xf>
    <xf numFmtId="165" fontId="13" fillId="9" borderId="1" xfId="0" applyNumberFormat="1" applyFont="1" applyFill="1" applyBorder="1" applyAlignment="1">
      <alignment horizontal="center"/>
    </xf>
    <xf numFmtId="165" fontId="14" fillId="0" borderId="1" xfId="6" applyNumberFormat="1" applyFont="1" applyBorder="1" applyProtection="1">
      <protection hidden="1"/>
    </xf>
    <xf numFmtId="165" fontId="14" fillId="0" borderId="1" xfId="0" applyNumberFormat="1" applyFont="1" applyBorder="1" applyAlignment="1">
      <alignment horizontal="center"/>
    </xf>
    <xf numFmtId="165" fontId="13" fillId="0" borderId="1" xfId="0" applyNumberFormat="1" applyFont="1" applyBorder="1" applyAlignment="1" applyProtection="1">
      <alignment horizontal="center"/>
      <protection hidden="1"/>
    </xf>
    <xf numFmtId="165" fontId="13" fillId="0" borderId="1" xfId="6" applyNumberFormat="1" applyFont="1" applyBorder="1" applyAlignment="1" applyProtection="1">
      <alignment horizontal="center"/>
      <protection hidden="1"/>
    </xf>
    <xf numFmtId="165" fontId="13" fillId="0" borderId="1" xfId="5" applyNumberFormat="1" applyFont="1" applyBorder="1" applyAlignment="1" applyProtection="1">
      <alignment horizontal="center"/>
      <protection hidden="1"/>
    </xf>
    <xf numFmtId="0" fontId="14" fillId="0" borderId="1" xfId="5" applyNumberFormat="1" applyFont="1" applyBorder="1" applyAlignment="1">
      <alignment horizontal="center"/>
    </xf>
    <xf numFmtId="0" fontId="13" fillId="0" borderId="1" xfId="5" applyNumberFormat="1" applyFont="1" applyBorder="1" applyAlignment="1" applyProtection="1">
      <alignment horizontal="center"/>
      <protection hidden="1"/>
    </xf>
    <xf numFmtId="165" fontId="13" fillId="0" borderId="1" xfId="6" applyNumberFormat="1" applyFont="1" applyBorder="1" applyProtection="1">
      <protection hidden="1"/>
    </xf>
    <xf numFmtId="165" fontId="14" fillId="0" borderId="1" xfId="5" applyNumberFormat="1" applyFont="1" applyBorder="1" applyAlignment="1">
      <alignment horizontal="center"/>
    </xf>
    <xf numFmtId="0" fontId="14" fillId="0" borderId="0" xfId="15" applyFont="1"/>
    <xf numFmtId="165" fontId="13" fillId="0" borderId="0" xfId="0" applyNumberFormat="1" applyFont="1" applyAlignment="1" applyProtection="1">
      <alignment horizontal="center" vertical="center" wrapText="1"/>
      <protection hidden="1"/>
    </xf>
    <xf numFmtId="165" fontId="21" fillId="0" borderId="0" xfId="0" applyNumberFormat="1" applyFont="1" applyAlignment="1" applyProtection="1">
      <alignment horizontal="center" vertical="center" wrapText="1"/>
      <protection hidden="1"/>
    </xf>
    <xf numFmtId="165" fontId="14" fillId="0" borderId="0" xfId="0" applyNumberFormat="1" applyFont="1" applyAlignment="1" applyProtection="1">
      <alignment horizontal="center"/>
      <protection hidden="1"/>
    </xf>
    <xf numFmtId="165" fontId="14" fillId="0" borderId="0" xfId="0" applyNumberFormat="1" applyFont="1" applyAlignment="1">
      <alignment horizontal="left" vertical="center"/>
    </xf>
    <xf numFmtId="165" fontId="19" fillId="0" borderId="0" xfId="6" applyNumberFormat="1" applyFont="1" applyAlignment="1" applyProtection="1">
      <alignment horizontal="center"/>
      <protection hidden="1"/>
    </xf>
    <xf numFmtId="165" fontId="14" fillId="0" borderId="0" xfId="5" applyNumberFormat="1" applyFont="1" applyFill="1" applyAlignment="1">
      <alignment horizontal="center"/>
    </xf>
    <xf numFmtId="165" fontId="14" fillId="0" borderId="0" xfId="7" applyNumberFormat="1" applyFont="1" applyFill="1" applyAlignment="1" applyProtection="1">
      <alignment horizontal="center"/>
      <protection hidden="1"/>
    </xf>
    <xf numFmtId="165" fontId="13" fillId="0" borderId="0" xfId="0" quotePrefix="1" applyNumberFormat="1" applyFont="1" applyProtection="1">
      <protection hidden="1"/>
    </xf>
    <xf numFmtId="165" fontId="25" fillId="0" borderId="0" xfId="0" applyNumberFormat="1" applyFont="1" applyAlignment="1" applyProtection="1">
      <alignment horizontal="center"/>
      <protection hidden="1"/>
    </xf>
    <xf numFmtId="0" fontId="8" fillId="0" borderId="0" xfId="0" applyFont="1" applyAlignment="1" applyProtection="1">
      <alignment horizontal="center"/>
      <protection hidden="1"/>
    </xf>
    <xf numFmtId="0" fontId="41" fillId="0" borderId="0" xfId="0" applyFont="1" applyAlignment="1" applyProtection="1">
      <alignment horizontal="center" wrapText="1"/>
      <protection hidden="1"/>
    </xf>
    <xf numFmtId="165" fontId="27" fillId="0" borderId="0" xfId="0" applyNumberFormat="1" applyFont="1" applyAlignment="1" applyProtection="1">
      <alignment horizontal="center"/>
      <protection hidden="1"/>
    </xf>
    <xf numFmtId="0" fontId="34" fillId="0" borderId="0" xfId="0" applyFont="1" applyAlignment="1" applyProtection="1">
      <alignment horizontal="left" vertical="top" wrapText="1"/>
      <protection hidden="1"/>
    </xf>
    <xf numFmtId="0" fontId="17" fillId="0" borderId="0" xfId="0" applyFont="1" applyAlignment="1" applyProtection="1">
      <alignment horizontal="center"/>
      <protection hidden="1"/>
    </xf>
    <xf numFmtId="0" fontId="17" fillId="0" borderId="0" xfId="0" applyFont="1" applyAlignment="1" applyProtection="1">
      <alignment horizontal="center" wrapText="1"/>
      <protection hidden="1"/>
    </xf>
  </cellXfs>
  <cellStyles count="16">
    <cellStyle name="Čiarka 2" xfId="14" xr:uid="{00000000-0005-0000-0000-000000000000}"/>
    <cellStyle name="Dziesiętny" xfId="5" builtinId="3"/>
    <cellStyle name="Dziesiętny 2" xfId="7" xr:uid="{00000000-0005-0000-0000-000002000000}"/>
    <cellStyle name="Dziesiętny 2 3" xfId="12" xr:uid="{00000000-0005-0000-0000-000003000000}"/>
    <cellStyle name="Dziesiętny 3" xfId="9" xr:uid="{00000000-0005-0000-0000-000004000000}"/>
    <cellStyle name="Hiperłącze" xfId="10" builtinId="8"/>
    <cellStyle name="Normálna 2" xfId="13" xr:uid="{00000000-0005-0000-0000-000006000000}"/>
    <cellStyle name="Normálna 3" xfId="15" xr:uid="{00000000-0005-0000-0000-000007000000}"/>
    <cellStyle name="Normalny" xfId="0" builtinId="0"/>
    <cellStyle name="Normalny 2" xfId="3" xr:uid="{00000000-0005-0000-0000-000009000000}"/>
    <cellStyle name="Normalny 3" xfId="2" xr:uid="{00000000-0005-0000-0000-00000A000000}"/>
    <cellStyle name="Normalny 4" xfId="1" xr:uid="{00000000-0005-0000-0000-00000B000000}"/>
    <cellStyle name="Normalny 4 2" xfId="4" xr:uid="{00000000-0005-0000-0000-00000C000000}"/>
    <cellStyle name="Normalny 5" xfId="8" xr:uid="{00000000-0005-0000-0000-00000D000000}"/>
    <cellStyle name="Normalny 6" xfId="6" xr:uid="{00000000-0005-0000-0000-00000E000000}"/>
    <cellStyle name="Procentowy" xfId="11" builtinId="5"/>
  </cellStyles>
  <dxfs count="47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3" Type="http://schemas.openxmlformats.org/officeDocument/2006/relationships/image" Target="../media/image20.jpeg"/><Relationship Id="rId7" Type="http://schemas.openxmlformats.org/officeDocument/2006/relationships/image" Target="../media/image24.jpeg"/><Relationship Id="rId2" Type="http://schemas.openxmlformats.org/officeDocument/2006/relationships/image" Target="../media/image19.jpeg"/><Relationship Id="rId1" Type="http://schemas.openxmlformats.org/officeDocument/2006/relationships/image" Target="../media/image18.png"/><Relationship Id="rId6" Type="http://schemas.openxmlformats.org/officeDocument/2006/relationships/image" Target="../media/image23.jpeg"/><Relationship Id="rId5" Type="http://schemas.openxmlformats.org/officeDocument/2006/relationships/image" Target="../media/image22.jpeg"/><Relationship Id="rId4" Type="http://schemas.openxmlformats.org/officeDocument/2006/relationships/image" Target="../media/image21.jpeg"/><Relationship Id="rId9" Type="http://schemas.openxmlformats.org/officeDocument/2006/relationships/image" Target="../media/image2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png"/><Relationship Id="rId3" Type="http://schemas.openxmlformats.org/officeDocument/2006/relationships/image" Target="../media/image67.jpeg"/><Relationship Id="rId7" Type="http://schemas.openxmlformats.org/officeDocument/2006/relationships/image" Target="../media/image71.jpeg"/><Relationship Id="rId2" Type="http://schemas.openxmlformats.org/officeDocument/2006/relationships/image" Target="../media/image66.jpeg"/><Relationship Id="rId1" Type="http://schemas.openxmlformats.org/officeDocument/2006/relationships/image" Target="../media/image18.png"/><Relationship Id="rId6" Type="http://schemas.openxmlformats.org/officeDocument/2006/relationships/image" Target="../media/image70.jpeg"/><Relationship Id="rId5" Type="http://schemas.openxmlformats.org/officeDocument/2006/relationships/image" Target="../media/image69.jpeg"/><Relationship Id="rId4" Type="http://schemas.openxmlformats.org/officeDocument/2006/relationships/image" Target="../media/image68.jpeg"/><Relationship Id="rId9" Type="http://schemas.openxmlformats.org/officeDocument/2006/relationships/image" Target="../media/image7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.jpeg"/><Relationship Id="rId13" Type="http://schemas.openxmlformats.org/officeDocument/2006/relationships/image" Target="../media/image121.jpeg"/><Relationship Id="rId18" Type="http://schemas.openxmlformats.org/officeDocument/2006/relationships/image" Target="../media/image126.jpeg"/><Relationship Id="rId3" Type="http://schemas.openxmlformats.org/officeDocument/2006/relationships/image" Target="../media/image111.jpeg"/><Relationship Id="rId7" Type="http://schemas.openxmlformats.org/officeDocument/2006/relationships/image" Target="../media/image115.jpeg"/><Relationship Id="rId12" Type="http://schemas.openxmlformats.org/officeDocument/2006/relationships/image" Target="../media/image120.jpeg"/><Relationship Id="rId17" Type="http://schemas.openxmlformats.org/officeDocument/2006/relationships/image" Target="../media/image125.png"/><Relationship Id="rId2" Type="http://schemas.openxmlformats.org/officeDocument/2006/relationships/image" Target="../media/image110.jpeg"/><Relationship Id="rId16" Type="http://schemas.openxmlformats.org/officeDocument/2006/relationships/image" Target="../media/image124.jpeg"/><Relationship Id="rId1" Type="http://schemas.openxmlformats.org/officeDocument/2006/relationships/image" Target="../media/image18.png"/><Relationship Id="rId6" Type="http://schemas.openxmlformats.org/officeDocument/2006/relationships/image" Target="../media/image114.jpeg"/><Relationship Id="rId11" Type="http://schemas.openxmlformats.org/officeDocument/2006/relationships/image" Target="../media/image119.jpeg"/><Relationship Id="rId5" Type="http://schemas.openxmlformats.org/officeDocument/2006/relationships/image" Target="../media/image113.jpeg"/><Relationship Id="rId15" Type="http://schemas.openxmlformats.org/officeDocument/2006/relationships/image" Target="../media/image123.jpeg"/><Relationship Id="rId10" Type="http://schemas.openxmlformats.org/officeDocument/2006/relationships/image" Target="../media/image118.jpeg"/><Relationship Id="rId19" Type="http://schemas.openxmlformats.org/officeDocument/2006/relationships/image" Target="../media/image127.jpeg"/><Relationship Id="rId4" Type="http://schemas.openxmlformats.org/officeDocument/2006/relationships/image" Target="../media/image112.jpeg"/><Relationship Id="rId9" Type="http://schemas.openxmlformats.org/officeDocument/2006/relationships/image" Target="../media/image117.jpeg"/><Relationship Id="rId14" Type="http://schemas.openxmlformats.org/officeDocument/2006/relationships/image" Target="../media/image122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1.jpeg"/><Relationship Id="rId2" Type="http://schemas.openxmlformats.org/officeDocument/2006/relationships/image" Target="../media/image150.jpeg"/><Relationship Id="rId1" Type="http://schemas.openxmlformats.org/officeDocument/2006/relationships/image" Target="../media/image18.png"/><Relationship Id="rId4" Type="http://schemas.openxmlformats.org/officeDocument/2006/relationships/image" Target="../media/image152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8.png"/><Relationship Id="rId2" Type="http://schemas.openxmlformats.org/officeDocument/2006/relationships/image" Target="../media/image157.png"/><Relationship Id="rId1" Type="http://schemas.openxmlformats.org/officeDocument/2006/relationships/image" Target="../media/image156.pn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39.png"/><Relationship Id="rId18" Type="http://schemas.openxmlformats.org/officeDocument/2006/relationships/image" Target="../media/image44.png"/><Relationship Id="rId26" Type="http://schemas.openxmlformats.org/officeDocument/2006/relationships/image" Target="../media/image52.png"/><Relationship Id="rId39" Type="http://schemas.openxmlformats.org/officeDocument/2006/relationships/image" Target="../media/image65.png"/><Relationship Id="rId21" Type="http://schemas.openxmlformats.org/officeDocument/2006/relationships/image" Target="../media/image47.png"/><Relationship Id="rId34" Type="http://schemas.openxmlformats.org/officeDocument/2006/relationships/image" Target="../media/image60.png"/><Relationship Id="rId7" Type="http://schemas.openxmlformats.org/officeDocument/2006/relationships/image" Target="../media/image33.png"/><Relationship Id="rId12" Type="http://schemas.openxmlformats.org/officeDocument/2006/relationships/image" Target="../media/image38.png"/><Relationship Id="rId17" Type="http://schemas.openxmlformats.org/officeDocument/2006/relationships/image" Target="../media/image43.png"/><Relationship Id="rId25" Type="http://schemas.openxmlformats.org/officeDocument/2006/relationships/image" Target="../media/image51.png"/><Relationship Id="rId33" Type="http://schemas.openxmlformats.org/officeDocument/2006/relationships/image" Target="../media/image59.png"/><Relationship Id="rId38" Type="http://schemas.openxmlformats.org/officeDocument/2006/relationships/image" Target="../media/image64.png"/><Relationship Id="rId2" Type="http://schemas.openxmlformats.org/officeDocument/2006/relationships/image" Target="../media/image28.png"/><Relationship Id="rId16" Type="http://schemas.openxmlformats.org/officeDocument/2006/relationships/image" Target="../media/image42.png"/><Relationship Id="rId20" Type="http://schemas.openxmlformats.org/officeDocument/2006/relationships/image" Target="../media/image46.png"/><Relationship Id="rId29" Type="http://schemas.openxmlformats.org/officeDocument/2006/relationships/image" Target="../media/image55.png"/><Relationship Id="rId1" Type="http://schemas.openxmlformats.org/officeDocument/2006/relationships/image" Target="../media/image27.png"/><Relationship Id="rId6" Type="http://schemas.openxmlformats.org/officeDocument/2006/relationships/image" Target="../media/image32.png"/><Relationship Id="rId11" Type="http://schemas.openxmlformats.org/officeDocument/2006/relationships/image" Target="../media/image37.png"/><Relationship Id="rId24" Type="http://schemas.openxmlformats.org/officeDocument/2006/relationships/image" Target="../media/image50.png"/><Relationship Id="rId32" Type="http://schemas.openxmlformats.org/officeDocument/2006/relationships/image" Target="../media/image58.png"/><Relationship Id="rId37" Type="http://schemas.openxmlformats.org/officeDocument/2006/relationships/image" Target="../media/image63.png"/><Relationship Id="rId5" Type="http://schemas.openxmlformats.org/officeDocument/2006/relationships/image" Target="../media/image31.png"/><Relationship Id="rId15" Type="http://schemas.openxmlformats.org/officeDocument/2006/relationships/image" Target="../media/image41.png"/><Relationship Id="rId23" Type="http://schemas.openxmlformats.org/officeDocument/2006/relationships/image" Target="../media/image49.png"/><Relationship Id="rId28" Type="http://schemas.openxmlformats.org/officeDocument/2006/relationships/image" Target="../media/image54.png"/><Relationship Id="rId36" Type="http://schemas.openxmlformats.org/officeDocument/2006/relationships/image" Target="../media/image62.png"/><Relationship Id="rId10" Type="http://schemas.openxmlformats.org/officeDocument/2006/relationships/image" Target="../media/image36.png"/><Relationship Id="rId19" Type="http://schemas.openxmlformats.org/officeDocument/2006/relationships/image" Target="../media/image45.png"/><Relationship Id="rId31" Type="http://schemas.openxmlformats.org/officeDocument/2006/relationships/image" Target="../media/image57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40.png"/><Relationship Id="rId22" Type="http://schemas.openxmlformats.org/officeDocument/2006/relationships/image" Target="../media/image48.png"/><Relationship Id="rId27" Type="http://schemas.openxmlformats.org/officeDocument/2006/relationships/image" Target="../media/image53.png"/><Relationship Id="rId30" Type="http://schemas.openxmlformats.org/officeDocument/2006/relationships/image" Target="../media/image56.png"/><Relationship Id="rId35" Type="http://schemas.openxmlformats.org/officeDocument/2006/relationships/image" Target="../media/image61.png"/><Relationship Id="rId8" Type="http://schemas.openxmlformats.org/officeDocument/2006/relationships/image" Target="../media/image34.png"/><Relationship Id="rId3" Type="http://schemas.openxmlformats.org/officeDocument/2006/relationships/image" Target="../media/image29.png"/></Relationships>
</file>

<file path=xl/drawings/_rels/vmlDrawing2.vml.rels><?xml version="1.0" encoding="UTF-8" standalone="yes"?>
<Relationships xmlns="http://schemas.openxmlformats.org/package/2006/relationships"><Relationship Id="rId13" Type="http://schemas.openxmlformats.org/officeDocument/2006/relationships/image" Target="../media/image32.png"/><Relationship Id="rId18" Type="http://schemas.openxmlformats.org/officeDocument/2006/relationships/image" Target="../media/image37.png"/><Relationship Id="rId26" Type="http://schemas.openxmlformats.org/officeDocument/2006/relationships/image" Target="../media/image87.png"/><Relationship Id="rId39" Type="http://schemas.openxmlformats.org/officeDocument/2006/relationships/image" Target="../media/image99.png"/><Relationship Id="rId21" Type="http://schemas.openxmlformats.org/officeDocument/2006/relationships/image" Target="../media/image84.png"/><Relationship Id="rId34" Type="http://schemas.openxmlformats.org/officeDocument/2006/relationships/image" Target="../media/image95.png"/><Relationship Id="rId42" Type="http://schemas.openxmlformats.org/officeDocument/2006/relationships/image" Target="../media/image102.png"/><Relationship Id="rId47" Type="http://schemas.openxmlformats.org/officeDocument/2006/relationships/image" Target="../media/image105.png"/><Relationship Id="rId50" Type="http://schemas.openxmlformats.org/officeDocument/2006/relationships/image" Target="../media/image108.png"/><Relationship Id="rId7" Type="http://schemas.openxmlformats.org/officeDocument/2006/relationships/image" Target="../media/image77.png"/><Relationship Id="rId2" Type="http://schemas.openxmlformats.org/officeDocument/2006/relationships/image" Target="../media/image75.png"/><Relationship Id="rId16" Type="http://schemas.openxmlformats.org/officeDocument/2006/relationships/image" Target="../media/image82.png"/><Relationship Id="rId29" Type="http://schemas.openxmlformats.org/officeDocument/2006/relationships/image" Target="../media/image90.png"/><Relationship Id="rId11" Type="http://schemas.openxmlformats.org/officeDocument/2006/relationships/image" Target="../media/image34.png"/><Relationship Id="rId24" Type="http://schemas.openxmlformats.org/officeDocument/2006/relationships/image" Target="../media/image58.png"/><Relationship Id="rId32" Type="http://schemas.openxmlformats.org/officeDocument/2006/relationships/image" Target="../media/image93.png"/><Relationship Id="rId37" Type="http://schemas.openxmlformats.org/officeDocument/2006/relationships/image" Target="../media/image98.png"/><Relationship Id="rId40" Type="http://schemas.openxmlformats.org/officeDocument/2006/relationships/image" Target="../media/image100.png"/><Relationship Id="rId45" Type="http://schemas.openxmlformats.org/officeDocument/2006/relationships/image" Target="../media/image103.png"/><Relationship Id="rId5" Type="http://schemas.openxmlformats.org/officeDocument/2006/relationships/image" Target="../media/image56.png"/><Relationship Id="rId15" Type="http://schemas.openxmlformats.org/officeDocument/2006/relationships/image" Target="../media/image81.png"/><Relationship Id="rId23" Type="http://schemas.openxmlformats.org/officeDocument/2006/relationships/image" Target="../media/image85.png"/><Relationship Id="rId28" Type="http://schemas.openxmlformats.org/officeDocument/2006/relationships/image" Target="../media/image89.png"/><Relationship Id="rId36" Type="http://schemas.openxmlformats.org/officeDocument/2006/relationships/image" Target="../media/image97.png"/><Relationship Id="rId49" Type="http://schemas.openxmlformats.org/officeDocument/2006/relationships/image" Target="../media/image107.png"/><Relationship Id="rId10" Type="http://schemas.openxmlformats.org/officeDocument/2006/relationships/image" Target="../media/image33.png"/><Relationship Id="rId19" Type="http://schemas.openxmlformats.org/officeDocument/2006/relationships/image" Target="../media/image83.png"/><Relationship Id="rId31" Type="http://schemas.openxmlformats.org/officeDocument/2006/relationships/image" Target="../media/image92.png"/><Relationship Id="rId44" Type="http://schemas.openxmlformats.org/officeDocument/2006/relationships/image" Target="../media/image39.png"/><Relationship Id="rId4" Type="http://schemas.openxmlformats.org/officeDocument/2006/relationships/image" Target="../media/image57.png"/><Relationship Id="rId9" Type="http://schemas.openxmlformats.org/officeDocument/2006/relationships/image" Target="../media/image79.png"/><Relationship Id="rId14" Type="http://schemas.openxmlformats.org/officeDocument/2006/relationships/image" Target="../media/image80.png"/><Relationship Id="rId22" Type="http://schemas.openxmlformats.org/officeDocument/2006/relationships/image" Target="../media/image60.png"/><Relationship Id="rId27" Type="http://schemas.openxmlformats.org/officeDocument/2006/relationships/image" Target="../media/image88.png"/><Relationship Id="rId30" Type="http://schemas.openxmlformats.org/officeDocument/2006/relationships/image" Target="../media/image91.png"/><Relationship Id="rId35" Type="http://schemas.openxmlformats.org/officeDocument/2006/relationships/image" Target="../media/image96.png"/><Relationship Id="rId43" Type="http://schemas.openxmlformats.org/officeDocument/2006/relationships/image" Target="../media/image46.png"/><Relationship Id="rId48" Type="http://schemas.openxmlformats.org/officeDocument/2006/relationships/image" Target="../media/image106.png"/><Relationship Id="rId8" Type="http://schemas.openxmlformats.org/officeDocument/2006/relationships/image" Target="../media/image78.png"/><Relationship Id="rId51" Type="http://schemas.openxmlformats.org/officeDocument/2006/relationships/image" Target="../media/image109.png"/><Relationship Id="rId3" Type="http://schemas.openxmlformats.org/officeDocument/2006/relationships/image" Target="../media/image76.png"/><Relationship Id="rId12" Type="http://schemas.openxmlformats.org/officeDocument/2006/relationships/image" Target="../media/image35.png"/><Relationship Id="rId17" Type="http://schemas.openxmlformats.org/officeDocument/2006/relationships/image" Target="../media/image64.png"/><Relationship Id="rId25" Type="http://schemas.openxmlformats.org/officeDocument/2006/relationships/image" Target="../media/image86.png"/><Relationship Id="rId33" Type="http://schemas.openxmlformats.org/officeDocument/2006/relationships/image" Target="../media/image94.png"/><Relationship Id="rId38" Type="http://schemas.openxmlformats.org/officeDocument/2006/relationships/image" Target="../media/image49.png"/><Relationship Id="rId46" Type="http://schemas.openxmlformats.org/officeDocument/2006/relationships/image" Target="../media/image104.png"/><Relationship Id="rId20" Type="http://schemas.openxmlformats.org/officeDocument/2006/relationships/image" Target="../media/image65.png"/><Relationship Id="rId41" Type="http://schemas.openxmlformats.org/officeDocument/2006/relationships/image" Target="../media/image101.png"/><Relationship Id="rId1" Type="http://schemas.openxmlformats.org/officeDocument/2006/relationships/image" Target="../media/image74.png"/><Relationship Id="rId6" Type="http://schemas.openxmlformats.org/officeDocument/2006/relationships/image" Target="../media/image63.png"/></Relationships>
</file>

<file path=xl/drawings/_rels/vmlDrawing3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2.jpeg"/><Relationship Id="rId18" Type="http://schemas.openxmlformats.org/officeDocument/2006/relationships/image" Target="../media/image137.png"/><Relationship Id="rId26" Type="http://schemas.openxmlformats.org/officeDocument/2006/relationships/image" Target="../media/image144.png"/><Relationship Id="rId3" Type="http://schemas.openxmlformats.org/officeDocument/2006/relationships/image" Target="../media/image57.png"/><Relationship Id="rId21" Type="http://schemas.openxmlformats.org/officeDocument/2006/relationships/image" Target="../media/image139.png"/><Relationship Id="rId7" Type="http://schemas.openxmlformats.org/officeDocument/2006/relationships/image" Target="../media/image95.png"/><Relationship Id="rId12" Type="http://schemas.openxmlformats.org/officeDocument/2006/relationships/image" Target="../media/image37.png"/><Relationship Id="rId17" Type="http://schemas.openxmlformats.org/officeDocument/2006/relationships/image" Target="../media/image136.png"/><Relationship Id="rId25" Type="http://schemas.openxmlformats.org/officeDocument/2006/relationships/image" Target="../media/image143.png"/><Relationship Id="rId33" Type="http://schemas.openxmlformats.org/officeDocument/2006/relationships/image" Target="../media/image65.png"/><Relationship Id="rId2" Type="http://schemas.openxmlformats.org/officeDocument/2006/relationships/image" Target="../media/image129.png"/><Relationship Id="rId16" Type="http://schemas.openxmlformats.org/officeDocument/2006/relationships/image" Target="../media/image135.png"/><Relationship Id="rId20" Type="http://schemas.openxmlformats.org/officeDocument/2006/relationships/image" Target="../media/image138.png"/><Relationship Id="rId29" Type="http://schemas.openxmlformats.org/officeDocument/2006/relationships/image" Target="../media/image146.jpeg"/><Relationship Id="rId1" Type="http://schemas.openxmlformats.org/officeDocument/2006/relationships/image" Target="../media/image128.png"/><Relationship Id="rId6" Type="http://schemas.openxmlformats.org/officeDocument/2006/relationships/image" Target="../media/image94.png"/><Relationship Id="rId11" Type="http://schemas.openxmlformats.org/officeDocument/2006/relationships/image" Target="../media/image49.png"/><Relationship Id="rId24" Type="http://schemas.openxmlformats.org/officeDocument/2006/relationships/image" Target="../media/image142.png"/><Relationship Id="rId32" Type="http://schemas.openxmlformats.org/officeDocument/2006/relationships/image" Target="../media/image149.png"/><Relationship Id="rId5" Type="http://schemas.openxmlformats.org/officeDocument/2006/relationships/image" Target="../media/image131.png"/><Relationship Id="rId15" Type="http://schemas.openxmlformats.org/officeDocument/2006/relationships/image" Target="../media/image134.png"/><Relationship Id="rId23" Type="http://schemas.openxmlformats.org/officeDocument/2006/relationships/image" Target="../media/image141.png"/><Relationship Id="rId28" Type="http://schemas.openxmlformats.org/officeDocument/2006/relationships/image" Target="../media/image145.jpeg"/><Relationship Id="rId10" Type="http://schemas.openxmlformats.org/officeDocument/2006/relationships/image" Target="../media/image104.png"/><Relationship Id="rId19" Type="http://schemas.openxmlformats.org/officeDocument/2006/relationships/image" Target="../media/image63.png"/><Relationship Id="rId31" Type="http://schemas.openxmlformats.org/officeDocument/2006/relationships/image" Target="../media/image148.png"/><Relationship Id="rId4" Type="http://schemas.openxmlformats.org/officeDocument/2006/relationships/image" Target="../media/image130.png"/><Relationship Id="rId9" Type="http://schemas.openxmlformats.org/officeDocument/2006/relationships/image" Target="../media/image58.png"/><Relationship Id="rId14" Type="http://schemas.openxmlformats.org/officeDocument/2006/relationships/image" Target="../media/image133.png"/><Relationship Id="rId22" Type="http://schemas.openxmlformats.org/officeDocument/2006/relationships/image" Target="../media/image140.png"/><Relationship Id="rId27" Type="http://schemas.openxmlformats.org/officeDocument/2006/relationships/image" Target="../media/image90.png"/><Relationship Id="rId30" Type="http://schemas.openxmlformats.org/officeDocument/2006/relationships/image" Target="../media/image147.png"/><Relationship Id="rId8" Type="http://schemas.openxmlformats.org/officeDocument/2006/relationships/image" Target="../media/image35.png"/></Relationships>
</file>

<file path=xl/drawings/_rels/vmlDrawing4.vml.rels><?xml version="1.0" encoding="UTF-8" standalone="yes"?>
<Relationships xmlns="http://schemas.openxmlformats.org/package/2006/relationships"><Relationship Id="rId8" Type="http://schemas.openxmlformats.org/officeDocument/2006/relationships/image" Target="../media/image93.png"/><Relationship Id="rId13" Type="http://schemas.openxmlformats.org/officeDocument/2006/relationships/image" Target="../media/image153.png"/><Relationship Id="rId18" Type="http://schemas.openxmlformats.org/officeDocument/2006/relationships/image" Target="../media/image60.png"/><Relationship Id="rId3" Type="http://schemas.openxmlformats.org/officeDocument/2006/relationships/image" Target="../media/image91.png"/><Relationship Id="rId7" Type="http://schemas.openxmlformats.org/officeDocument/2006/relationships/image" Target="../media/image92.png"/><Relationship Id="rId12" Type="http://schemas.openxmlformats.org/officeDocument/2006/relationships/image" Target="../media/image96.png"/><Relationship Id="rId17" Type="http://schemas.openxmlformats.org/officeDocument/2006/relationships/image" Target="../media/image155.png"/><Relationship Id="rId2" Type="http://schemas.openxmlformats.org/officeDocument/2006/relationships/image" Target="../media/image63.png"/><Relationship Id="rId16" Type="http://schemas.openxmlformats.org/officeDocument/2006/relationships/image" Target="../media/image57.png"/><Relationship Id="rId1" Type="http://schemas.openxmlformats.org/officeDocument/2006/relationships/image" Target="../media/image64.png"/><Relationship Id="rId6" Type="http://schemas.openxmlformats.org/officeDocument/2006/relationships/image" Target="../media/image37.png"/><Relationship Id="rId11" Type="http://schemas.openxmlformats.org/officeDocument/2006/relationships/image" Target="../media/image35.png"/><Relationship Id="rId5" Type="http://schemas.openxmlformats.org/officeDocument/2006/relationships/image" Target="../media/image49.png"/><Relationship Id="rId15" Type="http://schemas.openxmlformats.org/officeDocument/2006/relationships/image" Target="../media/image76.png"/><Relationship Id="rId10" Type="http://schemas.openxmlformats.org/officeDocument/2006/relationships/image" Target="../media/image95.png"/><Relationship Id="rId4" Type="http://schemas.openxmlformats.org/officeDocument/2006/relationships/image" Target="../media/image58.png"/><Relationship Id="rId9" Type="http://schemas.openxmlformats.org/officeDocument/2006/relationships/image" Target="../media/image94.png"/><Relationship Id="rId14" Type="http://schemas.openxmlformats.org/officeDocument/2006/relationships/image" Target="../media/image154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205837</xdr:colOff>
      <xdr:row>0</xdr:row>
      <xdr:rowOff>47625</xdr:rowOff>
    </xdr:from>
    <xdr:ext cx="984788" cy="1162050"/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1437" y="47625"/>
          <a:ext cx="984788" cy="1162050"/>
        </a:xfrm>
        <a:prstGeom prst="rect">
          <a:avLst/>
        </a:prstGeom>
        <a:effectLst/>
      </xdr:spPr>
    </xdr:pic>
    <xdr:clientData/>
  </xdr:oneCellAnchor>
  <xdr:oneCellAnchor>
    <xdr:from>
      <xdr:col>0</xdr:col>
      <xdr:colOff>0</xdr:colOff>
      <xdr:row>0</xdr:row>
      <xdr:rowOff>0</xdr:rowOff>
    </xdr:from>
    <xdr:ext cx="6752381" cy="8114286"/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6752381" cy="811428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65</xdr:row>
      <xdr:rowOff>0</xdr:rowOff>
    </xdr:from>
    <xdr:ext cx="5990476" cy="7990476"/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2382500"/>
          <a:ext cx="5990476" cy="799047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108</xdr:row>
      <xdr:rowOff>0</xdr:rowOff>
    </xdr:from>
    <xdr:ext cx="5961905" cy="4285714"/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0574000"/>
          <a:ext cx="5961905" cy="428571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131</xdr:row>
      <xdr:rowOff>0</xdr:rowOff>
    </xdr:from>
    <xdr:ext cx="6114286" cy="3980952"/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4955500"/>
          <a:ext cx="6114286" cy="398095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152</xdr:row>
      <xdr:rowOff>0</xdr:rowOff>
    </xdr:from>
    <xdr:ext cx="5971429" cy="6980952"/>
    <xdr:pic>
      <xdr:nvPicPr>
        <xdr:cNvPr id="7" name="Obraz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8956000"/>
          <a:ext cx="5971429" cy="698095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188</xdr:row>
      <xdr:rowOff>0</xdr:rowOff>
    </xdr:from>
    <xdr:ext cx="6323809" cy="4200000"/>
    <xdr:pic>
      <xdr:nvPicPr>
        <xdr:cNvPr id="8" name="Obraz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35814000"/>
          <a:ext cx="6323809" cy="4200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210</xdr:row>
      <xdr:rowOff>0</xdr:rowOff>
    </xdr:from>
    <xdr:ext cx="6219048" cy="7980952"/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40005000"/>
          <a:ext cx="6219048" cy="798095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253</xdr:row>
      <xdr:rowOff>0</xdr:rowOff>
    </xdr:from>
    <xdr:ext cx="9390476" cy="2857143"/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48196500"/>
          <a:ext cx="9390476" cy="285714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268</xdr:row>
      <xdr:rowOff>0</xdr:rowOff>
    </xdr:from>
    <xdr:ext cx="6638095" cy="7552381"/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51054000"/>
          <a:ext cx="6638095" cy="755238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308</xdr:row>
      <xdr:rowOff>0</xdr:rowOff>
    </xdr:from>
    <xdr:ext cx="9542857" cy="2933333"/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58674000"/>
          <a:ext cx="9542857" cy="293333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322</xdr:row>
      <xdr:rowOff>0</xdr:rowOff>
    </xdr:from>
    <xdr:ext cx="5800000" cy="7990476"/>
    <xdr:pic>
      <xdr:nvPicPr>
        <xdr:cNvPr id="13" name="Obraz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61341000"/>
          <a:ext cx="5800000" cy="799047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365</xdr:row>
      <xdr:rowOff>0</xdr:rowOff>
    </xdr:from>
    <xdr:ext cx="4409524" cy="2038095"/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69532500"/>
          <a:ext cx="4409524" cy="203809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376</xdr:row>
      <xdr:rowOff>0</xdr:rowOff>
    </xdr:from>
    <xdr:ext cx="9152381" cy="7028571"/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71628000"/>
          <a:ext cx="9152381" cy="702857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42</xdr:row>
      <xdr:rowOff>85725</xdr:rowOff>
    </xdr:from>
    <xdr:ext cx="6314286" cy="4276190"/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8086725"/>
          <a:ext cx="6314286" cy="4276190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14</xdr:row>
      <xdr:rowOff>28575</xdr:rowOff>
    </xdr:from>
    <xdr:ext cx="6677025" cy="192019"/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525" y="2695575"/>
          <a:ext cx="6677025" cy="192019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</xdr:row>
      <xdr:rowOff>180975</xdr:rowOff>
    </xdr:from>
    <xdr:to>
      <xdr:col>10</xdr:col>
      <xdr:colOff>589714</xdr:colOff>
      <xdr:row>14</xdr:row>
      <xdr:rowOff>28284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D219743A-C7C5-D593-61D3-D4577EA09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371475"/>
          <a:ext cx="6685714" cy="232380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248411</xdr:colOff>
      <xdr:row>0</xdr:row>
      <xdr:rowOff>124428</xdr:rowOff>
    </xdr:from>
    <xdr:to>
      <xdr:col>32</xdr:col>
      <xdr:colOff>298876</xdr:colOff>
      <xdr:row>10</xdr:row>
      <xdr:rowOff>127159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23054" y="124428"/>
          <a:ext cx="1887429" cy="2207088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87363</xdr:colOff>
      <xdr:row>0</xdr:row>
      <xdr:rowOff>357188</xdr:rowOff>
    </xdr:from>
    <xdr:to>
      <xdr:col>28</xdr:col>
      <xdr:colOff>579848</xdr:colOff>
      <xdr:row>22</xdr:row>
      <xdr:rowOff>413317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40970" y="357188"/>
          <a:ext cx="4901200" cy="4546486"/>
        </a:xfrm>
        <a:prstGeom prst="rect">
          <a:avLst/>
        </a:prstGeom>
      </xdr:spPr>
    </xdr:pic>
    <xdr:clientData/>
  </xdr:twoCellAnchor>
  <xdr:twoCellAnchor editAs="oneCell">
    <xdr:from>
      <xdr:col>21</xdr:col>
      <xdr:colOff>89747</xdr:colOff>
      <xdr:row>23</xdr:row>
      <xdr:rowOff>9528</xdr:rowOff>
    </xdr:from>
    <xdr:to>
      <xdr:col>28</xdr:col>
      <xdr:colOff>569117</xdr:colOff>
      <xdr:row>45</xdr:row>
      <xdr:rowOff>383369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43354" y="4989742"/>
          <a:ext cx="4888085" cy="4564841"/>
        </a:xfrm>
        <a:prstGeom prst="rect">
          <a:avLst/>
        </a:prstGeom>
      </xdr:spPr>
    </xdr:pic>
    <xdr:clientData/>
  </xdr:twoCellAnchor>
  <xdr:twoCellAnchor editAs="oneCell">
    <xdr:from>
      <xdr:col>21</xdr:col>
      <xdr:colOff>104279</xdr:colOff>
      <xdr:row>89</xdr:row>
      <xdr:rowOff>154541</xdr:rowOff>
    </xdr:from>
    <xdr:to>
      <xdr:col>28</xdr:col>
      <xdr:colOff>605368</xdr:colOff>
      <xdr:row>110</xdr:row>
      <xdr:rowOff>107397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28946" y="18336708"/>
          <a:ext cx="4914339" cy="4260272"/>
        </a:xfrm>
        <a:prstGeom prst="rect">
          <a:avLst/>
        </a:prstGeom>
      </xdr:spPr>
    </xdr:pic>
    <xdr:clientData/>
  </xdr:twoCellAnchor>
  <xdr:twoCellAnchor editAs="oneCell">
    <xdr:from>
      <xdr:col>21</xdr:col>
      <xdr:colOff>128175</xdr:colOff>
      <xdr:row>110</xdr:row>
      <xdr:rowOff>187122</xdr:rowOff>
    </xdr:from>
    <xdr:to>
      <xdr:col>28</xdr:col>
      <xdr:colOff>561158</xdr:colOff>
      <xdr:row>130</xdr:row>
      <xdr:rowOff>478291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81782" y="22638908"/>
          <a:ext cx="4841698" cy="4400526"/>
        </a:xfrm>
        <a:prstGeom prst="rect">
          <a:avLst/>
        </a:prstGeom>
      </xdr:spPr>
    </xdr:pic>
    <xdr:clientData/>
  </xdr:twoCellAnchor>
  <xdr:twoCellAnchor editAs="oneCell">
    <xdr:from>
      <xdr:col>21</xdr:col>
      <xdr:colOff>89748</xdr:colOff>
      <xdr:row>45</xdr:row>
      <xdr:rowOff>387152</xdr:rowOff>
    </xdr:from>
    <xdr:to>
      <xdr:col>28</xdr:col>
      <xdr:colOff>571499</xdr:colOff>
      <xdr:row>67</xdr:row>
      <xdr:rowOff>358516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14415" y="9573485"/>
          <a:ext cx="4895001" cy="4469281"/>
        </a:xfrm>
        <a:prstGeom prst="rect">
          <a:avLst/>
        </a:prstGeom>
      </xdr:spPr>
    </xdr:pic>
    <xdr:clientData/>
  </xdr:twoCellAnchor>
  <xdr:twoCellAnchor editAs="oneCell">
    <xdr:from>
      <xdr:col>21</xdr:col>
      <xdr:colOff>100322</xdr:colOff>
      <xdr:row>67</xdr:row>
      <xdr:rowOff>334247</xdr:rowOff>
    </xdr:from>
    <xdr:to>
      <xdr:col>28</xdr:col>
      <xdr:colOff>592666</xdr:colOff>
      <xdr:row>89</xdr:row>
      <xdr:rowOff>105834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24989" y="14018497"/>
          <a:ext cx="4905594" cy="4269504"/>
        </a:xfrm>
        <a:prstGeom prst="rect">
          <a:avLst/>
        </a:prstGeom>
      </xdr:spPr>
    </xdr:pic>
    <xdr:clientData/>
  </xdr:twoCellAnchor>
  <xdr:twoCellAnchor editAs="oneCell">
    <xdr:from>
      <xdr:col>21</xdr:col>
      <xdr:colOff>117053</xdr:colOff>
      <xdr:row>130</xdr:row>
      <xdr:rowOff>255</xdr:rowOff>
    </xdr:from>
    <xdr:to>
      <xdr:col>28</xdr:col>
      <xdr:colOff>533065</xdr:colOff>
      <xdr:row>152</xdr:row>
      <xdr:rowOff>276565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70660" y="26561398"/>
          <a:ext cx="4824727" cy="4766667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122466</xdr:colOff>
      <xdr:row>151</xdr:row>
      <xdr:rowOff>189139</xdr:rowOff>
    </xdr:from>
    <xdr:to>
      <xdr:col>28</xdr:col>
      <xdr:colOff>530679</xdr:colOff>
      <xdr:row>169</xdr:row>
      <xdr:rowOff>127919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76073" y="31050139"/>
          <a:ext cx="4816928" cy="366713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28</xdr:col>
      <xdr:colOff>338941</xdr:colOff>
      <xdr:row>0</xdr:row>
      <xdr:rowOff>34636</xdr:rowOff>
    </xdr:from>
    <xdr:to>
      <xdr:col>30</xdr:col>
      <xdr:colOff>445554</xdr:colOff>
      <xdr:row>8</xdr:row>
      <xdr:rowOff>130652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43668" y="34636"/>
          <a:ext cx="1769159" cy="2087607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62684</xdr:colOff>
      <xdr:row>72</xdr:row>
      <xdr:rowOff>495825</xdr:rowOff>
    </xdr:from>
    <xdr:to>
      <xdr:col>28</xdr:col>
      <xdr:colOff>376820</xdr:colOff>
      <xdr:row>89</xdr:row>
      <xdr:rowOff>78043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26559" y="15295294"/>
          <a:ext cx="5076636" cy="3435080"/>
        </a:xfrm>
        <a:prstGeom prst="rect">
          <a:avLst/>
        </a:prstGeom>
      </xdr:spPr>
    </xdr:pic>
    <xdr:clientData/>
  </xdr:twoCellAnchor>
  <xdr:twoCellAnchor editAs="oneCell">
    <xdr:from>
      <xdr:col>25</xdr:col>
      <xdr:colOff>294808</xdr:colOff>
      <xdr:row>85</xdr:row>
      <xdr:rowOff>2998</xdr:rowOff>
    </xdr:from>
    <xdr:to>
      <xdr:col>30</xdr:col>
      <xdr:colOff>325043</xdr:colOff>
      <xdr:row>101</xdr:row>
      <xdr:rowOff>466043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85214" y="17588529"/>
          <a:ext cx="3959298" cy="3511045"/>
        </a:xfrm>
        <a:prstGeom prst="rect">
          <a:avLst/>
        </a:prstGeom>
      </xdr:spPr>
    </xdr:pic>
    <xdr:clientData/>
  </xdr:twoCellAnchor>
  <xdr:twoCellAnchor editAs="oneCell">
    <xdr:from>
      <xdr:col>21</xdr:col>
      <xdr:colOff>32999</xdr:colOff>
      <xdr:row>2</xdr:row>
      <xdr:rowOff>49943</xdr:rowOff>
    </xdr:from>
    <xdr:to>
      <xdr:col>28</xdr:col>
      <xdr:colOff>301636</xdr:colOff>
      <xdr:row>21</xdr:row>
      <xdr:rowOff>75148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23093" y="740506"/>
          <a:ext cx="5031137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25</xdr:row>
      <xdr:rowOff>395576</xdr:rowOff>
    </xdr:from>
    <xdr:to>
      <xdr:col>28</xdr:col>
      <xdr:colOff>314099</xdr:colOff>
      <xdr:row>44</xdr:row>
      <xdr:rowOff>44361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8779" y="5467639"/>
          <a:ext cx="5031695" cy="357784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45</xdr:row>
      <xdr:rowOff>233385</xdr:rowOff>
    </xdr:from>
    <xdr:to>
      <xdr:col>28</xdr:col>
      <xdr:colOff>322325</xdr:colOff>
      <xdr:row>62</xdr:row>
      <xdr:rowOff>171680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97644" y="9579791"/>
          <a:ext cx="5051056" cy="3533983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55</xdr:row>
      <xdr:rowOff>140319</xdr:rowOff>
    </xdr:from>
    <xdr:to>
      <xdr:col>30</xdr:col>
      <xdr:colOff>531910</xdr:colOff>
      <xdr:row>74</xdr:row>
      <xdr:rowOff>119738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47248" y="11701288"/>
          <a:ext cx="4177913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23812</xdr:colOff>
      <xdr:row>101</xdr:row>
      <xdr:rowOff>452436</xdr:rowOff>
    </xdr:from>
    <xdr:to>
      <xdr:col>30</xdr:col>
      <xdr:colOff>297656</xdr:colOff>
      <xdr:row>126</xdr:row>
      <xdr:rowOff>169984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013906" y="21085967"/>
          <a:ext cx="6703219" cy="4789611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128</xdr:row>
      <xdr:rowOff>566738</xdr:rowOff>
    </xdr:from>
    <xdr:to>
      <xdr:col>30</xdr:col>
      <xdr:colOff>297656</xdr:colOff>
      <xdr:row>154</xdr:row>
      <xdr:rowOff>48016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013907" y="26653332"/>
          <a:ext cx="6703218" cy="482004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0</xdr:colOff>
      <xdr:row>0</xdr:row>
      <xdr:rowOff>340178</xdr:rowOff>
    </xdr:from>
    <xdr:to>
      <xdr:col>32</xdr:col>
      <xdr:colOff>544515</xdr:colOff>
      <xdr:row>12</xdr:row>
      <xdr:rowOff>145527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7100" y="340178"/>
          <a:ext cx="1763716" cy="2088968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96608</xdr:colOff>
      <xdr:row>0</xdr:row>
      <xdr:rowOff>95251</xdr:rowOff>
    </xdr:from>
    <xdr:to>
      <xdr:col>28</xdr:col>
      <xdr:colOff>406753</xdr:colOff>
      <xdr:row>16</xdr:row>
      <xdr:rowOff>157688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2358" y="95251"/>
          <a:ext cx="4560677" cy="34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1019</xdr:colOff>
      <xdr:row>15</xdr:row>
      <xdr:rowOff>187098</xdr:rowOff>
    </xdr:from>
    <xdr:to>
      <xdr:col>32</xdr:col>
      <xdr:colOff>444418</xdr:colOff>
      <xdr:row>32</xdr:row>
      <xdr:rowOff>346827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62863" y="3508942"/>
          <a:ext cx="4086712" cy="3422041"/>
        </a:xfrm>
        <a:prstGeom prst="rect">
          <a:avLst/>
        </a:prstGeom>
      </xdr:spPr>
    </xdr:pic>
    <xdr:clientData/>
  </xdr:twoCellAnchor>
  <xdr:twoCellAnchor editAs="oneCell">
    <xdr:from>
      <xdr:col>21</xdr:col>
      <xdr:colOff>61568</xdr:colOff>
      <xdr:row>32</xdr:row>
      <xdr:rowOff>505847</xdr:rowOff>
    </xdr:from>
    <xdr:to>
      <xdr:col>28</xdr:col>
      <xdr:colOff>354936</xdr:colOff>
      <xdr:row>50</xdr:row>
      <xdr:rowOff>73664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87318" y="7090003"/>
          <a:ext cx="4543900" cy="3473067"/>
        </a:xfrm>
        <a:prstGeom prst="rect">
          <a:avLst/>
        </a:prstGeom>
      </xdr:spPr>
    </xdr:pic>
    <xdr:clientData/>
  </xdr:twoCellAnchor>
  <xdr:twoCellAnchor editAs="oneCell">
    <xdr:from>
      <xdr:col>21</xdr:col>
      <xdr:colOff>32654</xdr:colOff>
      <xdr:row>64</xdr:row>
      <xdr:rowOff>545647</xdr:rowOff>
    </xdr:from>
    <xdr:to>
      <xdr:col>28</xdr:col>
      <xdr:colOff>313128</xdr:colOff>
      <xdr:row>82</xdr:row>
      <xdr:rowOff>72643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58404" y="13713960"/>
          <a:ext cx="4531006" cy="3444153"/>
        </a:xfrm>
        <a:prstGeom prst="rect">
          <a:avLst/>
        </a:prstGeom>
      </xdr:spPr>
    </xdr:pic>
    <xdr:clientData/>
  </xdr:twoCellAnchor>
  <xdr:twoCellAnchor editAs="oneCell">
    <xdr:from>
      <xdr:col>26</xdr:col>
      <xdr:colOff>19047</xdr:colOff>
      <xdr:row>77</xdr:row>
      <xdr:rowOff>78922</xdr:rowOff>
    </xdr:from>
    <xdr:to>
      <xdr:col>33</xdr:col>
      <xdr:colOff>283195</xdr:colOff>
      <xdr:row>95</xdr:row>
      <xdr:rowOff>50871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80891" y="16199985"/>
          <a:ext cx="4514679" cy="3412856"/>
        </a:xfrm>
        <a:prstGeom prst="rect">
          <a:avLst/>
        </a:prstGeom>
      </xdr:spPr>
    </xdr:pic>
    <xdr:clientData/>
  </xdr:twoCellAnchor>
  <xdr:twoCellAnchor editAs="oneCell">
    <xdr:from>
      <xdr:col>21</xdr:col>
      <xdr:colOff>88783</xdr:colOff>
      <xdr:row>96</xdr:row>
      <xdr:rowOff>269692</xdr:rowOff>
    </xdr:from>
    <xdr:to>
      <xdr:col>28</xdr:col>
      <xdr:colOff>432263</xdr:colOff>
      <xdr:row>112</xdr:row>
      <xdr:rowOff>181498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14533" y="20022161"/>
          <a:ext cx="4594012" cy="3447962"/>
        </a:xfrm>
        <a:prstGeom prst="rect">
          <a:avLst/>
        </a:prstGeom>
      </xdr:spPr>
    </xdr:pic>
    <xdr:clientData/>
  </xdr:twoCellAnchor>
  <xdr:twoCellAnchor editAs="oneCell">
    <xdr:from>
      <xdr:col>26</xdr:col>
      <xdr:colOff>122802</xdr:colOff>
      <xdr:row>109</xdr:row>
      <xdr:rowOff>140153</xdr:rowOff>
    </xdr:from>
    <xdr:to>
      <xdr:col>33</xdr:col>
      <xdr:colOff>391206</xdr:colOff>
      <xdr:row>127</xdr:row>
      <xdr:rowOff>63117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4646" y="22857278"/>
          <a:ext cx="4518935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49663</xdr:colOff>
      <xdr:row>128</xdr:row>
      <xdr:rowOff>193222</xdr:rowOff>
    </xdr:from>
    <xdr:to>
      <xdr:col>28</xdr:col>
      <xdr:colOff>365853</xdr:colOff>
      <xdr:row>144</xdr:row>
      <xdr:rowOff>128433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75413" y="26529847"/>
          <a:ext cx="4566722" cy="3471367"/>
        </a:xfrm>
        <a:prstGeom prst="rect">
          <a:avLst/>
        </a:prstGeom>
      </xdr:spPr>
    </xdr:pic>
    <xdr:clientData/>
  </xdr:twoCellAnchor>
  <xdr:twoCellAnchor editAs="oneCell">
    <xdr:from>
      <xdr:col>26</xdr:col>
      <xdr:colOff>119399</xdr:colOff>
      <xdr:row>139</xdr:row>
      <xdr:rowOff>5330</xdr:rowOff>
    </xdr:from>
    <xdr:to>
      <xdr:col>33</xdr:col>
      <xdr:colOff>392906</xdr:colOff>
      <xdr:row>157</xdr:row>
      <xdr:rowOff>116869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1243" y="28925611"/>
          <a:ext cx="4524038" cy="3552445"/>
        </a:xfrm>
        <a:prstGeom prst="rect">
          <a:avLst/>
        </a:prstGeom>
      </xdr:spPr>
    </xdr:pic>
    <xdr:clientData/>
  </xdr:twoCellAnchor>
  <xdr:twoCellAnchor editAs="oneCell">
    <xdr:from>
      <xdr:col>21</xdr:col>
      <xdr:colOff>110895</xdr:colOff>
      <xdr:row>159</xdr:row>
      <xdr:rowOff>171113</xdr:rowOff>
    </xdr:from>
    <xdr:to>
      <xdr:col>29</xdr:col>
      <xdr:colOff>202992</xdr:colOff>
      <xdr:row>175</xdr:row>
      <xdr:rowOff>106322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36645" y="32913301"/>
          <a:ext cx="4949848" cy="3447553"/>
        </a:xfrm>
        <a:prstGeom prst="rect">
          <a:avLst/>
        </a:prstGeom>
      </xdr:spPr>
    </xdr:pic>
    <xdr:clientData/>
  </xdr:twoCellAnchor>
  <xdr:twoCellAnchor editAs="oneCell">
    <xdr:from>
      <xdr:col>26</xdr:col>
      <xdr:colOff>97289</xdr:colOff>
      <xdr:row>172</xdr:row>
      <xdr:rowOff>90830</xdr:rowOff>
    </xdr:from>
    <xdr:to>
      <xdr:col>33</xdr:col>
      <xdr:colOff>440961</xdr:colOff>
      <xdr:row>190</xdr:row>
      <xdr:rowOff>68563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59133" y="35773861"/>
          <a:ext cx="4594203" cy="3430546"/>
        </a:xfrm>
        <a:prstGeom prst="rect">
          <a:avLst/>
        </a:prstGeom>
      </xdr:spPr>
    </xdr:pic>
    <xdr:clientData/>
  </xdr:twoCellAnchor>
  <xdr:twoCellAnchor editAs="oneCell">
    <xdr:from>
      <xdr:col>21</xdr:col>
      <xdr:colOff>98988</xdr:colOff>
      <xdr:row>190</xdr:row>
      <xdr:rowOff>79262</xdr:rowOff>
    </xdr:from>
    <xdr:to>
      <xdr:col>29</xdr:col>
      <xdr:colOff>206859</xdr:colOff>
      <xdr:row>206</xdr:row>
      <xdr:rowOff>32162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4738" y="39215106"/>
          <a:ext cx="4965622" cy="3489056"/>
        </a:xfrm>
        <a:prstGeom prst="rect">
          <a:avLst/>
        </a:prstGeom>
      </xdr:spPr>
    </xdr:pic>
    <xdr:clientData/>
  </xdr:twoCellAnchor>
  <xdr:twoCellAnchor editAs="oneCell">
    <xdr:from>
      <xdr:col>26</xdr:col>
      <xdr:colOff>71775</xdr:colOff>
      <xdr:row>201</xdr:row>
      <xdr:rowOff>144052</xdr:rowOff>
    </xdr:from>
    <xdr:to>
      <xdr:col>33</xdr:col>
      <xdr:colOff>433182</xdr:colOff>
      <xdr:row>218</xdr:row>
      <xdr:rowOff>681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33619" y="41863552"/>
          <a:ext cx="4611938" cy="3482592"/>
        </a:xfrm>
        <a:prstGeom prst="rect">
          <a:avLst/>
        </a:prstGeom>
      </xdr:spPr>
    </xdr:pic>
    <xdr:clientData/>
  </xdr:twoCellAnchor>
  <xdr:twoCellAnchor editAs="oneCell">
    <xdr:from>
      <xdr:col>21</xdr:col>
      <xdr:colOff>145937</xdr:colOff>
      <xdr:row>217</xdr:row>
      <xdr:rowOff>596332</xdr:rowOff>
    </xdr:from>
    <xdr:to>
      <xdr:col>28</xdr:col>
      <xdr:colOff>272109</xdr:colOff>
      <xdr:row>239</xdr:row>
      <xdr:rowOff>46869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71687" y="45375738"/>
          <a:ext cx="4376704" cy="4117787"/>
        </a:xfrm>
        <a:prstGeom prst="rect">
          <a:avLst/>
        </a:prstGeom>
      </xdr:spPr>
    </xdr:pic>
    <xdr:clientData/>
  </xdr:twoCellAnchor>
  <xdr:twoCellAnchor editAs="oneCell">
    <xdr:from>
      <xdr:col>27</xdr:col>
      <xdr:colOff>251343</xdr:colOff>
      <xdr:row>231</xdr:row>
      <xdr:rowOff>62379</xdr:rowOff>
    </xdr:from>
    <xdr:to>
      <xdr:col>33</xdr:col>
      <xdr:colOff>595313</xdr:colOff>
      <xdr:row>252</xdr:row>
      <xdr:rowOff>120000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20406" y="47973129"/>
          <a:ext cx="3987282" cy="4070027"/>
        </a:xfrm>
        <a:prstGeom prst="rect">
          <a:avLst/>
        </a:prstGeom>
      </xdr:spPr>
    </xdr:pic>
    <xdr:clientData/>
  </xdr:twoCellAnchor>
  <xdr:oneCellAnchor>
    <xdr:from>
      <xdr:col>9</xdr:col>
      <xdr:colOff>27215</xdr:colOff>
      <xdr:row>196</xdr:row>
      <xdr:rowOff>153559</xdr:rowOff>
    </xdr:from>
    <xdr:ext cx="11114361" cy="2440476"/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 rot="939072">
          <a:off x="5102679" y="38444059"/>
          <a:ext cx="11114361" cy="2440476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pl-PL" sz="150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STIAHNUTÉ</a:t>
          </a:r>
        </a:p>
      </xdr:txBody>
    </xdr:sp>
    <xdr:clientData/>
  </xdr:oneCellAnchor>
  <xdr:twoCellAnchor editAs="oneCell">
    <xdr:from>
      <xdr:col>21</xdr:col>
      <xdr:colOff>25514</xdr:colOff>
      <xdr:row>252</xdr:row>
      <xdr:rowOff>193222</xdr:rowOff>
    </xdr:from>
    <xdr:to>
      <xdr:col>28</xdr:col>
      <xdr:colOff>329740</xdr:colOff>
      <xdr:row>270</xdr:row>
      <xdr:rowOff>139674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551264" y="52116378"/>
          <a:ext cx="4554758" cy="3839796"/>
        </a:xfrm>
        <a:prstGeom prst="rect">
          <a:avLst/>
        </a:prstGeom>
      </xdr:spPr>
    </xdr:pic>
    <xdr:clientData/>
  </xdr:twoCellAnchor>
  <xdr:twoCellAnchor editAs="oneCell">
    <xdr:from>
      <xdr:col>26</xdr:col>
      <xdr:colOff>415020</xdr:colOff>
      <xdr:row>264</xdr:row>
      <xdr:rowOff>27215</xdr:rowOff>
    </xdr:from>
    <xdr:to>
      <xdr:col>33</xdr:col>
      <xdr:colOff>333376</xdr:colOff>
      <xdr:row>282</xdr:row>
      <xdr:rowOff>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6864" y="54700715"/>
          <a:ext cx="4168887" cy="3401785"/>
        </a:xfrm>
        <a:prstGeom prst="rect">
          <a:avLst/>
        </a:prstGeom>
      </xdr:spPr>
    </xdr:pic>
    <xdr:clientData/>
  </xdr:twoCellAnchor>
  <xdr:twoCellAnchor editAs="oneCell">
    <xdr:from>
      <xdr:col>26</xdr:col>
      <xdr:colOff>214651</xdr:colOff>
      <xdr:row>44</xdr:row>
      <xdr:rowOff>10546</xdr:rowOff>
    </xdr:from>
    <xdr:to>
      <xdr:col>33</xdr:col>
      <xdr:colOff>35927</xdr:colOff>
      <xdr:row>61</xdr:row>
      <xdr:rowOff>159389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6495" y="9345046"/>
          <a:ext cx="4071807" cy="341115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526967</xdr:colOff>
      <xdr:row>0</xdr:row>
      <xdr:rowOff>17318</xdr:rowOff>
    </xdr:from>
    <xdr:to>
      <xdr:col>30</xdr:col>
      <xdr:colOff>477716</xdr:colOff>
      <xdr:row>9</xdr:row>
      <xdr:rowOff>86120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1785" y="17318"/>
          <a:ext cx="1769159" cy="2087607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122464</xdr:colOff>
      <xdr:row>1</xdr:row>
      <xdr:rowOff>12370</xdr:rowOff>
    </xdr:from>
    <xdr:to>
      <xdr:col>27</xdr:col>
      <xdr:colOff>457342</xdr:colOff>
      <xdr:row>22</xdr:row>
      <xdr:rowOff>331870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54893" y="665513"/>
          <a:ext cx="4008806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122465</xdr:colOff>
      <xdr:row>23</xdr:row>
      <xdr:rowOff>7422</xdr:rowOff>
    </xdr:from>
    <xdr:to>
      <xdr:col>29</xdr:col>
      <xdr:colOff>13470</xdr:colOff>
      <xdr:row>45</xdr:row>
      <xdr:rowOff>136422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54894" y="5314208"/>
          <a:ext cx="4789576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122464</xdr:colOff>
      <xdr:row>48</xdr:row>
      <xdr:rowOff>2474</xdr:rowOff>
    </xdr:from>
    <xdr:to>
      <xdr:col>30</xdr:col>
      <xdr:colOff>413456</xdr:colOff>
      <xdr:row>70</xdr:row>
      <xdr:rowOff>131474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54893" y="10534403"/>
          <a:ext cx="5801885" cy="4320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321469</xdr:colOff>
      <xdr:row>5</xdr:row>
      <xdr:rowOff>59532</xdr:rowOff>
    </xdr:from>
    <xdr:to>
      <xdr:col>7</xdr:col>
      <xdr:colOff>381000</xdr:colOff>
      <xdr:row>14</xdr:row>
      <xdr:rowOff>26908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4032" y="928688"/>
          <a:ext cx="1273968" cy="1503283"/>
        </a:xfrm>
        <a:prstGeom prst="rect">
          <a:avLst/>
        </a:prstGeom>
        <a:effectLst/>
      </xdr:spPr>
    </xdr:pic>
    <xdr:clientData/>
  </xdr:twoCellAnchor>
  <xdr:twoCellAnchor editAs="oneCell">
    <xdr:from>
      <xdr:col>2</xdr:col>
      <xdr:colOff>19050</xdr:colOff>
      <xdr:row>19</xdr:row>
      <xdr:rowOff>152401</xdr:rowOff>
    </xdr:from>
    <xdr:to>
      <xdr:col>9</xdr:col>
      <xdr:colOff>61322</xdr:colOff>
      <xdr:row>26</xdr:row>
      <xdr:rowOff>76201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333751"/>
          <a:ext cx="4833347" cy="10858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26</xdr:row>
      <xdr:rowOff>66675</xdr:rowOff>
    </xdr:from>
    <xdr:to>
      <xdr:col>8</xdr:col>
      <xdr:colOff>457200</xdr:colOff>
      <xdr:row>36</xdr:row>
      <xdr:rowOff>149338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410075"/>
          <a:ext cx="4619625" cy="175906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Pakiet Office 2007–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akiet Office 2007–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 2007–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S-V7N1.pdf" TargetMode="External"/><Relationship Id="rId13" Type="http://schemas.openxmlformats.org/officeDocument/2006/relationships/comments" Target="../comments1.xml"/><Relationship Id="rId3" Type="http://schemas.openxmlformats.org/officeDocument/2006/relationships/hyperlink" Target="https://www.baks.com.pl/wp-content/uploads/2015/08/DS-V3N1.pdf" TargetMode="External"/><Relationship Id="rId7" Type="http://schemas.openxmlformats.org/officeDocument/2006/relationships/hyperlink" Target="https://www.baks.com.pl/wp-content/uploads/2015/08/DS-V6cN1.pdf" TargetMode="External"/><Relationship Id="rId12" Type="http://schemas.openxmlformats.org/officeDocument/2006/relationships/vmlDrawing" Target="../drawings/vmlDrawing1.vml"/><Relationship Id="rId2" Type="http://schemas.openxmlformats.org/officeDocument/2006/relationships/hyperlink" Target="https://www.baks.com.pl/wp-content/uploads/2015/08/DS-V2N1.pdf" TargetMode="External"/><Relationship Id="rId1" Type="http://schemas.openxmlformats.org/officeDocument/2006/relationships/hyperlink" Target="https://www.baks.com.pl/wp-content/uploads/2015/08/DS-V1N1.pdf" TargetMode="External"/><Relationship Id="rId6" Type="http://schemas.openxmlformats.org/officeDocument/2006/relationships/hyperlink" Target="https://www.baks.com.pl/wp-content/uploads/2015/08/DS-V6aN1.pdf" TargetMode="External"/><Relationship Id="rId11" Type="http://schemas.openxmlformats.org/officeDocument/2006/relationships/drawing" Target="../drawings/drawing2.xml"/><Relationship Id="rId5" Type="http://schemas.openxmlformats.org/officeDocument/2006/relationships/hyperlink" Target="https://www.baks.com.pl/wp-content/uploads/2015/08/DS-V5N1.pdf" TargetMode="External"/><Relationship Id="rId10" Type="http://schemas.openxmlformats.org/officeDocument/2006/relationships/printerSettings" Target="../printerSettings/printerSettings3.bin"/><Relationship Id="rId4" Type="http://schemas.openxmlformats.org/officeDocument/2006/relationships/hyperlink" Target="https://www.baks.com.pl/wp-content/uploads/2015/08/DS-V4N1.pdf" TargetMode="External"/><Relationship Id="rId9" Type="http://schemas.openxmlformats.org/officeDocument/2006/relationships/hyperlink" Target="https://www.baks.com.pl/wp-content/uploads/2015/08/DS-V6bN1.pdf" TargetMode="External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KS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3" Type="http://schemas.openxmlformats.org/officeDocument/2006/relationships/hyperlink" Target="https://www.baks.com.pl/wp-content/uploads/2015/08/DP-DNHWE-EN.pdf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https://www.baks.com.pl/wp-content/uploads/2015/08/DP-DNHW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" Type="http://schemas.openxmlformats.org/officeDocument/2006/relationships/hyperlink" Target="https://www.baks.com.pl/wp-content/uploads/2015/08/DP-DNHKE-EN.pdf" TargetMode="External"/><Relationship Id="rId16" Type="http://schemas.openxmlformats.org/officeDocument/2006/relationships/hyperlink" Target="https://www.baks.com.pl/wp-content/uploads/2015/08/DP-DTHKSN1.pdf" TargetMode="External"/><Relationship Id="rId20" Type="http://schemas.openxmlformats.org/officeDocument/2006/relationships/hyperlink" Target="https://www.baks.com.pl/wp-content/uploads/2015/08/DP-DTHKSN-WZ1.pdf" TargetMode="External"/><Relationship Id="rId1" Type="http://schemas.openxmlformats.org/officeDocument/2006/relationships/hyperlink" Target="https://www.baks.com.pl/wp-content/uploads/2015/08/DP-DNHBE-EN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comments" Target="../comments2.xm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WN1.pdf" TargetMode="External"/><Relationship Id="rId23" Type="http://schemas.openxmlformats.org/officeDocument/2006/relationships/vmlDrawing" Target="../drawings/vmlDrawing2.vm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WN-WZ1.pdf" TargetMode="External"/><Relationship Id="rId4" Type="http://schemas.openxmlformats.org/officeDocument/2006/relationships/hyperlink" Target="https://www.baks.com.pl/wp-content/uploads/2015/08/DP-DNHKSE-EN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G2-EN.pdf" TargetMode="External"/><Relationship Id="rId18" Type="http://schemas.openxmlformats.org/officeDocument/2006/relationships/hyperlink" Target="https://www.baks.com.pl/wp-content/uploads/2015/08/Instrukcja-W-V3B2-EN.pdf" TargetMode="External"/><Relationship Id="rId26" Type="http://schemas.openxmlformats.org/officeDocument/2006/relationships/hyperlink" Target="https://www.baks.com.pl/wp-content/uploads/2015/08/Instrukcja-W-H4B2-BI-EN.pdf" TargetMode="External"/><Relationship Id="rId3" Type="http://schemas.openxmlformats.org/officeDocument/2006/relationships/hyperlink" Target="https://www.baks.com.pl/wp-content/uploads/2015/08/Instrukcja-W-H4K2-EN.pdf" TargetMode="External"/><Relationship Id="rId21" Type="http://schemas.openxmlformats.org/officeDocument/2006/relationships/hyperlink" Target="https://www.baks.com.pl/wp-content/uploads/2015/08/Instrukcja-W-V2G1-EN.pdf" TargetMode="External"/><Relationship Id="rId34" Type="http://schemas.openxmlformats.org/officeDocument/2006/relationships/drawing" Target="../drawings/drawing4.xml"/><Relationship Id="rId7" Type="http://schemas.openxmlformats.org/officeDocument/2006/relationships/hyperlink" Target="https://www.baks.com.pl/wp-content/uploads/2015/08/Instrukcja-W-H5K2-EN.pdf" TargetMode="External"/><Relationship Id="rId12" Type="http://schemas.openxmlformats.org/officeDocument/2006/relationships/hyperlink" Target="https://www.baks.com.pl/wp-content/uploads/2015/08/Instrukcja-W-H6S2-EN.pdf" TargetMode="External"/><Relationship Id="rId17" Type="http://schemas.openxmlformats.org/officeDocument/2006/relationships/hyperlink" Target="https://www.baks.com.pl/wp-content/uploads/2015/08/Instrukcja-W-V3G2-EN.pdf" TargetMode="External"/><Relationship Id="rId25" Type="http://schemas.openxmlformats.org/officeDocument/2006/relationships/hyperlink" Target="https://www.baks.com.pl/wp-content/uploads/2015/08/Instrukcja-W-H4G2-BI-EN.pdf" TargetMode="External"/><Relationship Id="rId33" Type="http://schemas.openxmlformats.org/officeDocument/2006/relationships/printerSettings" Target="../printerSettings/printerSettings5.bin"/><Relationship Id="rId2" Type="http://schemas.openxmlformats.org/officeDocument/2006/relationships/hyperlink" Target="https://www.baks.com.pl/wp-content/uploads/2015/08/Instrukcja-W-H4B2-EN.pdf" TargetMode="External"/><Relationship Id="rId16" Type="http://schemas.openxmlformats.org/officeDocument/2006/relationships/hyperlink" Target="https://www.baks.com.pl/wp-content/uploads/2015/08/Instrukcja-W-V2S2-EN.pdf" TargetMode="External"/><Relationship Id="rId20" Type="http://schemas.openxmlformats.org/officeDocument/2006/relationships/hyperlink" Target="https://www.baks.com.pl/wp-content/uploads/2015/08/Instrukcja-W-V3S2-EN.pdf" TargetMode="External"/><Relationship Id="rId29" Type="http://schemas.openxmlformats.org/officeDocument/2006/relationships/hyperlink" Target="https://www.baks.com.pl/wp-content/uploads/2015/08/W-V2G2-BI-EN.pdf" TargetMode="External"/><Relationship Id="rId1" Type="http://schemas.openxmlformats.org/officeDocument/2006/relationships/hyperlink" Target="https://www.baks.com.pl/wp-content/uploads/2015/08/Instrukcja-W-H4G2-EN.pdf" TargetMode="External"/><Relationship Id="rId6" Type="http://schemas.openxmlformats.org/officeDocument/2006/relationships/hyperlink" Target="https://www.baks.com.pl/wp-content/uploads/2015/08/Instrukcja-W-H5B2-EN.pdf" TargetMode="External"/><Relationship Id="rId11" Type="http://schemas.openxmlformats.org/officeDocument/2006/relationships/hyperlink" Target="https://www.baks.com.pl/wp-content/uploads/2015/08/Instrukcja-W-H6K2-EN.pdf" TargetMode="External"/><Relationship Id="rId24" Type="http://schemas.openxmlformats.org/officeDocument/2006/relationships/hyperlink" Target="https://www.baks.com.pl/wp-content/uploads/2015/08/Instrukcja-W-V2S1-EN.pdf" TargetMode="External"/><Relationship Id="rId32" Type="http://schemas.openxmlformats.org/officeDocument/2006/relationships/hyperlink" Target="https://www.baks.com.pl/wp-content/uploads/2015/08/W-V2S2-BI-EN.pdf" TargetMode="External"/><Relationship Id="rId5" Type="http://schemas.openxmlformats.org/officeDocument/2006/relationships/hyperlink" Target="https://www.baks.com.pl/wp-content/uploads/2015/08/Instrukcja-W-H5G2-EN.pdf" TargetMode="External"/><Relationship Id="rId15" Type="http://schemas.openxmlformats.org/officeDocument/2006/relationships/hyperlink" Target="https://www.baks.com.pl/wp-content/uploads/2015/08/Instrukcja-W-V2K2-EN.pdf" TargetMode="External"/><Relationship Id="rId23" Type="http://schemas.openxmlformats.org/officeDocument/2006/relationships/hyperlink" Target="https://www.baks.com.pl/wp-content/uploads/2015/08/Instrukcja-W-V2K1-EN.pdf" TargetMode="External"/><Relationship Id="rId28" Type="http://schemas.openxmlformats.org/officeDocument/2006/relationships/hyperlink" Target="https://www.baks.com.pl/wp-content/uploads/2015/08/Instrukcja-W-H4S2-BI-EN.pdf" TargetMode="External"/><Relationship Id="rId36" Type="http://schemas.openxmlformats.org/officeDocument/2006/relationships/comments" Target="../comments3.xml"/><Relationship Id="rId10" Type="http://schemas.openxmlformats.org/officeDocument/2006/relationships/hyperlink" Target="https://www.baks.com.pl/wp-content/uploads/2015/08/Instrukcja-W-H6B2-EN.pdf" TargetMode="External"/><Relationship Id="rId19" Type="http://schemas.openxmlformats.org/officeDocument/2006/relationships/hyperlink" Target="https://www.baks.com.pl/wp-content/uploads/2015/08/Instrukcja-W-V3K2-EN.pdf" TargetMode="External"/><Relationship Id="rId31" Type="http://schemas.openxmlformats.org/officeDocument/2006/relationships/hyperlink" Target="https://www.baks.com.pl/wp-content/uploads/2015/08/W-V2K2-BI-EN.pdf" TargetMode="External"/><Relationship Id="rId4" Type="http://schemas.openxmlformats.org/officeDocument/2006/relationships/hyperlink" Target="https://www.baks.com.pl/wp-content/uploads/2015/08/Instrukcja-W-H4S2-EN.pdf" TargetMode="External"/><Relationship Id="rId9" Type="http://schemas.openxmlformats.org/officeDocument/2006/relationships/hyperlink" Target="https://www.baks.com.pl/wp-content/uploads/2015/08/Instrukcja-W-H6G2-EN.pdf" TargetMode="External"/><Relationship Id="rId14" Type="http://schemas.openxmlformats.org/officeDocument/2006/relationships/hyperlink" Target="https://www.baks.com.pl/wp-content/uploads/2015/08/Instrukcja-W-V2B2-EN.pdf" TargetMode="External"/><Relationship Id="rId22" Type="http://schemas.openxmlformats.org/officeDocument/2006/relationships/hyperlink" Target="https://www.baks.com.pl/wp-content/uploads/2015/08/Instrukcja-W-V2B1-EN.pdf" TargetMode="External"/><Relationship Id="rId27" Type="http://schemas.openxmlformats.org/officeDocument/2006/relationships/hyperlink" Target="https://www.baks.com.pl/wp-content/uploads/2015/08/Instrukcja-W-H4K2-BI-EN.pdf" TargetMode="External"/><Relationship Id="rId30" Type="http://schemas.openxmlformats.org/officeDocument/2006/relationships/hyperlink" Target="https://www.baks.com.pl/wp-content/uploads/2015/08/W-V2B2-BI-EN.pdf" TargetMode="External"/><Relationship Id="rId35" Type="http://schemas.openxmlformats.org/officeDocument/2006/relationships/vmlDrawing" Target="../drawings/vmlDrawing3.vml"/><Relationship Id="rId8" Type="http://schemas.openxmlformats.org/officeDocument/2006/relationships/hyperlink" Target="https://www.baks.com.pl/wp-content/uploads/2015/08/Instrukcja-W-H5S2-EN.pdf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hyperlink" Target="https://www.baks.com.pl/wp-content/uploads/2015/08/E-VKTN-EN.pdf" TargetMode="External"/><Relationship Id="rId1" Type="http://schemas.openxmlformats.org/officeDocument/2006/relationships/hyperlink" Target="https://www.baks.com.pl/wp-content/uploads/2015/08/E-VKRN-EN.pdf" TargetMode="External"/><Relationship Id="rId6" Type="http://schemas.openxmlformats.org/officeDocument/2006/relationships/comments" Target="../comments4.xml"/><Relationship Id="rId5" Type="http://schemas.openxmlformats.org/officeDocument/2006/relationships/vmlDrawing" Target="../drawings/vmlDrawing4.vml"/><Relationship Id="rId4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V419"/>
  <sheetViews>
    <sheetView showGridLines="0" tabSelected="1" zoomScaleNormal="100" workbookViewId="0"/>
  </sheetViews>
  <sheetFormatPr defaultColWidth="0" defaultRowHeight="15" customHeight="1" zeroHeight="1" x14ac:dyDescent="0.25"/>
  <cols>
    <col min="1" max="16" width="9.140625" style="1" customWidth="1"/>
    <col min="17" max="22" width="9.140625" style="1" hidden="1" customWidth="1"/>
    <col min="23" max="16384" width="0" style="1" hidden="1"/>
  </cols>
  <sheetData>
    <row r="1" x14ac:dyDescent="0.25"/>
    <row r="2" x14ac:dyDescent="0.25"/>
    <row r="3" x14ac:dyDescent="0.25"/>
    <row r="4" x14ac:dyDescent="0.25"/>
    <row r="5" x14ac:dyDescent="0.25"/>
    <row r="6" x14ac:dyDescent="0.25"/>
    <row r="7" x14ac:dyDescent="0.25"/>
    <row r="8" x14ac:dyDescent="0.25"/>
    <row r="9" x14ac:dyDescent="0.25"/>
    <row r="10" x14ac:dyDescent="0.25"/>
    <row r="11" x14ac:dyDescent="0.25"/>
    <row r="12" x14ac:dyDescent="0.25"/>
    <row r="13" x14ac:dyDescent="0.25"/>
    <row r="14" x14ac:dyDescent="0.25"/>
    <row r="15" x14ac:dyDescent="0.25"/>
    <row r="16" x14ac:dyDescent="0.25"/>
    <row r="17" x14ac:dyDescent="0.25"/>
    <row r="18" x14ac:dyDescent="0.25"/>
    <row r="19" x14ac:dyDescent="0.25"/>
    <row r="20" x14ac:dyDescent="0.25"/>
    <row r="21" x14ac:dyDescent="0.25"/>
    <row r="22" x14ac:dyDescent="0.25"/>
    <row r="23" x14ac:dyDescent="0.25"/>
    <row r="24" x14ac:dyDescent="0.25"/>
    <row r="25" x14ac:dyDescent="0.25"/>
    <row r="26" x14ac:dyDescent="0.25"/>
    <row r="27" x14ac:dyDescent="0.25"/>
    <row r="28" x14ac:dyDescent="0.25"/>
    <row r="29" x14ac:dyDescent="0.25"/>
    <row r="30" x14ac:dyDescent="0.25"/>
    <row r="31" x14ac:dyDescent="0.25"/>
    <row r="32" x14ac:dyDescent="0.25"/>
    <row r="33" x14ac:dyDescent="0.25"/>
    <row r="34" x14ac:dyDescent="0.25"/>
    <row r="35" x14ac:dyDescent="0.25"/>
    <row r="36" x14ac:dyDescent="0.25"/>
    <row r="37" x14ac:dyDescent="0.25"/>
    <row r="38" x14ac:dyDescent="0.25"/>
    <row r="39" x14ac:dyDescent="0.25"/>
    <row r="40" x14ac:dyDescent="0.25"/>
    <row r="41" x14ac:dyDescent="0.25"/>
    <row r="42" x14ac:dyDescent="0.25"/>
    <row r="43" x14ac:dyDescent="0.25"/>
    <row r="44" x14ac:dyDescent="0.25"/>
    <row r="45" x14ac:dyDescent="0.25"/>
    <row r="46" x14ac:dyDescent="0.25"/>
    <row r="47" x14ac:dyDescent="0.25"/>
    <row r="48" x14ac:dyDescent="0.25"/>
    <row r="49" x14ac:dyDescent="0.25"/>
    <row r="50" x14ac:dyDescent="0.25"/>
    <row r="51" x14ac:dyDescent="0.25"/>
    <row r="52" x14ac:dyDescent="0.25"/>
    <row r="53" x14ac:dyDescent="0.25"/>
    <row r="54" x14ac:dyDescent="0.25"/>
    <row r="55" x14ac:dyDescent="0.25"/>
    <row r="56" x14ac:dyDescent="0.25"/>
    <row r="57" x14ac:dyDescent="0.25"/>
    <row r="58" x14ac:dyDescent="0.25"/>
    <row r="59" x14ac:dyDescent="0.25"/>
    <row r="60" x14ac:dyDescent="0.25"/>
    <row r="61" x14ac:dyDescent="0.25"/>
    <row r="62" x14ac:dyDescent="0.25"/>
    <row r="63" x14ac:dyDescent="0.25"/>
    <row r="64" x14ac:dyDescent="0.25"/>
    <row r="65" x14ac:dyDescent="0.25"/>
    <row r="66" x14ac:dyDescent="0.25"/>
    <row r="67" x14ac:dyDescent="0.25"/>
    <row r="68" x14ac:dyDescent="0.25"/>
    <row r="69" x14ac:dyDescent="0.25"/>
    <row r="70" x14ac:dyDescent="0.25"/>
    <row r="71" x14ac:dyDescent="0.25"/>
    <row r="72" x14ac:dyDescent="0.25"/>
    <row r="73" x14ac:dyDescent="0.25"/>
    <row r="74" x14ac:dyDescent="0.25"/>
    <row r="75" x14ac:dyDescent="0.25"/>
    <row r="76" x14ac:dyDescent="0.25"/>
    <row r="77" x14ac:dyDescent="0.25"/>
    <row r="78" x14ac:dyDescent="0.25"/>
    <row r="79" x14ac:dyDescent="0.25"/>
    <row r="80" x14ac:dyDescent="0.25"/>
    <row r="81" x14ac:dyDescent="0.25"/>
    <row r="82" x14ac:dyDescent="0.25"/>
    <row r="83" x14ac:dyDescent="0.25"/>
    <row r="84" x14ac:dyDescent="0.25"/>
    <row r="85" x14ac:dyDescent="0.25"/>
    <row r="86" x14ac:dyDescent="0.25"/>
    <row r="87" x14ac:dyDescent="0.25"/>
    <row r="88" x14ac:dyDescent="0.25"/>
    <row r="89" x14ac:dyDescent="0.25"/>
    <row r="90" x14ac:dyDescent="0.25"/>
    <row r="91" x14ac:dyDescent="0.25"/>
    <row r="92" x14ac:dyDescent="0.25"/>
    <row r="93" x14ac:dyDescent="0.25"/>
    <row r="94" x14ac:dyDescent="0.25"/>
    <row r="95" x14ac:dyDescent="0.25"/>
    <row r="96" x14ac:dyDescent="0.25"/>
    <row r="97" spans="2:2" x14ac:dyDescent="0.25"/>
    <row r="98" spans="2:2" x14ac:dyDescent="0.25"/>
    <row r="99" spans="2:2" x14ac:dyDescent="0.25"/>
    <row r="100" spans="2:2" x14ac:dyDescent="0.25"/>
    <row r="101" spans="2:2" x14ac:dyDescent="0.25"/>
    <row r="102" spans="2:2" x14ac:dyDescent="0.25"/>
    <row r="103" spans="2:2" x14ac:dyDescent="0.25"/>
    <row r="104" spans="2:2" x14ac:dyDescent="0.25"/>
    <row r="105" spans="2:2" x14ac:dyDescent="0.25"/>
    <row r="106" spans="2:2" x14ac:dyDescent="0.25"/>
    <row r="107" spans="2:2" x14ac:dyDescent="0.25"/>
    <row r="108" spans="2:2" x14ac:dyDescent="0.25">
      <c r="B108" s="139"/>
    </row>
    <row r="109" spans="2:2" x14ac:dyDescent="0.25"/>
    <row r="110" spans="2:2" x14ac:dyDescent="0.25"/>
    <row r="111" spans="2:2" x14ac:dyDescent="0.25"/>
    <row r="112" spans="2:2" x14ac:dyDescent="0.25"/>
    <row r="113" x14ac:dyDescent="0.25"/>
    <row r="114" x14ac:dyDescent="0.25"/>
    <row r="115" x14ac:dyDescent="0.25"/>
    <row r="116" x14ac:dyDescent="0.25"/>
    <row r="117" x14ac:dyDescent="0.25"/>
    <row r="118" x14ac:dyDescent="0.25"/>
    <row r="119" x14ac:dyDescent="0.25"/>
    <row r="120" x14ac:dyDescent="0.25"/>
    <row r="121" x14ac:dyDescent="0.25"/>
    <row r="122" x14ac:dyDescent="0.25"/>
    <row r="123" x14ac:dyDescent="0.25"/>
    <row r="124" x14ac:dyDescent="0.25"/>
    <row r="125" x14ac:dyDescent="0.25"/>
    <row r="126" x14ac:dyDescent="0.25"/>
    <row r="127" x14ac:dyDescent="0.25"/>
    <row r="128" x14ac:dyDescent="0.25"/>
    <row r="129" x14ac:dyDescent="0.25"/>
    <row r="130" x14ac:dyDescent="0.25"/>
    <row r="131" x14ac:dyDescent="0.25"/>
    <row r="132" x14ac:dyDescent="0.25"/>
    <row r="133" x14ac:dyDescent="0.25"/>
    <row r="134" x14ac:dyDescent="0.25"/>
    <row r="135" x14ac:dyDescent="0.25"/>
    <row r="136" x14ac:dyDescent="0.25"/>
    <row r="137" x14ac:dyDescent="0.25"/>
    <row r="138" x14ac:dyDescent="0.25"/>
    <row r="139" x14ac:dyDescent="0.25"/>
    <row r="140" x14ac:dyDescent="0.25"/>
    <row r="141" x14ac:dyDescent="0.25"/>
    <row r="142" x14ac:dyDescent="0.25"/>
    <row r="143" x14ac:dyDescent="0.25"/>
    <row r="144" x14ac:dyDescent="0.25"/>
    <row r="145" x14ac:dyDescent="0.25"/>
    <row r="146" x14ac:dyDescent="0.25"/>
    <row r="147" x14ac:dyDescent="0.25"/>
    <row r="148" x14ac:dyDescent="0.25"/>
    <row r="149" x14ac:dyDescent="0.25"/>
    <row r="150" x14ac:dyDescent="0.25"/>
    <row r="151" x14ac:dyDescent="0.25"/>
    <row r="152" x14ac:dyDescent="0.25"/>
    <row r="153" x14ac:dyDescent="0.25"/>
    <row r="154" x14ac:dyDescent="0.25"/>
    <row r="155" x14ac:dyDescent="0.25"/>
    <row r="156" x14ac:dyDescent="0.25"/>
    <row r="157" x14ac:dyDescent="0.25"/>
    <row r="158" x14ac:dyDescent="0.25"/>
    <row r="159" x14ac:dyDescent="0.25"/>
    <row r="160" x14ac:dyDescent="0.25"/>
    <row r="161" x14ac:dyDescent="0.25"/>
    <row r="162" x14ac:dyDescent="0.25"/>
    <row r="163" x14ac:dyDescent="0.25"/>
    <row r="164" x14ac:dyDescent="0.25"/>
    <row r="165" x14ac:dyDescent="0.25"/>
    <row r="166" x14ac:dyDescent="0.25"/>
    <row r="167" x14ac:dyDescent="0.25"/>
    <row r="168" x14ac:dyDescent="0.25"/>
    <row r="169" x14ac:dyDescent="0.25"/>
    <row r="170" x14ac:dyDescent="0.25"/>
    <row r="171" x14ac:dyDescent="0.25"/>
    <row r="172" x14ac:dyDescent="0.25"/>
    <row r="173" x14ac:dyDescent="0.25"/>
    <row r="174" x14ac:dyDescent="0.25"/>
    <row r="175" x14ac:dyDescent="0.25"/>
    <row r="176" x14ac:dyDescent="0.25"/>
    <row r="177" x14ac:dyDescent="0.25"/>
    <row r="178" x14ac:dyDescent="0.25"/>
    <row r="179" x14ac:dyDescent="0.25"/>
    <row r="180" x14ac:dyDescent="0.25"/>
    <row r="181" x14ac:dyDescent="0.25"/>
    <row r="182" x14ac:dyDescent="0.25"/>
    <row r="183" x14ac:dyDescent="0.25"/>
    <row r="184" x14ac:dyDescent="0.25"/>
    <row r="185" x14ac:dyDescent="0.25"/>
    <row r="186" x14ac:dyDescent="0.25"/>
    <row r="187" x14ac:dyDescent="0.25"/>
    <row r="188" x14ac:dyDescent="0.25"/>
    <row r="189" x14ac:dyDescent="0.25"/>
    <row r="190" x14ac:dyDescent="0.25"/>
    <row r="191" x14ac:dyDescent="0.25"/>
    <row r="192" x14ac:dyDescent="0.25"/>
    <row r="193" x14ac:dyDescent="0.25"/>
    <row r="194" x14ac:dyDescent="0.25"/>
    <row r="195" x14ac:dyDescent="0.25"/>
    <row r="196" x14ac:dyDescent="0.25"/>
    <row r="197" x14ac:dyDescent="0.25"/>
    <row r="198" x14ac:dyDescent="0.25"/>
    <row r="199" x14ac:dyDescent="0.25"/>
    <row r="200" x14ac:dyDescent="0.25"/>
    <row r="201" x14ac:dyDescent="0.25"/>
    <row r="202" x14ac:dyDescent="0.25"/>
    <row r="203" x14ac:dyDescent="0.25"/>
    <row r="204" x14ac:dyDescent="0.25"/>
    <row r="205" x14ac:dyDescent="0.25"/>
    <row r="206" x14ac:dyDescent="0.25"/>
    <row r="207" x14ac:dyDescent="0.25"/>
    <row r="208" x14ac:dyDescent="0.25"/>
    <row r="209" x14ac:dyDescent="0.25"/>
    <row r="210" x14ac:dyDescent="0.25"/>
    <row r="211" x14ac:dyDescent="0.25"/>
    <row r="212" x14ac:dyDescent="0.25"/>
    <row r="213" x14ac:dyDescent="0.25"/>
    <row r="214" x14ac:dyDescent="0.25"/>
    <row r="215" x14ac:dyDescent="0.25"/>
    <row r="216" x14ac:dyDescent="0.25"/>
    <row r="217" x14ac:dyDescent="0.25"/>
    <row r="218" x14ac:dyDescent="0.25"/>
    <row r="219" x14ac:dyDescent="0.25"/>
    <row r="220" x14ac:dyDescent="0.25"/>
    <row r="221" x14ac:dyDescent="0.25"/>
    <row r="222" x14ac:dyDescent="0.25"/>
    <row r="223" x14ac:dyDescent="0.25"/>
    <row r="224" x14ac:dyDescent="0.25"/>
    <row r="225" x14ac:dyDescent="0.25"/>
    <row r="226" x14ac:dyDescent="0.25"/>
    <row r="227" x14ac:dyDescent="0.25"/>
    <row r="228" x14ac:dyDescent="0.25"/>
    <row r="229" x14ac:dyDescent="0.25"/>
    <row r="230" x14ac:dyDescent="0.25"/>
    <row r="231" x14ac:dyDescent="0.25"/>
    <row r="232" x14ac:dyDescent="0.25"/>
    <row r="233" x14ac:dyDescent="0.25"/>
    <row r="234" x14ac:dyDescent="0.25"/>
    <row r="235" x14ac:dyDescent="0.25"/>
    <row r="236" x14ac:dyDescent="0.25"/>
    <row r="237" x14ac:dyDescent="0.25"/>
    <row r="238" x14ac:dyDescent="0.25"/>
    <row r="239" x14ac:dyDescent="0.25"/>
    <row r="240" x14ac:dyDescent="0.25"/>
    <row r="241" x14ac:dyDescent="0.25"/>
    <row r="242" x14ac:dyDescent="0.25"/>
    <row r="243" x14ac:dyDescent="0.25"/>
    <row r="244" x14ac:dyDescent="0.25"/>
    <row r="245" x14ac:dyDescent="0.25"/>
    <row r="246" x14ac:dyDescent="0.25"/>
    <row r="247" x14ac:dyDescent="0.25"/>
    <row r="248" x14ac:dyDescent="0.25"/>
    <row r="249" x14ac:dyDescent="0.25"/>
    <row r="250" x14ac:dyDescent="0.25"/>
    <row r="251" x14ac:dyDescent="0.25"/>
    <row r="252" x14ac:dyDescent="0.25"/>
    <row r="253" x14ac:dyDescent="0.25"/>
    <row r="254" x14ac:dyDescent="0.25"/>
    <row r="255" x14ac:dyDescent="0.25"/>
    <row r="256" x14ac:dyDescent="0.25"/>
    <row r="257" x14ac:dyDescent="0.25"/>
    <row r="258" x14ac:dyDescent="0.25"/>
    <row r="259" x14ac:dyDescent="0.25"/>
    <row r="260" x14ac:dyDescent="0.25"/>
    <row r="261" x14ac:dyDescent="0.25"/>
    <row r="262" x14ac:dyDescent="0.25"/>
    <row r="263" x14ac:dyDescent="0.25"/>
    <row r="264" x14ac:dyDescent="0.25"/>
    <row r="265" x14ac:dyDescent="0.25"/>
    <row r="266" x14ac:dyDescent="0.25"/>
    <row r="267" x14ac:dyDescent="0.25"/>
    <row r="268" x14ac:dyDescent="0.25"/>
    <row r="269" x14ac:dyDescent="0.25"/>
    <row r="270" x14ac:dyDescent="0.25"/>
    <row r="271" x14ac:dyDescent="0.25"/>
    <row r="272" x14ac:dyDescent="0.25"/>
    <row r="273" x14ac:dyDescent="0.25"/>
    <row r="274" x14ac:dyDescent="0.25"/>
    <row r="275" x14ac:dyDescent="0.25"/>
    <row r="276" x14ac:dyDescent="0.25"/>
    <row r="277" x14ac:dyDescent="0.25"/>
    <row r="278" x14ac:dyDescent="0.25"/>
    <row r="279" x14ac:dyDescent="0.25"/>
    <row r="280" x14ac:dyDescent="0.25"/>
    <row r="281" x14ac:dyDescent="0.25"/>
    <row r="282" x14ac:dyDescent="0.25"/>
    <row r="283" x14ac:dyDescent="0.25"/>
    <row r="284" x14ac:dyDescent="0.25"/>
    <row r="285" x14ac:dyDescent="0.25"/>
    <row r="286" x14ac:dyDescent="0.25"/>
    <row r="287" x14ac:dyDescent="0.25"/>
    <row r="288" x14ac:dyDescent="0.25"/>
    <row r="289" x14ac:dyDescent="0.25"/>
    <row r="290" x14ac:dyDescent="0.25"/>
    <row r="291" x14ac:dyDescent="0.25"/>
    <row r="292" x14ac:dyDescent="0.25"/>
    <row r="293" x14ac:dyDescent="0.25"/>
    <row r="294" x14ac:dyDescent="0.25"/>
    <row r="295" x14ac:dyDescent="0.25"/>
    <row r="296" x14ac:dyDescent="0.25"/>
    <row r="297" x14ac:dyDescent="0.25"/>
    <row r="298" x14ac:dyDescent="0.25"/>
    <row r="299" x14ac:dyDescent="0.25"/>
    <row r="300" x14ac:dyDescent="0.25"/>
    <row r="301" x14ac:dyDescent="0.25"/>
    <row r="302" x14ac:dyDescent="0.25"/>
    <row r="303" x14ac:dyDescent="0.25"/>
    <row r="304" x14ac:dyDescent="0.25"/>
    <row r="305" x14ac:dyDescent="0.25"/>
    <row r="306" x14ac:dyDescent="0.25"/>
    <row r="307" x14ac:dyDescent="0.25"/>
    <row r="308" x14ac:dyDescent="0.25"/>
    <row r="309" x14ac:dyDescent="0.25"/>
    <row r="310" x14ac:dyDescent="0.25"/>
    <row r="311" x14ac:dyDescent="0.25"/>
    <row r="312" x14ac:dyDescent="0.25"/>
    <row r="313" x14ac:dyDescent="0.25"/>
    <row r="314" x14ac:dyDescent="0.25"/>
    <row r="315" x14ac:dyDescent="0.25"/>
    <row r="316" x14ac:dyDescent="0.25"/>
    <row r="317" x14ac:dyDescent="0.25"/>
    <row r="318" x14ac:dyDescent="0.25"/>
    <row r="319" x14ac:dyDescent="0.25"/>
    <row r="320" x14ac:dyDescent="0.25"/>
    <row r="321" x14ac:dyDescent="0.25"/>
    <row r="322" x14ac:dyDescent="0.25"/>
    <row r="323" x14ac:dyDescent="0.25"/>
    <row r="324" x14ac:dyDescent="0.25"/>
    <row r="325" x14ac:dyDescent="0.25"/>
    <row r="326" x14ac:dyDescent="0.25"/>
    <row r="327" x14ac:dyDescent="0.25"/>
    <row r="328" x14ac:dyDescent="0.25"/>
    <row r="329" x14ac:dyDescent="0.25"/>
    <row r="330" x14ac:dyDescent="0.25"/>
    <row r="331" x14ac:dyDescent="0.25"/>
    <row r="332" x14ac:dyDescent="0.25"/>
    <row r="333" x14ac:dyDescent="0.25"/>
    <row r="334" x14ac:dyDescent="0.25"/>
    <row r="335" x14ac:dyDescent="0.25"/>
    <row r="336" x14ac:dyDescent="0.25"/>
    <row r="337" x14ac:dyDescent="0.25"/>
    <row r="338" x14ac:dyDescent="0.25"/>
    <row r="339" x14ac:dyDescent="0.25"/>
    <row r="340" x14ac:dyDescent="0.25"/>
    <row r="341" x14ac:dyDescent="0.25"/>
    <row r="342" x14ac:dyDescent="0.25"/>
    <row r="343" x14ac:dyDescent="0.25"/>
    <row r="344" x14ac:dyDescent="0.25"/>
    <row r="345" x14ac:dyDescent="0.25"/>
    <row r="346" x14ac:dyDescent="0.25"/>
    <row r="347" x14ac:dyDescent="0.25"/>
    <row r="348" x14ac:dyDescent="0.25"/>
    <row r="349" x14ac:dyDescent="0.25"/>
    <row r="350" x14ac:dyDescent="0.25"/>
    <row r="351" x14ac:dyDescent="0.25"/>
    <row r="352" x14ac:dyDescent="0.25"/>
    <row r="353" x14ac:dyDescent="0.25"/>
    <row r="354" x14ac:dyDescent="0.25"/>
    <row r="355" x14ac:dyDescent="0.25"/>
    <row r="356" x14ac:dyDescent="0.25"/>
    <row r="357" x14ac:dyDescent="0.25"/>
    <row r="358" x14ac:dyDescent="0.25"/>
    <row r="359" x14ac:dyDescent="0.25"/>
    <row r="360" x14ac:dyDescent="0.25"/>
    <row r="361" x14ac:dyDescent="0.25"/>
    <row r="362" x14ac:dyDescent="0.25"/>
    <row r="363" x14ac:dyDescent="0.25"/>
    <row r="364" x14ac:dyDescent="0.25"/>
    <row r="365" x14ac:dyDescent="0.25"/>
    <row r="366" x14ac:dyDescent="0.25"/>
    <row r="367" x14ac:dyDescent="0.25"/>
    <row r="368" x14ac:dyDescent="0.25"/>
    <row r="369" x14ac:dyDescent="0.25"/>
    <row r="370" x14ac:dyDescent="0.25"/>
    <row r="371" x14ac:dyDescent="0.25"/>
    <row r="372" x14ac:dyDescent="0.25"/>
    <row r="373" x14ac:dyDescent="0.25"/>
    <row r="374" x14ac:dyDescent="0.25"/>
    <row r="375" x14ac:dyDescent="0.25"/>
    <row r="376" x14ac:dyDescent="0.25"/>
    <row r="377" x14ac:dyDescent="0.25"/>
    <row r="378" x14ac:dyDescent="0.25"/>
    <row r="379" x14ac:dyDescent="0.25"/>
    <row r="380" x14ac:dyDescent="0.25"/>
    <row r="381" x14ac:dyDescent="0.25"/>
    <row r="382" x14ac:dyDescent="0.25"/>
    <row r="383" x14ac:dyDescent="0.25"/>
    <row r="384" x14ac:dyDescent="0.25"/>
    <row r="385" x14ac:dyDescent="0.25"/>
    <row r="386" x14ac:dyDescent="0.25"/>
    <row r="387" x14ac:dyDescent="0.25"/>
    <row r="388" x14ac:dyDescent="0.25"/>
    <row r="389" x14ac:dyDescent="0.25"/>
    <row r="390" x14ac:dyDescent="0.25"/>
    <row r="391" x14ac:dyDescent="0.25"/>
    <row r="392" x14ac:dyDescent="0.25"/>
    <row r="393" x14ac:dyDescent="0.25"/>
    <row r="394" x14ac:dyDescent="0.25"/>
    <row r="395" x14ac:dyDescent="0.25"/>
    <row r="396" x14ac:dyDescent="0.25"/>
    <row r="397" x14ac:dyDescent="0.25"/>
    <row r="398" x14ac:dyDescent="0.25"/>
    <row r="399" x14ac:dyDescent="0.25"/>
    <row r="400" x14ac:dyDescent="0.25"/>
    <row r="401" x14ac:dyDescent="0.25"/>
    <row r="402" x14ac:dyDescent="0.25"/>
    <row r="403" x14ac:dyDescent="0.25"/>
    <row r="404" x14ac:dyDescent="0.25"/>
    <row r="405" x14ac:dyDescent="0.25"/>
    <row r="406" x14ac:dyDescent="0.25"/>
    <row r="407" x14ac:dyDescent="0.25"/>
    <row r="408" x14ac:dyDescent="0.25"/>
    <row r="409" x14ac:dyDescent="0.25"/>
    <row r="410" x14ac:dyDescent="0.25"/>
    <row r="411" x14ac:dyDescent="0.25"/>
    <row r="412" x14ac:dyDescent="0.25"/>
    <row r="413" x14ac:dyDescent="0.25"/>
    <row r="414" x14ac:dyDescent="0.25"/>
    <row r="415" x14ac:dyDescent="0.25"/>
    <row r="416" x14ac:dyDescent="0.25"/>
    <row r="417" x14ac:dyDescent="0.25"/>
    <row r="418" x14ac:dyDescent="0.25"/>
    <row r="419" x14ac:dyDescent="0.25"/>
  </sheetData>
  <sheetProtection algorithmName="SHA-512" hashValue="aH1vsaxqyOPrW0bBx1KCFBrDD0/89237IlF293XyGNCNRZpw2Ghazdi2RSo4ntfgzDCqhIajdm7oYHCKjgi09w==" saltValue="a51yJ1DkWUNUZsVaJ9PCGw==" spinCount="100000" sheet="1" objects="1" scenarios="1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Arkusz2"/>
  <dimension ref="A1:XEW643"/>
  <sheetViews>
    <sheetView zoomScale="85" zoomScaleNormal="85" workbookViewId="0">
      <pane ySplit="1" topLeftCell="A2" activePane="bottomLeft" state="frozen"/>
      <selection pane="bottomLeft"/>
    </sheetView>
  </sheetViews>
  <sheetFormatPr defaultColWidth="0" defaultRowHeight="12.75" zeroHeight="1" x14ac:dyDescent="0.2"/>
  <cols>
    <col min="1" max="1" width="25.5703125" style="101" customWidth="1"/>
    <col min="2" max="2" width="16.140625" style="101" bestFit="1" customWidth="1"/>
    <col min="3" max="3" width="15" style="101" bestFit="1" customWidth="1"/>
    <col min="4" max="4" width="12.140625" style="101" bestFit="1" customWidth="1"/>
    <col min="5" max="5" width="13.7109375" style="101" bestFit="1" customWidth="1"/>
    <col min="6" max="6" width="8.5703125" style="101" bestFit="1" customWidth="1"/>
    <col min="7" max="7" width="12.7109375" style="101" bestFit="1" customWidth="1"/>
    <col min="8" max="8" width="12.42578125" style="101" bestFit="1" customWidth="1"/>
    <col min="9" max="9" width="9.28515625" style="101" bestFit="1" customWidth="1"/>
    <col min="10" max="10" width="5.140625" style="101" hidden="1" customWidth="1"/>
    <col min="11" max="16384" width="9.140625" style="101" hidden="1"/>
  </cols>
  <sheetData>
    <row r="1" spans="1:10" s="9" customFormat="1" ht="30" x14ac:dyDescent="0.2">
      <c r="A1" s="149" t="s">
        <v>834</v>
      </c>
      <c r="B1" s="149" t="s">
        <v>53</v>
      </c>
      <c r="C1" s="149" t="s">
        <v>559</v>
      </c>
      <c r="D1" s="149" t="s">
        <v>436</v>
      </c>
      <c r="E1" s="149" t="s">
        <v>443</v>
      </c>
      <c r="F1" s="149"/>
      <c r="G1" s="149" t="s">
        <v>437</v>
      </c>
      <c r="H1" s="150" t="s">
        <v>438</v>
      </c>
      <c r="I1" s="151" t="s">
        <v>439</v>
      </c>
      <c r="J1" s="52"/>
    </row>
    <row r="2" spans="1:10" s="9" customFormat="1" x14ac:dyDescent="0.2">
      <c r="A2" s="140" t="s">
        <v>833</v>
      </c>
      <c r="B2" s="161" t="s">
        <v>1370</v>
      </c>
      <c r="C2" s="46">
        <v>898311</v>
      </c>
      <c r="D2" s="46" t="s">
        <v>440</v>
      </c>
      <c r="E2" s="162">
        <v>1.72</v>
      </c>
      <c r="F2" s="141"/>
      <c r="G2" s="46" t="s">
        <v>581</v>
      </c>
      <c r="H2" s="163">
        <v>0.08</v>
      </c>
      <c r="I2" s="46">
        <v>73089059</v>
      </c>
      <c r="J2" s="50"/>
    </row>
    <row r="3" spans="1:10" s="9" customFormat="1" x14ac:dyDescent="0.2">
      <c r="A3" s="140" t="s">
        <v>833</v>
      </c>
      <c r="B3" s="161" t="s">
        <v>1371</v>
      </c>
      <c r="C3" s="46">
        <v>898312</v>
      </c>
      <c r="D3" s="46" t="s">
        <v>440</v>
      </c>
      <c r="E3" s="162">
        <v>1.72</v>
      </c>
      <c r="F3" s="141"/>
      <c r="G3" s="46" t="s">
        <v>582</v>
      </c>
      <c r="H3" s="163">
        <v>7.0000000000000007E-2</v>
      </c>
      <c r="I3" s="46">
        <v>73089059</v>
      </c>
      <c r="J3" s="50"/>
    </row>
    <row r="4" spans="1:10" s="9" customFormat="1" x14ac:dyDescent="0.2">
      <c r="A4" s="140" t="s">
        <v>1035</v>
      </c>
      <c r="B4" s="161" t="s">
        <v>1372</v>
      </c>
      <c r="C4" s="46">
        <v>895857</v>
      </c>
      <c r="D4" s="46" t="s">
        <v>440</v>
      </c>
      <c r="E4" s="162">
        <v>2.31</v>
      </c>
      <c r="F4" s="141"/>
      <c r="G4" s="46" t="s">
        <v>1036</v>
      </c>
      <c r="H4" s="163">
        <v>0.12</v>
      </c>
      <c r="I4" s="46">
        <v>73089059</v>
      </c>
      <c r="J4" s="48"/>
    </row>
    <row r="5" spans="1:10" s="9" customFormat="1" x14ac:dyDescent="0.2">
      <c r="A5" s="140" t="s">
        <v>1037</v>
      </c>
      <c r="B5" s="161" t="s">
        <v>1373</v>
      </c>
      <c r="C5" s="46">
        <v>895856</v>
      </c>
      <c r="D5" s="46" t="s">
        <v>440</v>
      </c>
      <c r="E5" s="164">
        <v>2.4700000000000002</v>
      </c>
      <c r="F5" s="141"/>
      <c r="G5" s="46" t="s">
        <v>1038</v>
      </c>
      <c r="H5" s="165">
        <v>0.16</v>
      </c>
      <c r="I5" s="46">
        <v>73089059</v>
      </c>
      <c r="J5" s="48"/>
    </row>
    <row r="6" spans="1:10" s="9" customFormat="1" x14ac:dyDescent="0.2">
      <c r="A6" s="140" t="s">
        <v>835</v>
      </c>
      <c r="B6" s="166" t="s">
        <v>280</v>
      </c>
      <c r="C6" s="167">
        <v>892525</v>
      </c>
      <c r="D6" s="167" t="s">
        <v>440</v>
      </c>
      <c r="E6" s="162">
        <v>5.43</v>
      </c>
      <c r="F6" s="141"/>
      <c r="G6" s="167" t="s">
        <v>583</v>
      </c>
      <c r="H6" s="168">
        <v>0.41</v>
      </c>
      <c r="I6" s="46">
        <v>73089059</v>
      </c>
      <c r="J6" s="48"/>
    </row>
    <row r="7" spans="1:10" s="9" customFormat="1" x14ac:dyDescent="0.2">
      <c r="A7" s="140" t="s">
        <v>1039</v>
      </c>
      <c r="B7" s="161" t="s">
        <v>1374</v>
      </c>
      <c r="C7" s="46">
        <v>895859</v>
      </c>
      <c r="D7" s="46" t="s">
        <v>440</v>
      </c>
      <c r="E7" s="169">
        <v>2</v>
      </c>
      <c r="F7" s="141"/>
      <c r="G7" s="46" t="s">
        <v>1040</v>
      </c>
      <c r="H7" s="165">
        <v>7.0000000000000007E-2</v>
      </c>
      <c r="I7" s="46">
        <v>73089059</v>
      </c>
      <c r="J7" s="48"/>
    </row>
    <row r="8" spans="1:10" s="9" customFormat="1" x14ac:dyDescent="0.2">
      <c r="A8" s="140" t="s">
        <v>1041</v>
      </c>
      <c r="B8" s="161" t="s">
        <v>1375</v>
      </c>
      <c r="C8" s="46">
        <v>895858</v>
      </c>
      <c r="D8" s="46" t="s">
        <v>440</v>
      </c>
      <c r="E8" s="169">
        <v>2.2400000000000002</v>
      </c>
      <c r="F8" s="141"/>
      <c r="G8" s="46" t="s">
        <v>1042</v>
      </c>
      <c r="H8" s="165">
        <v>0.1</v>
      </c>
      <c r="I8" s="46">
        <v>73089059</v>
      </c>
      <c r="J8" s="48"/>
    </row>
    <row r="9" spans="1:10" s="9" customFormat="1" x14ac:dyDescent="0.2">
      <c r="A9" s="140" t="s">
        <v>836</v>
      </c>
      <c r="B9" s="161" t="s">
        <v>1376</v>
      </c>
      <c r="C9" s="46">
        <v>863725</v>
      </c>
      <c r="D9" s="46" t="s">
        <v>440</v>
      </c>
      <c r="E9" s="169">
        <v>30.99</v>
      </c>
      <c r="F9" s="141"/>
      <c r="G9" s="46" t="s">
        <v>584</v>
      </c>
      <c r="H9" s="165">
        <v>6.4</v>
      </c>
      <c r="I9" s="46">
        <v>73089059</v>
      </c>
      <c r="J9" s="48"/>
    </row>
    <row r="10" spans="1:10" s="9" customFormat="1" x14ac:dyDescent="0.2">
      <c r="A10" s="140" t="s">
        <v>837</v>
      </c>
      <c r="B10" s="161" t="s">
        <v>1377</v>
      </c>
      <c r="C10" s="46">
        <v>863132</v>
      </c>
      <c r="D10" s="46" t="s">
        <v>440</v>
      </c>
      <c r="E10" s="169">
        <v>36.06</v>
      </c>
      <c r="F10" s="141"/>
      <c r="G10" s="46" t="s">
        <v>585</v>
      </c>
      <c r="H10" s="165">
        <v>7.35</v>
      </c>
      <c r="I10" s="46">
        <v>73089059</v>
      </c>
      <c r="J10" s="48"/>
    </row>
    <row r="11" spans="1:10" s="9" customFormat="1" x14ac:dyDescent="0.2">
      <c r="A11" s="140" t="s">
        <v>838</v>
      </c>
      <c r="B11" s="161" t="s">
        <v>1378</v>
      </c>
      <c r="C11" s="46">
        <v>863335</v>
      </c>
      <c r="D11" s="46" t="s">
        <v>440</v>
      </c>
      <c r="E11" s="169">
        <v>51.22</v>
      </c>
      <c r="F11" s="141"/>
      <c r="G11" s="46" t="s">
        <v>586</v>
      </c>
      <c r="H11" s="165">
        <v>10.68</v>
      </c>
      <c r="I11" s="46">
        <v>73089059</v>
      </c>
      <c r="J11" s="48"/>
    </row>
    <row r="12" spans="1:10" s="9" customFormat="1" x14ac:dyDescent="0.2">
      <c r="A12" s="140" t="s">
        <v>839</v>
      </c>
      <c r="B12" s="161" t="s">
        <v>1379</v>
      </c>
      <c r="C12" s="46">
        <v>863343</v>
      </c>
      <c r="D12" s="46" t="s">
        <v>440</v>
      </c>
      <c r="E12" s="169">
        <v>62.58</v>
      </c>
      <c r="F12" s="141"/>
      <c r="G12" s="46" t="s">
        <v>587</v>
      </c>
      <c r="H12" s="165">
        <v>13.12</v>
      </c>
      <c r="I12" s="46">
        <v>73089059</v>
      </c>
      <c r="J12" s="48"/>
    </row>
    <row r="13" spans="1:10" s="9" customFormat="1" x14ac:dyDescent="0.2">
      <c r="A13" s="140" t="s">
        <v>840</v>
      </c>
      <c r="B13" s="161" t="s">
        <v>1380</v>
      </c>
      <c r="C13" s="46">
        <v>863347</v>
      </c>
      <c r="D13" s="46" t="s">
        <v>440</v>
      </c>
      <c r="E13" s="162">
        <v>68.28</v>
      </c>
      <c r="F13" s="141"/>
      <c r="G13" s="46" t="s">
        <v>588</v>
      </c>
      <c r="H13" s="165">
        <v>14.44</v>
      </c>
      <c r="I13" s="46">
        <v>73089059</v>
      </c>
      <c r="J13" s="49"/>
    </row>
    <row r="14" spans="1:10" s="9" customFormat="1" x14ac:dyDescent="0.2">
      <c r="A14" s="140" t="s">
        <v>841</v>
      </c>
      <c r="B14" s="170" t="s">
        <v>1381</v>
      </c>
      <c r="C14" s="171">
        <v>863354</v>
      </c>
      <c r="D14" s="46" t="s">
        <v>440</v>
      </c>
      <c r="E14" s="162">
        <v>76.8</v>
      </c>
      <c r="F14" s="141"/>
      <c r="G14" s="171" t="s">
        <v>589</v>
      </c>
      <c r="H14" s="169">
        <v>16.170000000000002</v>
      </c>
      <c r="I14" s="46">
        <v>73089059</v>
      </c>
      <c r="J14" s="49"/>
    </row>
    <row r="15" spans="1:10" s="9" customFormat="1" x14ac:dyDescent="0.2">
      <c r="A15" s="140" t="s">
        <v>842</v>
      </c>
      <c r="B15" s="172" t="s">
        <v>1382</v>
      </c>
      <c r="C15" s="173">
        <v>863464</v>
      </c>
      <c r="D15" s="171" t="s">
        <v>440</v>
      </c>
      <c r="E15" s="174">
        <v>137.93</v>
      </c>
      <c r="F15" s="141"/>
      <c r="G15" s="173" t="s">
        <v>590</v>
      </c>
      <c r="H15" s="175">
        <v>27.74</v>
      </c>
      <c r="I15" s="46">
        <v>73089059</v>
      </c>
      <c r="J15" s="49"/>
    </row>
    <row r="16" spans="1:10" s="9" customFormat="1" x14ac:dyDescent="0.2">
      <c r="A16" s="140" t="s">
        <v>843</v>
      </c>
      <c r="B16" s="176" t="s">
        <v>1383</v>
      </c>
      <c r="C16" s="171">
        <v>863468</v>
      </c>
      <c r="D16" s="171" t="s">
        <v>440</v>
      </c>
      <c r="E16" s="169">
        <v>146.80000000000001</v>
      </c>
      <c r="F16" s="141"/>
      <c r="G16" s="171" t="s">
        <v>591</v>
      </c>
      <c r="H16" s="169">
        <v>29.5</v>
      </c>
      <c r="I16" s="46">
        <v>73089059</v>
      </c>
      <c r="J16" s="50"/>
    </row>
    <row r="17" spans="1:10" s="9" customFormat="1" x14ac:dyDescent="0.2">
      <c r="A17" s="140" t="s">
        <v>844</v>
      </c>
      <c r="B17" s="176" t="s">
        <v>1384</v>
      </c>
      <c r="C17" s="171">
        <v>863461</v>
      </c>
      <c r="D17" s="171" t="s">
        <v>440</v>
      </c>
      <c r="E17" s="162">
        <v>129.53</v>
      </c>
      <c r="F17" s="141"/>
      <c r="G17" s="171" t="s">
        <v>592</v>
      </c>
      <c r="H17" s="169">
        <v>25.98</v>
      </c>
      <c r="I17" s="46">
        <v>73089059</v>
      </c>
      <c r="J17" s="50"/>
    </row>
    <row r="18" spans="1:10" s="9" customFormat="1" x14ac:dyDescent="0.2">
      <c r="A18" s="140" t="s">
        <v>845</v>
      </c>
      <c r="B18" s="161" t="s">
        <v>313</v>
      </c>
      <c r="C18" s="46">
        <v>895003</v>
      </c>
      <c r="D18" s="46" t="s">
        <v>440</v>
      </c>
      <c r="E18" s="169">
        <v>8.84</v>
      </c>
      <c r="F18" s="141"/>
      <c r="G18" s="46" t="s">
        <v>593</v>
      </c>
      <c r="H18" s="163">
        <v>1.6</v>
      </c>
      <c r="I18" s="46">
        <v>73089059</v>
      </c>
      <c r="J18" s="50"/>
    </row>
    <row r="19" spans="1:10" s="9" customFormat="1" x14ac:dyDescent="0.2">
      <c r="A19" s="140" t="s">
        <v>1043</v>
      </c>
      <c r="B19" s="161" t="s">
        <v>1385</v>
      </c>
      <c r="C19" s="46">
        <v>810115</v>
      </c>
      <c r="D19" s="46" t="s">
        <v>440</v>
      </c>
      <c r="E19" s="162">
        <v>0.99</v>
      </c>
      <c r="F19" s="141"/>
      <c r="G19" s="46" t="s">
        <v>1044</v>
      </c>
      <c r="H19" s="165">
        <v>0.06</v>
      </c>
      <c r="I19" s="46">
        <v>73089059</v>
      </c>
      <c r="J19" s="50"/>
    </row>
    <row r="20" spans="1:10" s="9" customFormat="1" x14ac:dyDescent="0.2">
      <c r="A20" s="140" t="s">
        <v>1043</v>
      </c>
      <c r="B20" s="161" t="s">
        <v>1386</v>
      </c>
      <c r="C20" s="46">
        <v>810105</v>
      </c>
      <c r="D20" s="46" t="s">
        <v>440</v>
      </c>
      <c r="E20" s="162">
        <v>0.88</v>
      </c>
      <c r="F20" s="141"/>
      <c r="G20" s="46" t="s">
        <v>1045</v>
      </c>
      <c r="H20" s="163">
        <v>0.03</v>
      </c>
      <c r="I20" s="46">
        <v>73089059</v>
      </c>
      <c r="J20" s="50"/>
    </row>
    <row r="21" spans="1:10" s="9" customFormat="1" x14ac:dyDescent="0.2">
      <c r="A21" s="140" t="s">
        <v>846</v>
      </c>
      <c r="B21" s="161" t="s">
        <v>410</v>
      </c>
      <c r="C21" s="46">
        <v>7041455</v>
      </c>
      <c r="D21" s="46" t="s">
        <v>440</v>
      </c>
      <c r="E21" s="169">
        <v>0.42</v>
      </c>
      <c r="F21" s="141"/>
      <c r="G21" s="46" t="s">
        <v>594</v>
      </c>
      <c r="H21" s="163">
        <v>0.03</v>
      </c>
      <c r="I21" s="46">
        <v>73089059</v>
      </c>
      <c r="J21" s="50"/>
    </row>
    <row r="22" spans="1:10" s="9" customFormat="1" x14ac:dyDescent="0.2">
      <c r="A22" s="140" t="s">
        <v>851</v>
      </c>
      <c r="B22" s="161" t="s">
        <v>407</v>
      </c>
      <c r="C22" s="46">
        <v>897334</v>
      </c>
      <c r="D22" s="46" t="s">
        <v>440</v>
      </c>
      <c r="E22" s="162">
        <v>1.79</v>
      </c>
      <c r="F22" s="141"/>
      <c r="G22" s="46" t="s">
        <v>620</v>
      </c>
      <c r="H22" s="165">
        <v>0.09</v>
      </c>
      <c r="I22" s="46">
        <v>73089059</v>
      </c>
      <c r="J22" s="50"/>
    </row>
    <row r="23" spans="1:10" s="9" customFormat="1" x14ac:dyDescent="0.2">
      <c r="A23" s="140" t="s">
        <v>847</v>
      </c>
      <c r="B23" s="161" t="s">
        <v>200</v>
      </c>
      <c r="C23" s="46">
        <v>897330</v>
      </c>
      <c r="D23" s="46" t="s">
        <v>440</v>
      </c>
      <c r="E23" s="162">
        <v>0.62</v>
      </c>
      <c r="F23" s="141"/>
      <c r="G23" s="46" t="s">
        <v>595</v>
      </c>
      <c r="H23" s="163">
        <v>0.02</v>
      </c>
      <c r="I23" s="46">
        <v>76042990</v>
      </c>
      <c r="J23" s="50"/>
    </row>
    <row r="24" spans="1:10" s="9" customFormat="1" x14ac:dyDescent="0.2">
      <c r="A24" s="140" t="s">
        <v>848</v>
      </c>
      <c r="B24" s="161" t="s">
        <v>201</v>
      </c>
      <c r="C24" s="46">
        <v>8973302</v>
      </c>
      <c r="D24" s="46" t="s">
        <v>440</v>
      </c>
      <c r="E24" s="169">
        <v>1.1399999999999999</v>
      </c>
      <c r="F24" s="141"/>
      <c r="G24" s="46" t="s">
        <v>596</v>
      </c>
      <c r="H24" s="163">
        <v>0.02</v>
      </c>
      <c r="I24" s="46">
        <v>76042990</v>
      </c>
      <c r="J24" s="50"/>
    </row>
    <row r="25" spans="1:10" s="9" customFormat="1" x14ac:dyDescent="0.2">
      <c r="A25" s="140" t="s">
        <v>847</v>
      </c>
      <c r="B25" s="161" t="s">
        <v>20</v>
      </c>
      <c r="C25" s="46">
        <v>897332</v>
      </c>
      <c r="D25" s="46" t="s">
        <v>440</v>
      </c>
      <c r="E25" s="162">
        <v>0.62</v>
      </c>
      <c r="F25" s="141"/>
      <c r="G25" s="46" t="s">
        <v>597</v>
      </c>
      <c r="H25" s="165">
        <v>0.02</v>
      </c>
      <c r="I25" s="46">
        <v>76042990</v>
      </c>
      <c r="J25" s="50"/>
    </row>
    <row r="26" spans="1:10" s="9" customFormat="1" x14ac:dyDescent="0.2">
      <c r="A26" s="140" t="s">
        <v>848</v>
      </c>
      <c r="B26" s="161" t="s">
        <v>21</v>
      </c>
      <c r="C26" s="46">
        <v>827332</v>
      </c>
      <c r="D26" s="46" t="s">
        <v>440</v>
      </c>
      <c r="E26" s="162">
        <v>1.1399999999999999</v>
      </c>
      <c r="F26" s="141"/>
      <c r="G26" s="46" t="s">
        <v>598</v>
      </c>
      <c r="H26" s="163">
        <v>0.02</v>
      </c>
      <c r="I26" s="46">
        <v>76042990</v>
      </c>
      <c r="J26" s="50"/>
    </row>
    <row r="27" spans="1:10" s="9" customFormat="1" x14ac:dyDescent="0.2">
      <c r="A27" s="140" t="s">
        <v>847</v>
      </c>
      <c r="B27" s="161" t="s">
        <v>22</v>
      </c>
      <c r="C27" s="46">
        <v>897333</v>
      </c>
      <c r="D27" s="46" t="s">
        <v>440</v>
      </c>
      <c r="E27" s="162">
        <v>0.99</v>
      </c>
      <c r="F27" s="141"/>
      <c r="G27" s="46" t="s">
        <v>599</v>
      </c>
      <c r="H27" s="163">
        <v>0.02</v>
      </c>
      <c r="I27" s="46">
        <v>76042990</v>
      </c>
      <c r="J27" s="50"/>
    </row>
    <row r="28" spans="1:10" s="9" customFormat="1" x14ac:dyDescent="0.2">
      <c r="A28" s="140" t="s">
        <v>847</v>
      </c>
      <c r="B28" s="161" t="s">
        <v>23</v>
      </c>
      <c r="C28" s="46">
        <v>897335</v>
      </c>
      <c r="D28" s="46" t="s">
        <v>440</v>
      </c>
      <c r="E28" s="169">
        <v>0.62</v>
      </c>
      <c r="F28" s="141"/>
      <c r="G28" s="46" t="s">
        <v>600</v>
      </c>
      <c r="H28" s="163">
        <v>0.02</v>
      </c>
      <c r="I28" s="46">
        <v>76042990</v>
      </c>
      <c r="J28" s="50"/>
    </row>
    <row r="29" spans="1:10" s="9" customFormat="1" x14ac:dyDescent="0.2">
      <c r="A29" s="140" t="s">
        <v>848</v>
      </c>
      <c r="B29" s="161" t="s">
        <v>24</v>
      </c>
      <c r="C29" s="46">
        <v>827335</v>
      </c>
      <c r="D29" s="46" t="s">
        <v>440</v>
      </c>
      <c r="E29" s="162">
        <v>1.1399999999999999</v>
      </c>
      <c r="F29" s="141"/>
      <c r="G29" s="46" t="s">
        <v>601</v>
      </c>
      <c r="H29" s="165">
        <v>0.02</v>
      </c>
      <c r="I29" s="46">
        <v>76042990</v>
      </c>
      <c r="J29" s="50"/>
    </row>
    <row r="30" spans="1:10" s="9" customFormat="1" x14ac:dyDescent="0.2">
      <c r="A30" s="140" t="s">
        <v>847</v>
      </c>
      <c r="B30" s="161" t="s">
        <v>25</v>
      </c>
      <c r="C30" s="46">
        <v>897338</v>
      </c>
      <c r="D30" s="46" t="s">
        <v>440</v>
      </c>
      <c r="E30" s="169">
        <v>0.62</v>
      </c>
      <c r="F30" s="141"/>
      <c r="G30" s="46" t="s">
        <v>602</v>
      </c>
      <c r="H30" s="163">
        <v>0.02</v>
      </c>
      <c r="I30" s="46">
        <v>76042990</v>
      </c>
      <c r="J30" s="50"/>
    </row>
    <row r="31" spans="1:10" s="9" customFormat="1" x14ac:dyDescent="0.2">
      <c r="A31" s="140" t="s">
        <v>847</v>
      </c>
      <c r="B31" s="161" t="s">
        <v>26</v>
      </c>
      <c r="C31" s="46">
        <v>897340</v>
      </c>
      <c r="D31" s="46" t="s">
        <v>440</v>
      </c>
      <c r="E31" s="162">
        <v>0.62</v>
      </c>
      <c r="F31" s="141"/>
      <c r="G31" s="46" t="s">
        <v>603</v>
      </c>
      <c r="H31" s="165">
        <v>0.02</v>
      </c>
      <c r="I31" s="46">
        <v>76042990</v>
      </c>
      <c r="J31" s="50"/>
    </row>
    <row r="32" spans="1:10" s="9" customFormat="1" x14ac:dyDescent="0.2">
      <c r="A32" s="140" t="s">
        <v>848</v>
      </c>
      <c r="B32" s="161" t="s">
        <v>27</v>
      </c>
      <c r="C32" s="46">
        <v>827340</v>
      </c>
      <c r="D32" s="46" t="s">
        <v>440</v>
      </c>
      <c r="E32" s="162">
        <v>1.1399999999999999</v>
      </c>
      <c r="F32" s="141"/>
      <c r="G32" s="46" t="s">
        <v>604</v>
      </c>
      <c r="H32" s="163">
        <v>0.02</v>
      </c>
      <c r="I32" s="46">
        <v>76042990</v>
      </c>
      <c r="J32" s="50"/>
    </row>
    <row r="33" spans="1:10" s="9" customFormat="1" x14ac:dyDescent="0.2">
      <c r="A33" s="140" t="s">
        <v>847</v>
      </c>
      <c r="B33" s="161" t="s">
        <v>28</v>
      </c>
      <c r="C33" s="46">
        <v>897342</v>
      </c>
      <c r="D33" s="46" t="s">
        <v>440</v>
      </c>
      <c r="E33" s="169">
        <v>0.62</v>
      </c>
      <c r="F33" s="141"/>
      <c r="G33" s="46" t="s">
        <v>605</v>
      </c>
      <c r="H33" s="163">
        <v>0.02</v>
      </c>
      <c r="I33" s="46">
        <v>76042990</v>
      </c>
      <c r="J33" s="50"/>
    </row>
    <row r="34" spans="1:10" s="9" customFormat="1" x14ac:dyDescent="0.2">
      <c r="A34" s="140" t="s">
        <v>847</v>
      </c>
      <c r="B34" s="161" t="s">
        <v>29</v>
      </c>
      <c r="C34" s="46">
        <v>897345</v>
      </c>
      <c r="D34" s="46" t="s">
        <v>440</v>
      </c>
      <c r="E34" s="162">
        <v>0.62</v>
      </c>
      <c r="F34" s="141"/>
      <c r="G34" s="46" t="s">
        <v>606</v>
      </c>
      <c r="H34" s="165">
        <v>0.02</v>
      </c>
      <c r="I34" s="46">
        <v>76042990</v>
      </c>
      <c r="J34" s="50"/>
    </row>
    <row r="35" spans="1:10" s="9" customFormat="1" x14ac:dyDescent="0.2">
      <c r="A35" s="140" t="s">
        <v>847</v>
      </c>
      <c r="B35" s="161" t="s">
        <v>30</v>
      </c>
      <c r="C35" s="46">
        <v>897350</v>
      </c>
      <c r="D35" s="46" t="s">
        <v>440</v>
      </c>
      <c r="E35" s="162">
        <v>0.75</v>
      </c>
      <c r="F35" s="141"/>
      <c r="G35" s="46" t="s">
        <v>607</v>
      </c>
      <c r="H35" s="163">
        <v>0.03</v>
      </c>
      <c r="I35" s="46">
        <v>76042990</v>
      </c>
      <c r="J35" s="50"/>
    </row>
    <row r="36" spans="1:10" s="9" customFormat="1" x14ac:dyDescent="0.2">
      <c r="A36" s="140" t="s">
        <v>848</v>
      </c>
      <c r="B36" s="161" t="s">
        <v>31</v>
      </c>
      <c r="C36" s="46">
        <v>827350</v>
      </c>
      <c r="D36" s="46" t="s">
        <v>440</v>
      </c>
      <c r="E36" s="169">
        <v>1.22</v>
      </c>
      <c r="F36" s="141"/>
      <c r="G36" s="46" t="s">
        <v>608</v>
      </c>
      <c r="H36" s="163">
        <v>0.03</v>
      </c>
      <c r="I36" s="46">
        <v>76042990</v>
      </c>
      <c r="J36" s="48"/>
    </row>
    <row r="37" spans="1:10" s="9" customFormat="1" x14ac:dyDescent="0.2">
      <c r="A37" s="140" t="s">
        <v>851</v>
      </c>
      <c r="B37" s="161" t="s">
        <v>1046</v>
      </c>
      <c r="C37" s="46">
        <v>858130</v>
      </c>
      <c r="D37" s="46" t="s">
        <v>440</v>
      </c>
      <c r="E37" s="162">
        <v>2</v>
      </c>
      <c r="F37" s="141"/>
      <c r="G37" s="46" t="s">
        <v>1047</v>
      </c>
      <c r="H37" s="165">
        <v>0.04</v>
      </c>
      <c r="I37" s="46">
        <v>76042990</v>
      </c>
      <c r="J37" s="48"/>
    </row>
    <row r="38" spans="1:10" s="9" customFormat="1" x14ac:dyDescent="0.2">
      <c r="A38" s="140" t="s">
        <v>851</v>
      </c>
      <c r="B38" s="161" t="s">
        <v>1048</v>
      </c>
      <c r="C38" s="46">
        <v>858530</v>
      </c>
      <c r="D38" s="46" t="s">
        <v>440</v>
      </c>
      <c r="E38" s="162">
        <v>0.99</v>
      </c>
      <c r="F38" s="141"/>
      <c r="G38" s="46" t="s">
        <v>1049</v>
      </c>
      <c r="H38" s="163">
        <v>0.02</v>
      </c>
      <c r="I38" s="46">
        <v>76042990</v>
      </c>
      <c r="J38" s="48"/>
    </row>
    <row r="39" spans="1:10" s="9" customFormat="1" x14ac:dyDescent="0.2">
      <c r="A39" s="140" t="s">
        <v>851</v>
      </c>
      <c r="B39" s="161" t="s">
        <v>1050</v>
      </c>
      <c r="C39" s="46">
        <v>858730</v>
      </c>
      <c r="D39" s="46" t="s">
        <v>440</v>
      </c>
      <c r="E39" s="162">
        <v>1.48</v>
      </c>
      <c r="F39" s="141"/>
      <c r="G39" s="46" t="s">
        <v>1051</v>
      </c>
      <c r="H39" s="163">
        <v>0.03</v>
      </c>
      <c r="I39" s="46">
        <v>76042990</v>
      </c>
      <c r="J39" s="48"/>
    </row>
    <row r="40" spans="1:10" s="9" customFormat="1" x14ac:dyDescent="0.2">
      <c r="A40" s="142" t="s">
        <v>851</v>
      </c>
      <c r="B40" s="161" t="s">
        <v>1052</v>
      </c>
      <c r="C40" s="46">
        <v>858132</v>
      </c>
      <c r="D40" s="46" t="s">
        <v>440</v>
      </c>
      <c r="E40" s="162">
        <v>2</v>
      </c>
      <c r="F40" s="141"/>
      <c r="G40" s="46" t="s">
        <v>1053</v>
      </c>
      <c r="H40" s="163">
        <v>0.04</v>
      </c>
      <c r="I40" s="46">
        <v>76042990</v>
      </c>
      <c r="J40" s="48"/>
    </row>
    <row r="41" spans="1:10" s="9" customFormat="1" x14ac:dyDescent="0.2">
      <c r="A41" s="142" t="s">
        <v>851</v>
      </c>
      <c r="B41" s="177" t="s">
        <v>1054</v>
      </c>
      <c r="C41" s="171">
        <v>858532</v>
      </c>
      <c r="D41" s="171" t="s">
        <v>440</v>
      </c>
      <c r="E41" s="169">
        <v>0.99</v>
      </c>
      <c r="F41" s="141"/>
      <c r="G41" s="171" t="s">
        <v>1055</v>
      </c>
      <c r="H41" s="162">
        <v>0.02</v>
      </c>
      <c r="I41" s="46">
        <v>76042990</v>
      </c>
      <c r="J41" s="49"/>
    </row>
    <row r="42" spans="1:10" s="9" customFormat="1" x14ac:dyDescent="0.2">
      <c r="A42" s="142" t="s">
        <v>851</v>
      </c>
      <c r="B42" s="177" t="s">
        <v>1056</v>
      </c>
      <c r="C42" s="171">
        <v>858732</v>
      </c>
      <c r="D42" s="178" t="s">
        <v>440</v>
      </c>
      <c r="E42" s="162">
        <v>1.48</v>
      </c>
      <c r="F42" s="141"/>
      <c r="G42" s="171" t="s">
        <v>1057</v>
      </c>
      <c r="H42" s="162">
        <v>0.03</v>
      </c>
      <c r="I42" s="46">
        <v>76042990</v>
      </c>
      <c r="J42" s="49"/>
    </row>
    <row r="43" spans="1:10" s="9" customFormat="1" x14ac:dyDescent="0.2">
      <c r="A43" s="142" t="s">
        <v>851</v>
      </c>
      <c r="B43" s="177" t="s">
        <v>1058</v>
      </c>
      <c r="C43" s="171">
        <v>858135</v>
      </c>
      <c r="D43" s="178" t="s">
        <v>440</v>
      </c>
      <c r="E43" s="162">
        <v>2</v>
      </c>
      <c r="F43" s="141"/>
      <c r="G43" s="171" t="s">
        <v>1059</v>
      </c>
      <c r="H43" s="162">
        <v>0.04</v>
      </c>
      <c r="I43" s="46">
        <v>76042990</v>
      </c>
      <c r="J43" s="48"/>
    </row>
    <row r="44" spans="1:10" s="9" customFormat="1" x14ac:dyDescent="0.2">
      <c r="A44" s="140" t="s">
        <v>851</v>
      </c>
      <c r="B44" s="177" t="s">
        <v>1060</v>
      </c>
      <c r="C44" s="171">
        <v>858535</v>
      </c>
      <c r="D44" s="178" t="s">
        <v>440</v>
      </c>
      <c r="E44" s="162">
        <v>0.99</v>
      </c>
      <c r="F44" s="141"/>
      <c r="G44" s="171" t="s">
        <v>1061</v>
      </c>
      <c r="H44" s="162">
        <v>0.02</v>
      </c>
      <c r="I44" s="46">
        <v>76042990</v>
      </c>
      <c r="J44" s="48"/>
    </row>
    <row r="45" spans="1:10" s="9" customFormat="1" x14ac:dyDescent="0.2">
      <c r="A45" s="140" t="s">
        <v>851</v>
      </c>
      <c r="B45" s="47" t="s">
        <v>1062</v>
      </c>
      <c r="C45" s="46">
        <v>858735</v>
      </c>
      <c r="D45" s="46" t="s">
        <v>440</v>
      </c>
      <c r="E45" s="162">
        <v>1.48</v>
      </c>
      <c r="F45" s="141"/>
      <c r="G45" s="46" t="s">
        <v>1063</v>
      </c>
      <c r="H45" s="163">
        <v>0.03</v>
      </c>
      <c r="I45" s="46">
        <v>76042990</v>
      </c>
      <c r="J45" s="49"/>
    </row>
    <row r="46" spans="1:10" s="9" customFormat="1" x14ac:dyDescent="0.2">
      <c r="A46" s="142" t="s">
        <v>1064</v>
      </c>
      <c r="B46" s="47" t="s">
        <v>1065</v>
      </c>
      <c r="C46" s="46">
        <v>888130</v>
      </c>
      <c r="D46" s="46" t="s">
        <v>440</v>
      </c>
      <c r="E46" s="169">
        <v>4</v>
      </c>
      <c r="F46" s="141"/>
      <c r="G46" s="46" t="s">
        <v>1066</v>
      </c>
      <c r="H46" s="163">
        <v>0.06</v>
      </c>
      <c r="I46" s="46">
        <v>76042990</v>
      </c>
      <c r="J46" s="49"/>
    </row>
    <row r="47" spans="1:10" s="9" customFormat="1" x14ac:dyDescent="0.2">
      <c r="A47" s="140" t="s">
        <v>1064</v>
      </c>
      <c r="B47" s="172" t="s">
        <v>1067</v>
      </c>
      <c r="C47" s="173">
        <v>888530</v>
      </c>
      <c r="D47" s="171" t="s">
        <v>440</v>
      </c>
      <c r="E47" s="174">
        <v>2</v>
      </c>
      <c r="F47" s="141"/>
      <c r="G47" s="173" t="s">
        <v>1068</v>
      </c>
      <c r="H47" s="174">
        <v>0.04</v>
      </c>
      <c r="I47" s="46">
        <v>76042990</v>
      </c>
      <c r="J47" s="48"/>
    </row>
    <row r="48" spans="1:10" s="9" customFormat="1" x14ac:dyDescent="0.2">
      <c r="A48" s="140" t="s">
        <v>1064</v>
      </c>
      <c r="B48" s="177" t="s">
        <v>1069</v>
      </c>
      <c r="C48" s="171">
        <v>888730</v>
      </c>
      <c r="D48" s="178" t="s">
        <v>440</v>
      </c>
      <c r="E48" s="162">
        <v>2.96</v>
      </c>
      <c r="F48" s="141"/>
      <c r="G48" s="171" t="s">
        <v>1070</v>
      </c>
      <c r="H48" s="162">
        <v>0.05</v>
      </c>
      <c r="I48" s="46">
        <v>76042990</v>
      </c>
      <c r="J48" s="48"/>
    </row>
    <row r="49" spans="1:10" s="9" customFormat="1" x14ac:dyDescent="0.2">
      <c r="A49" s="142" t="s">
        <v>1064</v>
      </c>
      <c r="B49" s="47" t="s">
        <v>1071</v>
      </c>
      <c r="C49" s="46">
        <v>888132</v>
      </c>
      <c r="D49" s="46" t="s">
        <v>440</v>
      </c>
      <c r="E49" s="169">
        <v>4</v>
      </c>
      <c r="F49" s="141"/>
      <c r="G49" s="46" t="s">
        <v>1072</v>
      </c>
      <c r="H49" s="163">
        <v>7.0000000000000007E-2</v>
      </c>
      <c r="I49" s="46">
        <v>76042990</v>
      </c>
      <c r="J49" s="48"/>
    </row>
    <row r="50" spans="1:10" s="9" customFormat="1" x14ac:dyDescent="0.2">
      <c r="A50" s="142" t="s">
        <v>1064</v>
      </c>
      <c r="B50" s="47" t="s">
        <v>1073</v>
      </c>
      <c r="C50" s="46">
        <v>888532</v>
      </c>
      <c r="D50" s="46" t="s">
        <v>440</v>
      </c>
      <c r="E50" s="162">
        <v>2</v>
      </c>
      <c r="F50" s="141"/>
      <c r="G50" s="46" t="s">
        <v>1074</v>
      </c>
      <c r="H50" s="163">
        <v>0.05</v>
      </c>
      <c r="I50" s="46">
        <v>76042990</v>
      </c>
      <c r="J50" s="48"/>
    </row>
    <row r="51" spans="1:10" s="9" customFormat="1" x14ac:dyDescent="0.2">
      <c r="A51" s="140" t="s">
        <v>1064</v>
      </c>
      <c r="B51" s="177" t="s">
        <v>1075</v>
      </c>
      <c r="C51" s="171">
        <v>888732</v>
      </c>
      <c r="D51" s="178" t="s">
        <v>440</v>
      </c>
      <c r="E51" s="162">
        <v>2.96</v>
      </c>
      <c r="F51" s="141"/>
      <c r="G51" s="171" t="s">
        <v>1076</v>
      </c>
      <c r="H51" s="162">
        <v>0.06</v>
      </c>
      <c r="I51" s="46">
        <v>76042990</v>
      </c>
      <c r="J51" s="48"/>
    </row>
    <row r="52" spans="1:10" s="9" customFormat="1" x14ac:dyDescent="0.2">
      <c r="A52" s="140" t="s">
        <v>1064</v>
      </c>
      <c r="B52" s="177" t="s">
        <v>1077</v>
      </c>
      <c r="C52" s="171">
        <v>888135</v>
      </c>
      <c r="D52" s="178" t="s">
        <v>440</v>
      </c>
      <c r="E52" s="162">
        <v>4</v>
      </c>
      <c r="F52" s="141"/>
      <c r="G52" s="171" t="s">
        <v>1078</v>
      </c>
      <c r="H52" s="162">
        <v>0.08</v>
      </c>
      <c r="I52" s="46">
        <v>76042990</v>
      </c>
      <c r="J52" s="48"/>
    </row>
    <row r="53" spans="1:10" s="9" customFormat="1" x14ac:dyDescent="0.2">
      <c r="A53" s="142" t="s">
        <v>1064</v>
      </c>
      <c r="B53" s="179" t="s">
        <v>1079</v>
      </c>
      <c r="C53" s="171">
        <v>888535</v>
      </c>
      <c r="D53" s="171" t="s">
        <v>440</v>
      </c>
      <c r="E53" s="162">
        <v>2</v>
      </c>
      <c r="F53" s="141"/>
      <c r="G53" s="171" t="s">
        <v>1080</v>
      </c>
      <c r="H53" s="169">
        <v>0.06</v>
      </c>
      <c r="I53" s="46">
        <v>76042990</v>
      </c>
      <c r="J53" s="48"/>
    </row>
    <row r="54" spans="1:10" s="9" customFormat="1" x14ac:dyDescent="0.2">
      <c r="A54" s="140" t="s">
        <v>1064</v>
      </c>
      <c r="B54" s="179" t="s">
        <v>1081</v>
      </c>
      <c r="C54" s="171">
        <v>888735</v>
      </c>
      <c r="D54" s="171" t="s">
        <v>440</v>
      </c>
      <c r="E54" s="169">
        <v>2.96</v>
      </c>
      <c r="F54" s="141"/>
      <c r="G54" s="171" t="s">
        <v>1082</v>
      </c>
      <c r="H54" s="169">
        <v>7.0000000000000007E-2</v>
      </c>
      <c r="I54" s="46">
        <v>76042990</v>
      </c>
      <c r="J54" s="48"/>
    </row>
    <row r="55" spans="1:10" s="9" customFormat="1" x14ac:dyDescent="0.2">
      <c r="A55" s="140" t="s">
        <v>1064</v>
      </c>
      <c r="B55" s="177" t="s">
        <v>983</v>
      </c>
      <c r="C55" s="171">
        <v>897430</v>
      </c>
      <c r="D55" s="178" t="s">
        <v>440</v>
      </c>
      <c r="E55" s="162">
        <v>1.9</v>
      </c>
      <c r="F55" s="141"/>
      <c r="G55" s="171" t="s">
        <v>1083</v>
      </c>
      <c r="H55" s="162">
        <v>0.04</v>
      </c>
      <c r="I55" s="46">
        <v>76042990</v>
      </c>
      <c r="J55" s="48"/>
    </row>
    <row r="56" spans="1:10" s="9" customFormat="1" x14ac:dyDescent="0.2">
      <c r="A56" s="140" t="s">
        <v>1064</v>
      </c>
      <c r="B56" s="47" t="s">
        <v>984</v>
      </c>
      <c r="C56" s="46">
        <v>8974302</v>
      </c>
      <c r="D56" s="46" t="s">
        <v>440</v>
      </c>
      <c r="E56" s="169">
        <v>2.31</v>
      </c>
      <c r="F56" s="141"/>
      <c r="G56" s="46" t="s">
        <v>1084</v>
      </c>
      <c r="H56" s="163">
        <v>0.04</v>
      </c>
      <c r="I56" s="46">
        <v>76042990</v>
      </c>
      <c r="J56" s="48"/>
    </row>
    <row r="57" spans="1:10" s="9" customFormat="1" x14ac:dyDescent="0.2">
      <c r="A57" s="140" t="s">
        <v>849</v>
      </c>
      <c r="B57" s="177" t="s">
        <v>32</v>
      </c>
      <c r="C57" s="171">
        <v>897432</v>
      </c>
      <c r="D57" s="178" t="s">
        <v>440</v>
      </c>
      <c r="E57" s="162">
        <v>1.9</v>
      </c>
      <c r="F57" s="141"/>
      <c r="G57" s="171" t="s">
        <v>609</v>
      </c>
      <c r="H57" s="162">
        <v>0.05</v>
      </c>
      <c r="I57" s="46">
        <v>76042990</v>
      </c>
      <c r="J57" s="48"/>
    </row>
    <row r="58" spans="1:10" s="9" customFormat="1" x14ac:dyDescent="0.2">
      <c r="A58" s="140" t="s">
        <v>850</v>
      </c>
      <c r="B58" s="179" t="s">
        <v>33</v>
      </c>
      <c r="C58" s="171">
        <v>827442</v>
      </c>
      <c r="D58" s="171" t="s">
        <v>440</v>
      </c>
      <c r="E58" s="162">
        <v>2.31</v>
      </c>
      <c r="F58" s="141"/>
      <c r="G58" s="171" t="s">
        <v>610</v>
      </c>
      <c r="H58" s="169">
        <v>0.05</v>
      </c>
      <c r="I58" s="46">
        <v>76042990</v>
      </c>
      <c r="J58" s="48"/>
    </row>
    <row r="59" spans="1:10" s="9" customFormat="1" x14ac:dyDescent="0.2">
      <c r="A59" s="140" t="s">
        <v>849</v>
      </c>
      <c r="B59" s="179" t="s">
        <v>34</v>
      </c>
      <c r="C59" s="171">
        <v>897434</v>
      </c>
      <c r="D59" s="171" t="s">
        <v>440</v>
      </c>
      <c r="E59" s="162">
        <v>1.9</v>
      </c>
      <c r="F59" s="141"/>
      <c r="G59" s="171" t="s">
        <v>611</v>
      </c>
      <c r="H59" s="169">
        <v>0.06</v>
      </c>
      <c r="I59" s="46">
        <v>76042990</v>
      </c>
      <c r="J59" s="48"/>
    </row>
    <row r="60" spans="1:10" s="9" customFormat="1" x14ac:dyDescent="0.2">
      <c r="A60" s="140" t="s">
        <v>849</v>
      </c>
      <c r="B60" s="161" t="s">
        <v>35</v>
      </c>
      <c r="C60" s="46">
        <v>897435</v>
      </c>
      <c r="D60" s="46" t="s">
        <v>440</v>
      </c>
      <c r="E60" s="162">
        <v>1.9</v>
      </c>
      <c r="F60" s="141"/>
      <c r="G60" s="46" t="s">
        <v>612</v>
      </c>
      <c r="H60" s="163">
        <v>0.06</v>
      </c>
      <c r="I60" s="46">
        <v>76042990</v>
      </c>
      <c r="J60" s="48"/>
    </row>
    <row r="61" spans="1:10" s="9" customFormat="1" x14ac:dyDescent="0.2">
      <c r="A61" s="140" t="s">
        <v>850</v>
      </c>
      <c r="B61" s="161" t="s">
        <v>36</v>
      </c>
      <c r="C61" s="46">
        <v>827435</v>
      </c>
      <c r="D61" s="46" t="s">
        <v>440</v>
      </c>
      <c r="E61" s="162">
        <v>2.31</v>
      </c>
      <c r="F61" s="141"/>
      <c r="G61" s="46" t="s">
        <v>613</v>
      </c>
      <c r="H61" s="163">
        <v>0.06</v>
      </c>
      <c r="I61" s="46">
        <v>76042990</v>
      </c>
      <c r="J61" s="48"/>
    </row>
    <row r="62" spans="1:10" s="9" customFormat="1" x14ac:dyDescent="0.2">
      <c r="A62" s="140" t="s">
        <v>849</v>
      </c>
      <c r="B62" s="180" t="s">
        <v>37</v>
      </c>
      <c r="C62" s="181">
        <v>897438</v>
      </c>
      <c r="D62" s="181" t="s">
        <v>440</v>
      </c>
      <c r="E62" s="162">
        <v>1.9</v>
      </c>
      <c r="F62" s="141"/>
      <c r="G62" s="181" t="s">
        <v>614</v>
      </c>
      <c r="H62" s="182">
        <v>7.0000000000000007E-2</v>
      </c>
      <c r="I62" s="46">
        <v>76042990</v>
      </c>
      <c r="J62" s="48"/>
    </row>
    <row r="63" spans="1:10" s="9" customFormat="1" x14ac:dyDescent="0.2">
      <c r="A63" s="140" t="s">
        <v>849</v>
      </c>
      <c r="B63" s="180" t="s">
        <v>38</v>
      </c>
      <c r="C63" s="181">
        <v>897440</v>
      </c>
      <c r="D63" s="181" t="s">
        <v>440</v>
      </c>
      <c r="E63" s="162">
        <v>1.9</v>
      </c>
      <c r="F63" s="141"/>
      <c r="G63" s="181" t="s">
        <v>615</v>
      </c>
      <c r="H63" s="182">
        <v>7.0000000000000007E-2</v>
      </c>
      <c r="I63" s="46">
        <v>76042990</v>
      </c>
      <c r="J63" s="48"/>
    </row>
    <row r="64" spans="1:10" s="9" customFormat="1" x14ac:dyDescent="0.2">
      <c r="A64" s="140" t="s">
        <v>850</v>
      </c>
      <c r="B64" s="180" t="s">
        <v>39</v>
      </c>
      <c r="C64" s="181">
        <v>827440</v>
      </c>
      <c r="D64" s="181" t="s">
        <v>440</v>
      </c>
      <c r="E64" s="162">
        <v>2.31</v>
      </c>
      <c r="F64" s="141"/>
      <c r="G64" s="181" t="s">
        <v>616</v>
      </c>
      <c r="H64" s="182">
        <v>7.0000000000000007E-2</v>
      </c>
      <c r="I64" s="46">
        <v>76042990</v>
      </c>
      <c r="J64" s="48"/>
    </row>
    <row r="65" spans="1:10" s="9" customFormat="1" x14ac:dyDescent="0.2">
      <c r="A65" s="140" t="s">
        <v>849</v>
      </c>
      <c r="B65" s="172" t="s">
        <v>40</v>
      </c>
      <c r="C65" s="171">
        <v>897442</v>
      </c>
      <c r="D65" s="171" t="s">
        <v>440</v>
      </c>
      <c r="E65" s="169">
        <v>1.9</v>
      </c>
      <c r="F65" s="141"/>
      <c r="G65" s="171" t="s">
        <v>617</v>
      </c>
      <c r="H65" s="169">
        <v>7.0000000000000007E-2</v>
      </c>
      <c r="I65" s="46">
        <v>76042990</v>
      </c>
      <c r="J65" s="48"/>
    </row>
    <row r="66" spans="1:10" s="9" customFormat="1" x14ac:dyDescent="0.2">
      <c r="A66" s="140" t="s">
        <v>849</v>
      </c>
      <c r="B66" s="180" t="s">
        <v>41</v>
      </c>
      <c r="C66" s="181">
        <v>897446</v>
      </c>
      <c r="D66" s="181" t="s">
        <v>440</v>
      </c>
      <c r="E66" s="169">
        <v>1.9</v>
      </c>
      <c r="F66" s="141"/>
      <c r="G66" s="181" t="s">
        <v>618</v>
      </c>
      <c r="H66" s="182">
        <v>0.08</v>
      </c>
      <c r="I66" s="46">
        <v>76042990</v>
      </c>
      <c r="J66" s="48"/>
    </row>
    <row r="67" spans="1:10" s="9" customFormat="1" x14ac:dyDescent="0.2">
      <c r="A67" s="140" t="s">
        <v>849</v>
      </c>
      <c r="B67" s="180" t="s">
        <v>42</v>
      </c>
      <c r="C67" s="181">
        <v>897450</v>
      </c>
      <c r="D67" s="181" t="s">
        <v>440</v>
      </c>
      <c r="E67" s="169">
        <v>1.9</v>
      </c>
      <c r="F67" s="141"/>
      <c r="G67" s="181" t="s">
        <v>619</v>
      </c>
      <c r="H67" s="182">
        <v>0.08</v>
      </c>
      <c r="I67" s="46">
        <v>76042990</v>
      </c>
      <c r="J67" s="48"/>
    </row>
    <row r="68" spans="1:10" s="9" customFormat="1" x14ac:dyDescent="0.2">
      <c r="A68" s="140" t="s">
        <v>1085</v>
      </c>
      <c r="B68" s="180" t="s">
        <v>1387</v>
      </c>
      <c r="C68" s="181">
        <v>890222</v>
      </c>
      <c r="D68" s="181" t="s">
        <v>440</v>
      </c>
      <c r="E68" s="169">
        <v>10.01</v>
      </c>
      <c r="F68" s="141"/>
      <c r="G68" s="181" t="s">
        <v>1086</v>
      </c>
      <c r="H68" s="182">
        <v>0.16</v>
      </c>
      <c r="I68" s="46">
        <v>73089059</v>
      </c>
      <c r="J68" s="48"/>
    </row>
    <row r="69" spans="1:10" s="9" customFormat="1" x14ac:dyDescent="0.2">
      <c r="A69" s="140" t="s">
        <v>1087</v>
      </c>
      <c r="B69" s="180" t="s">
        <v>1388</v>
      </c>
      <c r="C69" s="181">
        <v>876504</v>
      </c>
      <c r="D69" s="181" t="s">
        <v>440</v>
      </c>
      <c r="E69" s="169">
        <v>6.71</v>
      </c>
      <c r="F69" s="141"/>
      <c r="G69" s="181" t="s">
        <v>1088</v>
      </c>
      <c r="H69" s="182">
        <v>271.97000000000003</v>
      </c>
      <c r="I69" s="46">
        <v>73089059</v>
      </c>
      <c r="J69" s="48"/>
    </row>
    <row r="70" spans="1:10" s="9" customFormat="1" x14ac:dyDescent="0.2">
      <c r="A70" s="140" t="s">
        <v>1089</v>
      </c>
      <c r="B70" s="180" t="s">
        <v>1389</v>
      </c>
      <c r="C70" s="181">
        <v>876522</v>
      </c>
      <c r="D70" s="181" t="s">
        <v>440</v>
      </c>
      <c r="E70" s="169">
        <v>7.62</v>
      </c>
      <c r="F70" s="141"/>
      <c r="G70" s="181" t="s">
        <v>1090</v>
      </c>
      <c r="H70" s="182">
        <v>305.16000000000003</v>
      </c>
      <c r="I70" s="46">
        <v>73089059</v>
      </c>
      <c r="J70" s="48"/>
    </row>
    <row r="71" spans="1:10" s="9" customFormat="1" x14ac:dyDescent="0.2">
      <c r="A71" s="140" t="s">
        <v>1091</v>
      </c>
      <c r="B71" s="177" t="s">
        <v>1390</v>
      </c>
      <c r="C71" s="171">
        <v>810225</v>
      </c>
      <c r="D71" s="171" t="s">
        <v>440</v>
      </c>
      <c r="E71" s="169">
        <v>1.2</v>
      </c>
      <c r="F71" s="141"/>
      <c r="G71" s="171" t="s">
        <v>1092</v>
      </c>
      <c r="H71" s="169">
        <v>0.04</v>
      </c>
      <c r="I71" s="46">
        <v>73089059</v>
      </c>
      <c r="J71" s="48"/>
    </row>
    <row r="72" spans="1:10" s="9" customFormat="1" x14ac:dyDescent="0.2">
      <c r="A72" s="140" t="s">
        <v>1091</v>
      </c>
      <c r="B72" s="177" t="s">
        <v>1391</v>
      </c>
      <c r="C72" s="171">
        <v>810215</v>
      </c>
      <c r="D72" s="171" t="s">
        <v>440</v>
      </c>
      <c r="E72" s="169">
        <v>0.91</v>
      </c>
      <c r="F72" s="141"/>
      <c r="G72" s="171" t="s">
        <v>1093</v>
      </c>
      <c r="H72" s="169">
        <v>0.02</v>
      </c>
      <c r="I72" s="46">
        <v>73089059</v>
      </c>
      <c r="J72" s="48"/>
    </row>
    <row r="73" spans="1:10" s="9" customFormat="1" x14ac:dyDescent="0.2">
      <c r="A73" s="140" t="s">
        <v>986</v>
      </c>
      <c r="B73" s="177" t="s">
        <v>1392</v>
      </c>
      <c r="C73" s="171">
        <v>867603</v>
      </c>
      <c r="D73" s="171" t="s">
        <v>440</v>
      </c>
      <c r="E73" s="169">
        <v>47.06</v>
      </c>
      <c r="F73" s="141"/>
      <c r="G73" s="171">
        <v>5900993251586</v>
      </c>
      <c r="H73" s="169">
        <v>10.67</v>
      </c>
      <c r="I73" s="46">
        <v>73089059</v>
      </c>
      <c r="J73" s="48"/>
    </row>
    <row r="74" spans="1:10" s="9" customFormat="1" x14ac:dyDescent="0.2">
      <c r="A74" s="140" t="s">
        <v>987</v>
      </c>
      <c r="B74" s="172" t="s">
        <v>1393</v>
      </c>
      <c r="C74" s="171">
        <v>867604</v>
      </c>
      <c r="D74" s="171" t="s">
        <v>440</v>
      </c>
      <c r="E74" s="169">
        <v>62.76</v>
      </c>
      <c r="F74" s="141"/>
      <c r="G74" s="171">
        <v>5900993251616</v>
      </c>
      <c r="H74" s="169">
        <v>13.8</v>
      </c>
      <c r="I74" s="46">
        <v>73089059</v>
      </c>
      <c r="J74" s="48"/>
    </row>
    <row r="75" spans="1:10" s="9" customFormat="1" x14ac:dyDescent="0.2">
      <c r="A75" s="140" t="s">
        <v>852</v>
      </c>
      <c r="B75" s="177" t="s">
        <v>1394</v>
      </c>
      <c r="C75" s="171">
        <v>895230</v>
      </c>
      <c r="D75" s="171" t="s">
        <v>440</v>
      </c>
      <c r="E75" s="169">
        <v>2.81</v>
      </c>
      <c r="F75" s="141"/>
      <c r="G75" s="171" t="s">
        <v>621</v>
      </c>
      <c r="H75" s="169">
        <v>0.43</v>
      </c>
      <c r="I75" s="46">
        <v>73089059</v>
      </c>
      <c r="J75" s="48"/>
    </row>
    <row r="76" spans="1:10" s="9" customFormat="1" x14ac:dyDescent="0.2">
      <c r="A76" s="140" t="s">
        <v>853</v>
      </c>
      <c r="B76" s="180" t="s">
        <v>1395</v>
      </c>
      <c r="C76" s="181">
        <v>895345</v>
      </c>
      <c r="D76" s="181" t="s">
        <v>440</v>
      </c>
      <c r="E76" s="169">
        <v>4.24</v>
      </c>
      <c r="F76" s="141"/>
      <c r="G76" s="181" t="s">
        <v>622</v>
      </c>
      <c r="H76" s="183">
        <v>0.64</v>
      </c>
      <c r="I76" s="46">
        <v>73089059</v>
      </c>
      <c r="J76" s="48"/>
    </row>
    <row r="77" spans="1:10" s="9" customFormat="1" x14ac:dyDescent="0.2">
      <c r="A77" s="140" t="s">
        <v>854</v>
      </c>
      <c r="B77" s="180" t="s">
        <v>1396</v>
      </c>
      <c r="C77" s="181">
        <v>895255</v>
      </c>
      <c r="D77" s="181" t="s">
        <v>440</v>
      </c>
      <c r="E77" s="169">
        <v>5.17</v>
      </c>
      <c r="F77" s="141"/>
      <c r="G77" s="181" t="s">
        <v>623</v>
      </c>
      <c r="H77" s="183">
        <v>0.78</v>
      </c>
      <c r="I77" s="46">
        <v>73089059</v>
      </c>
      <c r="J77" s="48"/>
    </row>
    <row r="78" spans="1:10" s="9" customFormat="1" x14ac:dyDescent="0.2">
      <c r="A78" s="140" t="s">
        <v>855</v>
      </c>
      <c r="B78" s="184" t="s">
        <v>1397</v>
      </c>
      <c r="C78" s="185">
        <v>895385</v>
      </c>
      <c r="D78" s="185" t="s">
        <v>440</v>
      </c>
      <c r="E78" s="186">
        <v>8.01</v>
      </c>
      <c r="F78" s="141"/>
      <c r="G78" s="181" t="s">
        <v>624</v>
      </c>
      <c r="H78" s="187">
        <v>1.48</v>
      </c>
      <c r="I78" s="46">
        <v>73089059</v>
      </c>
      <c r="J78" s="48"/>
    </row>
    <row r="79" spans="1:10" s="9" customFormat="1" x14ac:dyDescent="0.2">
      <c r="A79" s="140" t="s">
        <v>860</v>
      </c>
      <c r="B79" s="180" t="s">
        <v>1398</v>
      </c>
      <c r="C79" s="181">
        <v>895335</v>
      </c>
      <c r="D79" s="181" t="s">
        <v>440</v>
      </c>
      <c r="E79" s="169">
        <v>9.41</v>
      </c>
      <c r="F79" s="141"/>
      <c r="G79" s="181" t="s">
        <v>629</v>
      </c>
      <c r="H79" s="183">
        <v>1.75</v>
      </c>
      <c r="I79" s="46">
        <v>73089059</v>
      </c>
      <c r="J79" s="48"/>
    </row>
    <row r="80" spans="1:10" s="9" customFormat="1" x14ac:dyDescent="0.2">
      <c r="A80" s="142" t="s">
        <v>856</v>
      </c>
      <c r="B80" s="180" t="s">
        <v>1399</v>
      </c>
      <c r="C80" s="181">
        <v>895325</v>
      </c>
      <c r="D80" s="181" t="s">
        <v>440</v>
      </c>
      <c r="E80" s="169">
        <v>10.82</v>
      </c>
      <c r="F80" s="141"/>
      <c r="G80" s="181" t="s">
        <v>625</v>
      </c>
      <c r="H80" s="183">
        <v>2</v>
      </c>
      <c r="I80" s="46">
        <v>73089059</v>
      </c>
      <c r="J80" s="48"/>
    </row>
    <row r="81" spans="1:10" s="9" customFormat="1" x14ac:dyDescent="0.2">
      <c r="A81" s="142" t="s">
        <v>857</v>
      </c>
      <c r="B81" s="161" t="s">
        <v>1400</v>
      </c>
      <c r="C81" s="46">
        <v>895313</v>
      </c>
      <c r="D81" s="46" t="s">
        <v>440</v>
      </c>
      <c r="E81" s="162">
        <v>11.65</v>
      </c>
      <c r="F81" s="141"/>
      <c r="G81" s="46" t="s">
        <v>626</v>
      </c>
      <c r="H81" s="165">
        <v>2.2799999999999998</v>
      </c>
      <c r="I81" s="46">
        <v>73089059</v>
      </c>
      <c r="J81" s="48"/>
    </row>
    <row r="82" spans="1:10" s="9" customFormat="1" x14ac:dyDescent="0.2">
      <c r="A82" s="142" t="s">
        <v>962</v>
      </c>
      <c r="B82" s="161" t="s">
        <v>1401</v>
      </c>
      <c r="C82" s="46">
        <v>895336</v>
      </c>
      <c r="D82" s="46" t="s">
        <v>440</v>
      </c>
      <c r="E82" s="162">
        <v>12.09</v>
      </c>
      <c r="F82" s="141"/>
      <c r="G82" s="46" t="s">
        <v>997</v>
      </c>
      <c r="H82" s="165">
        <v>2.2799999999999998</v>
      </c>
      <c r="I82" s="46">
        <v>73089059</v>
      </c>
      <c r="J82" s="48"/>
    </row>
    <row r="83" spans="1:10" s="9" customFormat="1" x14ac:dyDescent="0.2">
      <c r="A83" s="140" t="s">
        <v>858</v>
      </c>
      <c r="B83" s="172" t="s">
        <v>1402</v>
      </c>
      <c r="C83" s="173">
        <v>895355</v>
      </c>
      <c r="D83" s="171" t="s">
        <v>440</v>
      </c>
      <c r="E83" s="174">
        <v>13.44</v>
      </c>
      <c r="F83" s="141"/>
      <c r="G83" s="173" t="s">
        <v>627</v>
      </c>
      <c r="H83" s="174">
        <v>2.7</v>
      </c>
      <c r="I83" s="46">
        <v>73089059</v>
      </c>
      <c r="J83" s="48"/>
    </row>
    <row r="84" spans="1:10" s="9" customFormat="1" x14ac:dyDescent="0.2">
      <c r="A84" s="140" t="s">
        <v>865</v>
      </c>
      <c r="B84" s="177" t="s">
        <v>1403</v>
      </c>
      <c r="C84" s="171">
        <v>895365</v>
      </c>
      <c r="D84" s="171" t="s">
        <v>440</v>
      </c>
      <c r="E84" s="162">
        <v>13.88</v>
      </c>
      <c r="F84" s="141"/>
      <c r="G84" s="171" t="s">
        <v>998</v>
      </c>
      <c r="H84" s="162">
        <v>2.7</v>
      </c>
      <c r="I84" s="46">
        <v>73089059</v>
      </c>
      <c r="J84" s="48"/>
    </row>
    <row r="85" spans="1:10" s="9" customFormat="1" x14ac:dyDescent="0.2">
      <c r="A85" s="140" t="s">
        <v>859</v>
      </c>
      <c r="B85" s="177" t="s">
        <v>96</v>
      </c>
      <c r="C85" s="171">
        <v>895375</v>
      </c>
      <c r="D85" s="171" t="s">
        <v>440</v>
      </c>
      <c r="E85" s="169">
        <v>15.24</v>
      </c>
      <c r="F85" s="141"/>
      <c r="G85" s="188" t="s">
        <v>628</v>
      </c>
      <c r="H85" s="162">
        <v>2.97</v>
      </c>
      <c r="I85" s="46">
        <v>73089059</v>
      </c>
      <c r="J85" s="48"/>
    </row>
    <row r="86" spans="1:10" s="9" customFormat="1" x14ac:dyDescent="0.2">
      <c r="A86" s="140" t="s">
        <v>861</v>
      </c>
      <c r="B86" s="177" t="s">
        <v>380</v>
      </c>
      <c r="C86" s="171">
        <v>895322</v>
      </c>
      <c r="D86" s="171" t="s">
        <v>440</v>
      </c>
      <c r="E86" s="169">
        <v>19.71</v>
      </c>
      <c r="F86" s="141"/>
      <c r="G86" s="188" t="s">
        <v>630</v>
      </c>
      <c r="H86" s="162">
        <v>3.11</v>
      </c>
      <c r="I86" s="46">
        <v>73089059</v>
      </c>
      <c r="J86" s="48"/>
    </row>
    <row r="87" spans="1:10" s="9" customFormat="1" x14ac:dyDescent="0.2">
      <c r="A87" s="140" t="s">
        <v>862</v>
      </c>
      <c r="B87" s="189" t="s">
        <v>379</v>
      </c>
      <c r="C87" s="190">
        <v>895333</v>
      </c>
      <c r="D87" s="191" t="s">
        <v>440</v>
      </c>
      <c r="E87" s="192">
        <v>29.56</v>
      </c>
      <c r="F87" s="141"/>
      <c r="G87" s="193" t="s">
        <v>631</v>
      </c>
      <c r="H87" s="192">
        <v>4.67</v>
      </c>
      <c r="I87" s="46">
        <v>73089059</v>
      </c>
      <c r="J87" s="48"/>
    </row>
    <row r="88" spans="1:10" s="9" customFormat="1" x14ac:dyDescent="0.2">
      <c r="A88" s="140" t="s">
        <v>863</v>
      </c>
      <c r="B88" s="161" t="s">
        <v>1404</v>
      </c>
      <c r="C88" s="46">
        <v>895406</v>
      </c>
      <c r="D88" s="46" t="s">
        <v>440</v>
      </c>
      <c r="E88" s="169">
        <v>6.79</v>
      </c>
      <c r="F88" s="141"/>
      <c r="G88" s="194" t="s">
        <v>632</v>
      </c>
      <c r="H88" s="165">
        <v>1.2149999999999999</v>
      </c>
      <c r="I88" s="46">
        <v>73089059</v>
      </c>
      <c r="J88" s="48"/>
    </row>
    <row r="89" spans="1:10" s="9" customFormat="1" x14ac:dyDescent="0.2">
      <c r="A89" s="140" t="s">
        <v>864</v>
      </c>
      <c r="B89" s="189" t="s">
        <v>1405</v>
      </c>
      <c r="C89" s="190">
        <v>895407</v>
      </c>
      <c r="D89" s="191" t="s">
        <v>440</v>
      </c>
      <c r="E89" s="192">
        <v>7.9</v>
      </c>
      <c r="F89" s="141"/>
      <c r="G89" s="193" t="s">
        <v>633</v>
      </c>
      <c r="H89" s="192">
        <v>1.4174999999999998</v>
      </c>
      <c r="I89" s="46">
        <v>73089059</v>
      </c>
      <c r="J89" s="48"/>
    </row>
    <row r="90" spans="1:10" s="9" customFormat="1" x14ac:dyDescent="0.2">
      <c r="A90" s="140" t="s">
        <v>962</v>
      </c>
      <c r="B90" s="161" t="s">
        <v>1406</v>
      </c>
      <c r="C90" s="46">
        <v>895535</v>
      </c>
      <c r="D90" s="46" t="s">
        <v>440</v>
      </c>
      <c r="E90" s="169">
        <v>14.51</v>
      </c>
      <c r="F90" s="141"/>
      <c r="G90" s="46" t="s">
        <v>999</v>
      </c>
      <c r="H90" s="165">
        <v>2.71</v>
      </c>
      <c r="I90" s="46">
        <v>73089059</v>
      </c>
      <c r="J90" s="48"/>
    </row>
    <row r="91" spans="1:10" s="9" customFormat="1" x14ac:dyDescent="0.2">
      <c r="A91" s="140" t="s">
        <v>865</v>
      </c>
      <c r="B91" s="177" t="s">
        <v>1407</v>
      </c>
      <c r="C91" s="171">
        <v>895525</v>
      </c>
      <c r="D91" s="171" t="s">
        <v>440</v>
      </c>
      <c r="E91" s="169">
        <v>16.690000000000001</v>
      </c>
      <c r="F91" s="141"/>
      <c r="G91" s="188" t="s">
        <v>634</v>
      </c>
      <c r="H91" s="162">
        <v>3.12</v>
      </c>
      <c r="I91" s="46">
        <v>73089059</v>
      </c>
      <c r="J91" s="48"/>
    </row>
    <row r="92" spans="1:10" s="9" customFormat="1" x14ac:dyDescent="0.2">
      <c r="A92" s="140" t="s">
        <v>866</v>
      </c>
      <c r="B92" s="161" t="s">
        <v>97</v>
      </c>
      <c r="C92" s="46">
        <v>895326</v>
      </c>
      <c r="D92" s="46" t="s">
        <v>440</v>
      </c>
      <c r="E92" s="162">
        <v>21.53</v>
      </c>
      <c r="F92" s="141"/>
      <c r="G92" s="46" t="s">
        <v>635</v>
      </c>
      <c r="H92" s="165">
        <v>4.05</v>
      </c>
      <c r="I92" s="46">
        <v>73089059</v>
      </c>
      <c r="J92" s="48"/>
    </row>
    <row r="93" spans="1:10" s="9" customFormat="1" x14ac:dyDescent="0.2">
      <c r="A93" s="140" t="s">
        <v>963</v>
      </c>
      <c r="B93" s="177" t="s">
        <v>1408</v>
      </c>
      <c r="C93" s="171">
        <v>895327</v>
      </c>
      <c r="D93" s="171" t="s">
        <v>440</v>
      </c>
      <c r="E93" s="162">
        <v>28.16</v>
      </c>
      <c r="F93" s="141"/>
      <c r="G93" s="171" t="s">
        <v>1000</v>
      </c>
      <c r="H93" s="162">
        <v>5.22</v>
      </c>
      <c r="I93" s="46">
        <v>73089059</v>
      </c>
      <c r="J93" s="49"/>
    </row>
    <row r="94" spans="1:10" s="9" customFormat="1" x14ac:dyDescent="0.2">
      <c r="A94" s="140" t="s">
        <v>867</v>
      </c>
      <c r="B94" s="177" t="s">
        <v>1409</v>
      </c>
      <c r="C94" s="171">
        <v>895430</v>
      </c>
      <c r="D94" s="171" t="s">
        <v>440</v>
      </c>
      <c r="E94" s="162">
        <v>32.270000000000003</v>
      </c>
      <c r="F94" s="141"/>
      <c r="G94" s="171" t="s">
        <v>636</v>
      </c>
      <c r="H94" s="162">
        <v>6.09</v>
      </c>
      <c r="I94" s="46">
        <v>73089059</v>
      </c>
      <c r="J94" s="53"/>
    </row>
    <row r="95" spans="1:10" s="9" customFormat="1" ht="13.5" customHeight="1" x14ac:dyDescent="0.2">
      <c r="A95" s="140" t="s">
        <v>857</v>
      </c>
      <c r="B95" s="161" t="s">
        <v>377</v>
      </c>
      <c r="C95" s="46">
        <v>895413</v>
      </c>
      <c r="D95" s="46" t="s">
        <v>440</v>
      </c>
      <c r="E95" s="162">
        <v>13.39</v>
      </c>
      <c r="F95" s="141"/>
      <c r="G95" s="46" t="s">
        <v>637</v>
      </c>
      <c r="H95" s="165">
        <v>2</v>
      </c>
      <c r="I95" s="46">
        <v>73089059</v>
      </c>
      <c r="J95" s="53"/>
    </row>
    <row r="96" spans="1:10" s="9" customFormat="1" x14ac:dyDescent="0.2">
      <c r="A96" s="140" t="s">
        <v>868</v>
      </c>
      <c r="B96" s="161" t="s">
        <v>378</v>
      </c>
      <c r="C96" s="46">
        <v>895414</v>
      </c>
      <c r="D96" s="46" t="s">
        <v>440</v>
      </c>
      <c r="E96" s="162">
        <v>14.43</v>
      </c>
      <c r="F96" s="141"/>
      <c r="G96" s="46" t="s">
        <v>638</v>
      </c>
      <c r="H96" s="165">
        <v>2.08</v>
      </c>
      <c r="I96" s="46">
        <v>73089059</v>
      </c>
      <c r="J96" s="48"/>
    </row>
    <row r="97" spans="1:10" s="9" customFormat="1" x14ac:dyDescent="0.2">
      <c r="A97" s="140" t="s">
        <v>872</v>
      </c>
      <c r="B97" s="161" t="s">
        <v>99</v>
      </c>
      <c r="C97" s="46">
        <v>856210</v>
      </c>
      <c r="D97" s="46" t="s">
        <v>440</v>
      </c>
      <c r="E97" s="162">
        <v>7.25</v>
      </c>
      <c r="F97" s="141"/>
      <c r="G97" s="46" t="s">
        <v>642</v>
      </c>
      <c r="H97" s="165">
        <v>1.41</v>
      </c>
      <c r="I97" s="46">
        <v>73089059</v>
      </c>
      <c r="J97" s="48"/>
    </row>
    <row r="98" spans="1:10" s="9" customFormat="1" x14ac:dyDescent="0.2">
      <c r="A98" s="140" t="s">
        <v>869</v>
      </c>
      <c r="B98" s="161" t="s">
        <v>8</v>
      </c>
      <c r="C98" s="46">
        <v>856211</v>
      </c>
      <c r="D98" s="46" t="s">
        <v>440</v>
      </c>
      <c r="E98" s="162">
        <v>8.7100000000000009</v>
      </c>
      <c r="F98" s="141"/>
      <c r="G98" s="46" t="s">
        <v>639</v>
      </c>
      <c r="H98" s="165">
        <v>1.69</v>
      </c>
      <c r="I98" s="46">
        <v>73089059</v>
      </c>
      <c r="J98" s="49"/>
    </row>
    <row r="99" spans="1:10" s="9" customFormat="1" ht="15" x14ac:dyDescent="0.25">
      <c r="A99" s="140" t="s">
        <v>870</v>
      </c>
      <c r="B99" s="161" t="s">
        <v>1410</v>
      </c>
      <c r="C99" s="46">
        <v>856215</v>
      </c>
      <c r="D99" s="46" t="s">
        <v>440</v>
      </c>
      <c r="E99" s="162">
        <v>10.89</v>
      </c>
      <c r="F99" s="141"/>
      <c r="G99" s="46" t="s">
        <v>640</v>
      </c>
      <c r="H99" s="165">
        <v>2.11</v>
      </c>
      <c r="I99" s="46">
        <v>73089059</v>
      </c>
      <c r="J99" s="51"/>
    </row>
    <row r="100" spans="1:10" s="9" customFormat="1" x14ac:dyDescent="0.2">
      <c r="A100" s="140" t="s">
        <v>871</v>
      </c>
      <c r="B100" s="161" t="s">
        <v>98</v>
      </c>
      <c r="C100" s="46">
        <v>851117</v>
      </c>
      <c r="D100" s="46" t="s">
        <v>440</v>
      </c>
      <c r="E100" s="162">
        <v>12.35</v>
      </c>
      <c r="F100" s="141"/>
      <c r="G100" s="46" t="s">
        <v>641</v>
      </c>
      <c r="H100" s="165">
        <v>2.4</v>
      </c>
      <c r="I100" s="46">
        <v>73089059</v>
      </c>
      <c r="J100" s="49"/>
    </row>
    <row r="101" spans="1:10" s="9" customFormat="1" x14ac:dyDescent="0.2">
      <c r="A101" s="140" t="s">
        <v>875</v>
      </c>
      <c r="B101" s="161" t="s">
        <v>100</v>
      </c>
      <c r="C101" s="46">
        <v>851120</v>
      </c>
      <c r="D101" s="46" t="s">
        <v>440</v>
      </c>
      <c r="E101" s="162">
        <v>14.51</v>
      </c>
      <c r="F101" s="141"/>
      <c r="G101" s="46" t="s">
        <v>645</v>
      </c>
      <c r="H101" s="165">
        <v>2.83</v>
      </c>
      <c r="I101" s="46">
        <v>73089059</v>
      </c>
      <c r="J101" s="53"/>
    </row>
    <row r="102" spans="1:10" s="9" customFormat="1" x14ac:dyDescent="0.2">
      <c r="A102" s="140" t="s">
        <v>873</v>
      </c>
      <c r="B102" s="161" t="s">
        <v>114</v>
      </c>
      <c r="C102" s="46">
        <v>851122</v>
      </c>
      <c r="D102" s="46" t="s">
        <v>440</v>
      </c>
      <c r="E102" s="162">
        <v>15.99</v>
      </c>
      <c r="F102" s="141"/>
      <c r="G102" s="46" t="s">
        <v>643</v>
      </c>
      <c r="H102" s="195">
        <v>3.11</v>
      </c>
      <c r="I102" s="46">
        <v>73089059</v>
      </c>
      <c r="J102" s="48"/>
    </row>
    <row r="103" spans="1:10" s="9" customFormat="1" x14ac:dyDescent="0.2">
      <c r="A103" s="140" t="s">
        <v>874</v>
      </c>
      <c r="B103" s="161" t="s">
        <v>1411</v>
      </c>
      <c r="C103" s="46">
        <v>851125</v>
      </c>
      <c r="D103" s="46" t="s">
        <v>440</v>
      </c>
      <c r="E103" s="162">
        <v>18.149999999999999</v>
      </c>
      <c r="F103" s="141"/>
      <c r="G103" s="46" t="s">
        <v>644</v>
      </c>
      <c r="H103" s="163">
        <v>3.55</v>
      </c>
      <c r="I103" s="46">
        <v>73089059</v>
      </c>
      <c r="J103" s="48"/>
    </row>
    <row r="104" spans="1:10" s="9" customFormat="1" x14ac:dyDescent="0.2">
      <c r="A104" s="140" t="s">
        <v>878</v>
      </c>
      <c r="B104" s="161" t="s">
        <v>9</v>
      </c>
      <c r="C104" s="46">
        <v>851132</v>
      </c>
      <c r="D104" s="46" t="s">
        <v>440</v>
      </c>
      <c r="E104" s="162">
        <v>21.79</v>
      </c>
      <c r="F104" s="141"/>
      <c r="G104" s="46" t="s">
        <v>648</v>
      </c>
      <c r="H104" s="163">
        <v>4.24</v>
      </c>
      <c r="I104" s="46">
        <v>73089059</v>
      </c>
      <c r="J104" s="48"/>
    </row>
    <row r="105" spans="1:10" s="9" customFormat="1" x14ac:dyDescent="0.2">
      <c r="A105" s="140" t="s">
        <v>876</v>
      </c>
      <c r="B105" s="161" t="s">
        <v>101</v>
      </c>
      <c r="C105" s="46">
        <v>851135</v>
      </c>
      <c r="D105" s="46" t="s">
        <v>440</v>
      </c>
      <c r="E105" s="162">
        <v>25.4</v>
      </c>
      <c r="F105" s="141"/>
      <c r="G105" s="46" t="s">
        <v>646</v>
      </c>
      <c r="H105" s="163">
        <v>4.7300000000000004</v>
      </c>
      <c r="I105" s="46">
        <v>73089059</v>
      </c>
      <c r="J105" s="48"/>
    </row>
    <row r="106" spans="1:10" s="9" customFormat="1" x14ac:dyDescent="0.2">
      <c r="A106" s="140" t="s">
        <v>877</v>
      </c>
      <c r="B106" s="161" t="s">
        <v>102</v>
      </c>
      <c r="C106" s="46">
        <v>852137</v>
      </c>
      <c r="D106" s="46" t="s">
        <v>440</v>
      </c>
      <c r="E106" s="162">
        <v>26.88</v>
      </c>
      <c r="F106" s="141"/>
      <c r="G106" s="46" t="s">
        <v>647</v>
      </c>
      <c r="H106" s="163">
        <v>5.01</v>
      </c>
      <c r="I106" s="46">
        <v>73089059</v>
      </c>
      <c r="J106" s="49"/>
    </row>
    <row r="107" spans="1:10" s="9" customFormat="1" x14ac:dyDescent="0.2">
      <c r="A107" s="140" t="s">
        <v>879</v>
      </c>
      <c r="B107" s="161" t="s">
        <v>1412</v>
      </c>
      <c r="C107" s="46">
        <v>851162</v>
      </c>
      <c r="D107" s="46" t="s">
        <v>440</v>
      </c>
      <c r="E107" s="162">
        <v>43.58</v>
      </c>
      <c r="F107" s="141"/>
      <c r="G107" s="46" t="s">
        <v>649</v>
      </c>
      <c r="H107" s="163">
        <v>8.5</v>
      </c>
      <c r="I107" s="46">
        <v>73089059</v>
      </c>
      <c r="J107" s="49"/>
    </row>
    <row r="108" spans="1:10" s="9" customFormat="1" x14ac:dyDescent="0.2">
      <c r="A108" s="140" t="s">
        <v>964</v>
      </c>
      <c r="B108" s="161" t="s">
        <v>560</v>
      </c>
      <c r="C108" s="46">
        <v>895625</v>
      </c>
      <c r="D108" s="46" t="s">
        <v>440</v>
      </c>
      <c r="E108" s="162">
        <v>2.08</v>
      </c>
      <c r="F108" s="141"/>
      <c r="G108" s="46" t="s">
        <v>1001</v>
      </c>
      <c r="H108" s="163">
        <v>0.28000000000000003</v>
      </c>
      <c r="I108" s="46">
        <v>73089059</v>
      </c>
      <c r="J108" s="49"/>
    </row>
    <row r="109" spans="1:10" s="9" customFormat="1" x14ac:dyDescent="0.2">
      <c r="A109" s="144" t="s">
        <v>852</v>
      </c>
      <c r="B109" s="161" t="s">
        <v>430</v>
      </c>
      <c r="C109" s="46">
        <v>895603</v>
      </c>
      <c r="D109" s="46" t="s">
        <v>440</v>
      </c>
      <c r="E109" s="162">
        <v>2.4700000000000002</v>
      </c>
      <c r="F109" s="141"/>
      <c r="G109" s="46" t="s">
        <v>650</v>
      </c>
      <c r="H109" s="195">
        <v>0.33</v>
      </c>
      <c r="I109" s="46">
        <v>73089059</v>
      </c>
      <c r="J109" s="48"/>
    </row>
    <row r="110" spans="1:10" s="9" customFormat="1" x14ac:dyDescent="0.2">
      <c r="A110" s="140" t="s">
        <v>965</v>
      </c>
      <c r="B110" s="161" t="s">
        <v>561</v>
      </c>
      <c r="C110" s="46">
        <v>895635</v>
      </c>
      <c r="D110" s="46" t="s">
        <v>440</v>
      </c>
      <c r="E110" s="162">
        <v>2.89</v>
      </c>
      <c r="F110" s="141"/>
      <c r="G110" s="46" t="s">
        <v>1002</v>
      </c>
      <c r="H110" s="195">
        <v>0.39</v>
      </c>
      <c r="I110" s="46">
        <v>73089059</v>
      </c>
      <c r="J110" s="48"/>
    </row>
    <row r="111" spans="1:10" s="9" customFormat="1" x14ac:dyDescent="0.2">
      <c r="A111" s="140" t="s">
        <v>853</v>
      </c>
      <c r="B111" s="161" t="s">
        <v>431</v>
      </c>
      <c r="C111" s="46">
        <v>895604</v>
      </c>
      <c r="D111" s="46" t="s">
        <v>440</v>
      </c>
      <c r="E111" s="162">
        <v>3.72</v>
      </c>
      <c r="F111" s="141"/>
      <c r="G111" s="46" t="s">
        <v>651</v>
      </c>
      <c r="H111" s="163">
        <v>0.49</v>
      </c>
      <c r="I111" s="46">
        <v>73089059</v>
      </c>
      <c r="J111" s="48"/>
    </row>
    <row r="112" spans="1:10" s="9" customFormat="1" x14ac:dyDescent="0.2">
      <c r="A112" s="140" t="s">
        <v>854</v>
      </c>
      <c r="B112" s="161" t="s">
        <v>432</v>
      </c>
      <c r="C112" s="46">
        <v>895605</v>
      </c>
      <c r="D112" s="46" t="s">
        <v>440</v>
      </c>
      <c r="E112" s="162">
        <v>4.55</v>
      </c>
      <c r="F112" s="141"/>
      <c r="G112" s="46" t="s">
        <v>652</v>
      </c>
      <c r="H112" s="163">
        <v>0.6</v>
      </c>
      <c r="I112" s="46">
        <v>73089059</v>
      </c>
      <c r="J112" s="48"/>
    </row>
    <row r="113" spans="1:10" s="9" customFormat="1" x14ac:dyDescent="0.2">
      <c r="A113" s="140" t="s">
        <v>857</v>
      </c>
      <c r="B113" s="161" t="s">
        <v>1413</v>
      </c>
      <c r="C113" s="46">
        <v>895613</v>
      </c>
      <c r="D113" s="46" t="s">
        <v>440</v>
      </c>
      <c r="E113" s="162">
        <v>10.220000000000001</v>
      </c>
      <c r="F113" s="141"/>
      <c r="G113" s="46" t="s">
        <v>653</v>
      </c>
      <c r="H113" s="195">
        <v>1.4</v>
      </c>
      <c r="I113" s="46">
        <v>73089059</v>
      </c>
      <c r="J113" s="48"/>
    </row>
    <row r="114" spans="1:10" s="9" customFormat="1" x14ac:dyDescent="0.2">
      <c r="A114" s="140" t="s">
        <v>865</v>
      </c>
      <c r="B114" s="161" t="s">
        <v>1414</v>
      </c>
      <c r="C114" s="46">
        <v>895615</v>
      </c>
      <c r="D114" s="46" t="s">
        <v>440</v>
      </c>
      <c r="E114" s="162">
        <v>11.8</v>
      </c>
      <c r="F114" s="141"/>
      <c r="G114" s="46" t="s">
        <v>654</v>
      </c>
      <c r="H114" s="195">
        <v>1.62</v>
      </c>
      <c r="I114" s="46">
        <v>73089059</v>
      </c>
      <c r="J114" s="48"/>
    </row>
    <row r="115" spans="1:10" s="9" customFormat="1" x14ac:dyDescent="0.2">
      <c r="A115" s="140" t="s">
        <v>860</v>
      </c>
      <c r="B115" s="161" t="s">
        <v>1415</v>
      </c>
      <c r="C115" s="46">
        <v>864510</v>
      </c>
      <c r="D115" s="46" t="s">
        <v>440</v>
      </c>
      <c r="E115" s="162">
        <v>15.68</v>
      </c>
      <c r="F115" s="141"/>
      <c r="G115" s="46" t="s">
        <v>655</v>
      </c>
      <c r="H115" s="195">
        <v>3.13</v>
      </c>
      <c r="I115" s="46">
        <v>73089059</v>
      </c>
      <c r="J115" s="48"/>
    </row>
    <row r="116" spans="1:10" s="9" customFormat="1" x14ac:dyDescent="0.2">
      <c r="A116" s="140" t="s">
        <v>866</v>
      </c>
      <c r="B116" s="161" t="s">
        <v>287</v>
      </c>
      <c r="C116" s="46">
        <v>864520</v>
      </c>
      <c r="D116" s="46" t="s">
        <v>440</v>
      </c>
      <c r="E116" s="162">
        <v>31.46</v>
      </c>
      <c r="F116" s="141"/>
      <c r="G116" s="46" t="s">
        <v>656</v>
      </c>
      <c r="H116" s="195">
        <v>6.26</v>
      </c>
      <c r="I116" s="46">
        <v>73089059</v>
      </c>
      <c r="J116" s="48"/>
    </row>
    <row r="117" spans="1:10" s="9" customFormat="1" x14ac:dyDescent="0.2">
      <c r="A117" s="140" t="s">
        <v>867</v>
      </c>
      <c r="B117" s="161" t="s">
        <v>288</v>
      </c>
      <c r="C117" s="46">
        <v>864530</v>
      </c>
      <c r="D117" s="46" t="s">
        <v>440</v>
      </c>
      <c r="E117" s="162">
        <v>47.19</v>
      </c>
      <c r="F117" s="141"/>
      <c r="G117" s="46" t="s">
        <v>657</v>
      </c>
      <c r="H117" s="163">
        <v>9.4510000000000005</v>
      </c>
      <c r="I117" s="46">
        <v>73089059</v>
      </c>
      <c r="J117" s="49"/>
    </row>
    <row r="118" spans="1:10" s="9" customFormat="1" x14ac:dyDescent="0.2">
      <c r="A118" s="140" t="s">
        <v>880</v>
      </c>
      <c r="B118" s="161" t="s">
        <v>289</v>
      </c>
      <c r="C118" s="46">
        <v>864540</v>
      </c>
      <c r="D118" s="46" t="s">
        <v>440</v>
      </c>
      <c r="E118" s="162">
        <v>62.92</v>
      </c>
      <c r="F118" s="141"/>
      <c r="G118" s="46" t="s">
        <v>658</v>
      </c>
      <c r="H118" s="163">
        <v>12.5</v>
      </c>
      <c r="I118" s="46">
        <v>73089059</v>
      </c>
      <c r="J118" s="49"/>
    </row>
    <row r="119" spans="1:10" s="9" customFormat="1" x14ac:dyDescent="0.2">
      <c r="A119" s="140" t="s">
        <v>890</v>
      </c>
      <c r="B119" s="161" t="s">
        <v>1416</v>
      </c>
      <c r="C119" s="46">
        <v>867524</v>
      </c>
      <c r="D119" s="46" t="s">
        <v>440</v>
      </c>
      <c r="E119" s="162">
        <v>41.89</v>
      </c>
      <c r="F119" s="141"/>
      <c r="G119" s="46">
        <v>5900993251579</v>
      </c>
      <c r="H119" s="163">
        <v>10.029999999999999</v>
      </c>
      <c r="I119" s="46">
        <v>73089059</v>
      </c>
      <c r="J119" s="48"/>
    </row>
    <row r="120" spans="1:10" s="9" customFormat="1" x14ac:dyDescent="0.2">
      <c r="A120" s="140" t="s">
        <v>988</v>
      </c>
      <c r="B120" s="170" t="s">
        <v>1417</v>
      </c>
      <c r="C120" s="171">
        <v>867503</v>
      </c>
      <c r="D120" s="46" t="s">
        <v>440</v>
      </c>
      <c r="E120" s="162">
        <v>52.34</v>
      </c>
      <c r="F120" s="141"/>
      <c r="G120" s="171">
        <v>5900993251593</v>
      </c>
      <c r="H120" s="169">
        <v>12.22</v>
      </c>
      <c r="I120" s="46">
        <v>73089059</v>
      </c>
      <c r="J120" s="49"/>
    </row>
    <row r="121" spans="1:10" s="9" customFormat="1" x14ac:dyDescent="0.2">
      <c r="A121" s="140" t="s">
        <v>886</v>
      </c>
      <c r="B121" s="161" t="s">
        <v>1418</v>
      </c>
      <c r="C121" s="46">
        <v>867532</v>
      </c>
      <c r="D121" s="46" t="s">
        <v>440</v>
      </c>
      <c r="E121" s="162">
        <v>55.82</v>
      </c>
      <c r="F121" s="141"/>
      <c r="G121" s="46">
        <v>5900993251609</v>
      </c>
      <c r="H121" s="163">
        <v>13.08</v>
      </c>
      <c r="I121" s="46">
        <v>73089059</v>
      </c>
      <c r="J121" s="48"/>
    </row>
    <row r="122" spans="1:10" s="9" customFormat="1" ht="12.75" customHeight="1" x14ac:dyDescent="0.2">
      <c r="A122" s="140" t="s">
        <v>882</v>
      </c>
      <c r="B122" s="196" t="s">
        <v>1419</v>
      </c>
      <c r="C122" s="197">
        <v>867534</v>
      </c>
      <c r="D122" s="197" t="s">
        <v>440</v>
      </c>
      <c r="E122" s="162">
        <v>76.78</v>
      </c>
      <c r="F122" s="141"/>
      <c r="G122" s="197">
        <v>5900993251623</v>
      </c>
      <c r="H122" s="198">
        <v>15.31</v>
      </c>
      <c r="I122" s="46">
        <v>73089059</v>
      </c>
      <c r="J122" s="49"/>
    </row>
    <row r="123" spans="1:10" s="9" customFormat="1" x14ac:dyDescent="0.2">
      <c r="A123" s="140" t="s">
        <v>881</v>
      </c>
      <c r="B123" s="161" t="s">
        <v>241</v>
      </c>
      <c r="C123" s="46">
        <v>867633</v>
      </c>
      <c r="D123" s="46" t="s">
        <v>440</v>
      </c>
      <c r="E123" s="162">
        <v>45.86</v>
      </c>
      <c r="F123" s="141"/>
      <c r="G123" s="46" t="s">
        <v>659</v>
      </c>
      <c r="H123" s="163">
        <v>9.9600000000000009</v>
      </c>
      <c r="I123" s="46">
        <v>73089059</v>
      </c>
      <c r="J123" s="49"/>
    </row>
    <row r="124" spans="1:10" s="9" customFormat="1" x14ac:dyDescent="0.2">
      <c r="A124" s="140" t="s">
        <v>882</v>
      </c>
      <c r="B124" s="161" t="s">
        <v>240</v>
      </c>
      <c r="C124" s="46">
        <v>867644</v>
      </c>
      <c r="D124" s="46" t="s">
        <v>440</v>
      </c>
      <c r="E124" s="162">
        <v>61.15</v>
      </c>
      <c r="F124" s="141"/>
      <c r="G124" s="46" t="s">
        <v>660</v>
      </c>
      <c r="H124" s="163">
        <v>13.4</v>
      </c>
      <c r="I124" s="46">
        <v>73089059</v>
      </c>
      <c r="J124" s="48"/>
    </row>
    <row r="125" spans="1:10" s="9" customFormat="1" x14ac:dyDescent="0.2">
      <c r="A125" s="140" t="s">
        <v>883</v>
      </c>
      <c r="B125" s="170" t="s">
        <v>286</v>
      </c>
      <c r="C125" s="171">
        <v>867566</v>
      </c>
      <c r="D125" s="46" t="s">
        <v>440</v>
      </c>
      <c r="E125" s="162">
        <v>91.73</v>
      </c>
      <c r="F125" s="141"/>
      <c r="G125" s="171" t="s">
        <v>661</v>
      </c>
      <c r="H125" s="169">
        <v>20.3</v>
      </c>
      <c r="I125" s="46">
        <v>73089059</v>
      </c>
      <c r="J125" s="48"/>
    </row>
    <row r="126" spans="1:10" s="9" customFormat="1" x14ac:dyDescent="0.2">
      <c r="A126" s="140" t="s">
        <v>884</v>
      </c>
      <c r="B126" s="161" t="s">
        <v>1420</v>
      </c>
      <c r="C126" s="171">
        <v>898940</v>
      </c>
      <c r="D126" s="46" t="s">
        <v>440</v>
      </c>
      <c r="E126" s="162">
        <v>47.32</v>
      </c>
      <c r="F126" s="141"/>
      <c r="G126" s="46" t="s">
        <v>662</v>
      </c>
      <c r="H126" s="169">
        <v>11.4</v>
      </c>
      <c r="I126" s="46">
        <v>73089059</v>
      </c>
      <c r="J126" s="48"/>
    </row>
    <row r="127" spans="1:10" s="9" customFormat="1" x14ac:dyDescent="0.2">
      <c r="A127" s="140" t="s">
        <v>881</v>
      </c>
      <c r="B127" s="176" t="s">
        <v>373</v>
      </c>
      <c r="C127" s="171">
        <v>881533</v>
      </c>
      <c r="D127" s="171" t="s">
        <v>440</v>
      </c>
      <c r="E127" s="162">
        <v>45.86</v>
      </c>
      <c r="F127" s="141"/>
      <c r="G127" s="171" t="s">
        <v>663</v>
      </c>
      <c r="H127" s="169">
        <v>9.52</v>
      </c>
      <c r="I127" s="46">
        <v>73089059</v>
      </c>
      <c r="J127" s="48"/>
    </row>
    <row r="128" spans="1:10" s="9" customFormat="1" x14ac:dyDescent="0.2">
      <c r="A128" s="140" t="s">
        <v>882</v>
      </c>
      <c r="B128" s="161" t="s">
        <v>374</v>
      </c>
      <c r="C128" s="46">
        <v>881544</v>
      </c>
      <c r="D128" s="46" t="s">
        <v>440</v>
      </c>
      <c r="E128" s="169">
        <v>61.15</v>
      </c>
      <c r="F128" s="141"/>
      <c r="G128" s="46" t="s">
        <v>664</v>
      </c>
      <c r="H128" s="163">
        <v>12.8</v>
      </c>
      <c r="I128" s="46">
        <v>73089059</v>
      </c>
      <c r="J128" s="48"/>
    </row>
    <row r="129" spans="1:10" s="9" customFormat="1" x14ac:dyDescent="0.2">
      <c r="A129" s="140" t="s">
        <v>883</v>
      </c>
      <c r="B129" s="47" t="s">
        <v>375</v>
      </c>
      <c r="C129" s="46">
        <v>881566</v>
      </c>
      <c r="D129" s="46" t="s">
        <v>440</v>
      </c>
      <c r="E129" s="169">
        <v>91.73</v>
      </c>
      <c r="F129" s="141"/>
      <c r="G129" s="46" t="s">
        <v>665</v>
      </c>
      <c r="H129" s="163">
        <v>19.399999999999999</v>
      </c>
      <c r="I129" s="46">
        <v>73089059</v>
      </c>
      <c r="J129" s="48"/>
    </row>
    <row r="130" spans="1:10" s="9" customFormat="1" x14ac:dyDescent="0.2">
      <c r="A130" s="140" t="s">
        <v>885</v>
      </c>
      <c r="B130" s="161" t="s">
        <v>1421</v>
      </c>
      <c r="C130" s="46">
        <v>8951155</v>
      </c>
      <c r="D130" s="46" t="s">
        <v>440</v>
      </c>
      <c r="E130" s="162">
        <v>40.9</v>
      </c>
      <c r="F130" s="141"/>
      <c r="G130" s="46" t="s">
        <v>666</v>
      </c>
      <c r="H130" s="163">
        <v>9.5299999999999994</v>
      </c>
      <c r="I130" s="46">
        <v>73089059</v>
      </c>
      <c r="J130" s="48"/>
    </row>
    <row r="131" spans="1:10" s="9" customFormat="1" x14ac:dyDescent="0.2">
      <c r="A131" s="140" t="s">
        <v>886</v>
      </c>
      <c r="B131" s="161" t="s">
        <v>1422</v>
      </c>
      <c r="C131" s="46">
        <v>895132</v>
      </c>
      <c r="D131" s="46" t="s">
        <v>440</v>
      </c>
      <c r="E131" s="162">
        <v>87.26</v>
      </c>
      <c r="F131" s="141"/>
      <c r="G131" s="46" t="s">
        <v>667</v>
      </c>
      <c r="H131" s="163">
        <v>20.329999999999998</v>
      </c>
      <c r="I131" s="46">
        <v>73089059</v>
      </c>
      <c r="J131" s="49"/>
    </row>
    <row r="132" spans="1:10" s="9" customFormat="1" x14ac:dyDescent="0.2">
      <c r="A132" s="140" t="s">
        <v>887</v>
      </c>
      <c r="B132" s="161" t="s">
        <v>1423</v>
      </c>
      <c r="C132" s="46">
        <v>855136</v>
      </c>
      <c r="D132" s="46" t="s">
        <v>440</v>
      </c>
      <c r="E132" s="162">
        <v>97.84</v>
      </c>
      <c r="F132" s="141"/>
      <c r="G132" s="46" t="s">
        <v>668</v>
      </c>
      <c r="H132" s="163">
        <v>22.24</v>
      </c>
      <c r="I132" s="46">
        <v>73089059</v>
      </c>
      <c r="J132" s="48"/>
    </row>
    <row r="133" spans="1:10" s="9" customFormat="1" x14ac:dyDescent="0.2">
      <c r="A133" s="140" t="s">
        <v>888</v>
      </c>
      <c r="B133" s="161" t="s">
        <v>326</v>
      </c>
      <c r="C133" s="46">
        <v>620412</v>
      </c>
      <c r="D133" s="46" t="s">
        <v>440</v>
      </c>
      <c r="E133" s="162">
        <v>14.01</v>
      </c>
      <c r="F133" s="141"/>
      <c r="G133" s="46" t="s">
        <v>669</v>
      </c>
      <c r="H133" s="163">
        <v>2.87</v>
      </c>
      <c r="I133" s="46">
        <v>73089059</v>
      </c>
      <c r="J133" s="49"/>
    </row>
    <row r="134" spans="1:10" s="9" customFormat="1" x14ac:dyDescent="0.2">
      <c r="A134" s="140" t="s">
        <v>966</v>
      </c>
      <c r="B134" s="170" t="s">
        <v>1424</v>
      </c>
      <c r="C134" s="171">
        <v>620416</v>
      </c>
      <c r="D134" s="171" t="s">
        <v>440</v>
      </c>
      <c r="E134" s="162">
        <v>18.899999999999999</v>
      </c>
      <c r="F134" s="141"/>
      <c r="G134" s="171" t="s">
        <v>1003</v>
      </c>
      <c r="H134" s="169">
        <v>2.87</v>
      </c>
      <c r="I134" s="46">
        <v>73089059</v>
      </c>
      <c r="J134" s="49"/>
    </row>
    <row r="135" spans="1:10" s="9" customFormat="1" x14ac:dyDescent="0.2">
      <c r="A135" s="140" t="s">
        <v>881</v>
      </c>
      <c r="B135" s="170" t="s">
        <v>327</v>
      </c>
      <c r="C135" s="171">
        <v>620413</v>
      </c>
      <c r="D135" s="171" t="s">
        <v>440</v>
      </c>
      <c r="E135" s="162">
        <v>21.01</v>
      </c>
      <c r="F135" s="141"/>
      <c r="G135" s="171" t="s">
        <v>670</v>
      </c>
      <c r="H135" s="169">
        <v>4.3</v>
      </c>
      <c r="I135" s="46">
        <v>73089059</v>
      </c>
      <c r="J135" s="49"/>
    </row>
    <row r="136" spans="1:10" s="9" customFormat="1" x14ac:dyDescent="0.2">
      <c r="A136" s="140" t="s">
        <v>967</v>
      </c>
      <c r="B136" s="170" t="s">
        <v>1425</v>
      </c>
      <c r="C136" s="171">
        <v>620417</v>
      </c>
      <c r="D136" s="171" t="s">
        <v>440</v>
      </c>
      <c r="E136" s="162">
        <v>28.37</v>
      </c>
      <c r="F136" s="141"/>
      <c r="G136" s="171" t="s">
        <v>1004</v>
      </c>
      <c r="H136" s="169">
        <v>4.3</v>
      </c>
      <c r="I136" s="46">
        <v>73089059</v>
      </c>
      <c r="J136" s="49"/>
    </row>
    <row r="137" spans="1:10" s="9" customFormat="1" x14ac:dyDescent="0.2">
      <c r="A137" s="140" t="s">
        <v>889</v>
      </c>
      <c r="B137" s="180" t="s">
        <v>290</v>
      </c>
      <c r="C137" s="181">
        <v>867810</v>
      </c>
      <c r="D137" s="181" t="s">
        <v>440</v>
      </c>
      <c r="E137" s="162">
        <v>17.5</v>
      </c>
      <c r="F137" s="141"/>
      <c r="G137" s="181" t="s">
        <v>671</v>
      </c>
      <c r="H137" s="182">
        <v>3.67</v>
      </c>
      <c r="I137" s="46">
        <v>73089059</v>
      </c>
      <c r="J137" s="49"/>
    </row>
    <row r="138" spans="1:10" s="9" customFormat="1" x14ac:dyDescent="0.2">
      <c r="A138" s="140" t="s">
        <v>890</v>
      </c>
      <c r="B138" s="180" t="s">
        <v>292</v>
      </c>
      <c r="C138" s="181">
        <v>867824</v>
      </c>
      <c r="D138" s="181" t="s">
        <v>440</v>
      </c>
      <c r="E138" s="162">
        <v>41.99</v>
      </c>
      <c r="F138" s="141"/>
      <c r="G138" s="181" t="s">
        <v>672</v>
      </c>
      <c r="H138" s="182">
        <v>8.81</v>
      </c>
      <c r="I138" s="46">
        <v>73089059</v>
      </c>
      <c r="J138" s="49"/>
    </row>
    <row r="139" spans="1:10" s="9" customFormat="1" x14ac:dyDescent="0.2">
      <c r="A139" s="140" t="s">
        <v>891</v>
      </c>
      <c r="B139" s="180" t="s">
        <v>291</v>
      </c>
      <c r="C139" s="181">
        <v>867820</v>
      </c>
      <c r="D139" s="181" t="s">
        <v>440</v>
      </c>
      <c r="E139" s="162">
        <v>35</v>
      </c>
      <c r="F139" s="141"/>
      <c r="G139" s="181" t="s">
        <v>673</v>
      </c>
      <c r="H139" s="182">
        <v>7.21</v>
      </c>
      <c r="I139" s="46">
        <v>73089059</v>
      </c>
      <c r="J139" s="49"/>
    </row>
    <row r="140" spans="1:10" s="9" customFormat="1" x14ac:dyDescent="0.2">
      <c r="A140" s="140" t="s">
        <v>886</v>
      </c>
      <c r="B140" s="180" t="s">
        <v>247</v>
      </c>
      <c r="C140" s="181">
        <v>867832</v>
      </c>
      <c r="D140" s="181" t="s">
        <v>440</v>
      </c>
      <c r="E140" s="162">
        <v>56</v>
      </c>
      <c r="F140" s="141"/>
      <c r="G140" s="181" t="s">
        <v>674</v>
      </c>
      <c r="H140" s="182">
        <v>11.8</v>
      </c>
      <c r="I140" s="46">
        <v>73089059</v>
      </c>
      <c r="J140" s="49"/>
    </row>
    <row r="141" spans="1:10" s="9" customFormat="1" x14ac:dyDescent="0.2">
      <c r="A141" s="140" t="s">
        <v>892</v>
      </c>
      <c r="B141" s="180" t="s">
        <v>294</v>
      </c>
      <c r="C141" s="181">
        <v>867834</v>
      </c>
      <c r="D141" s="181" t="s">
        <v>440</v>
      </c>
      <c r="E141" s="162">
        <v>59.51</v>
      </c>
      <c r="F141" s="141"/>
      <c r="G141" s="181" t="s">
        <v>675</v>
      </c>
      <c r="H141" s="182">
        <v>12.5</v>
      </c>
      <c r="I141" s="46">
        <v>73089059</v>
      </c>
      <c r="J141" s="49"/>
    </row>
    <row r="142" spans="1:10" s="9" customFormat="1" x14ac:dyDescent="0.2">
      <c r="A142" s="140" t="s">
        <v>893</v>
      </c>
      <c r="B142" s="180" t="s">
        <v>293</v>
      </c>
      <c r="C142" s="181">
        <v>867830</v>
      </c>
      <c r="D142" s="181" t="s">
        <v>440</v>
      </c>
      <c r="E142" s="162">
        <v>52.49</v>
      </c>
      <c r="F142" s="141"/>
      <c r="G142" s="181" t="s">
        <v>676</v>
      </c>
      <c r="H142" s="182">
        <v>11</v>
      </c>
      <c r="I142" s="46">
        <v>73089059</v>
      </c>
      <c r="J142" s="49"/>
    </row>
    <row r="143" spans="1:10" s="9" customFormat="1" x14ac:dyDescent="0.2">
      <c r="A143" s="140" t="s">
        <v>882</v>
      </c>
      <c r="B143" s="177" t="s">
        <v>295</v>
      </c>
      <c r="C143" s="171">
        <v>867844</v>
      </c>
      <c r="D143" s="171" t="s">
        <v>440</v>
      </c>
      <c r="E143" s="162">
        <v>76.989999999999995</v>
      </c>
      <c r="F143" s="141"/>
      <c r="G143" s="171" t="s">
        <v>677</v>
      </c>
      <c r="H143" s="162">
        <v>16.100000000000001</v>
      </c>
      <c r="I143" s="46">
        <v>73089059</v>
      </c>
      <c r="J143" s="49"/>
    </row>
    <row r="144" spans="1:10" s="9" customFormat="1" x14ac:dyDescent="0.2">
      <c r="A144" s="140" t="s">
        <v>1094</v>
      </c>
      <c r="B144" s="161" t="s">
        <v>1426</v>
      </c>
      <c r="C144" s="46">
        <v>876507</v>
      </c>
      <c r="D144" s="46" t="s">
        <v>440</v>
      </c>
      <c r="E144" s="162">
        <v>107.3</v>
      </c>
      <c r="F144" s="141"/>
      <c r="G144" s="46" t="s">
        <v>1095</v>
      </c>
      <c r="H144" s="163">
        <v>22.22</v>
      </c>
      <c r="I144" s="46">
        <v>73089059</v>
      </c>
      <c r="J144" s="49"/>
    </row>
    <row r="145" spans="1:10" s="9" customFormat="1" x14ac:dyDescent="0.2">
      <c r="A145" s="140" t="s">
        <v>1096</v>
      </c>
      <c r="B145" s="161" t="s">
        <v>1427</v>
      </c>
      <c r="C145" s="46">
        <v>876508</v>
      </c>
      <c r="D145" s="46" t="s">
        <v>440</v>
      </c>
      <c r="E145" s="162">
        <v>107.3</v>
      </c>
      <c r="F145" s="141"/>
      <c r="G145" s="46" t="s">
        <v>1097</v>
      </c>
      <c r="H145" s="163">
        <v>22.22</v>
      </c>
      <c r="I145" s="46">
        <v>73089059</v>
      </c>
      <c r="J145" s="49"/>
    </row>
    <row r="146" spans="1:10" s="9" customFormat="1" x14ac:dyDescent="0.2">
      <c r="A146" s="140" t="s">
        <v>894</v>
      </c>
      <c r="B146" s="177" t="s">
        <v>157</v>
      </c>
      <c r="C146" s="171">
        <v>899916</v>
      </c>
      <c r="D146" s="171" t="s">
        <v>440</v>
      </c>
      <c r="E146" s="169">
        <v>2.68</v>
      </c>
      <c r="F146" s="141"/>
      <c r="G146" s="171" t="s">
        <v>678</v>
      </c>
      <c r="H146" s="162">
        <v>1.2999999999999999E-2</v>
      </c>
      <c r="I146" s="46">
        <v>73181520</v>
      </c>
      <c r="J146" s="49"/>
    </row>
    <row r="147" spans="1:10" s="9" customFormat="1" x14ac:dyDescent="0.2">
      <c r="A147" s="142" t="s">
        <v>894</v>
      </c>
      <c r="B147" s="176" t="s">
        <v>158</v>
      </c>
      <c r="C147" s="171">
        <v>899920</v>
      </c>
      <c r="D147" s="171" t="s">
        <v>440</v>
      </c>
      <c r="E147" s="162">
        <v>2.73</v>
      </c>
      <c r="F147" s="141"/>
      <c r="G147" s="171" t="s">
        <v>679</v>
      </c>
      <c r="H147" s="169">
        <v>1.4999999999999999E-2</v>
      </c>
      <c r="I147" s="46">
        <v>73181520</v>
      </c>
      <c r="J147" s="49"/>
    </row>
    <row r="148" spans="1:10" s="9" customFormat="1" x14ac:dyDescent="0.2">
      <c r="A148" s="140" t="s">
        <v>894</v>
      </c>
      <c r="B148" s="176" t="s">
        <v>159</v>
      </c>
      <c r="C148" s="171">
        <v>899925</v>
      </c>
      <c r="D148" s="171" t="s">
        <v>440</v>
      </c>
      <c r="E148" s="162">
        <v>2.78</v>
      </c>
      <c r="F148" s="141"/>
      <c r="G148" s="171" t="s">
        <v>680</v>
      </c>
      <c r="H148" s="169">
        <v>1.7000000000000001E-2</v>
      </c>
      <c r="I148" s="46">
        <v>73181520</v>
      </c>
      <c r="J148" s="49"/>
    </row>
    <row r="149" spans="1:10" s="9" customFormat="1" x14ac:dyDescent="0.2">
      <c r="A149" s="140" t="s">
        <v>894</v>
      </c>
      <c r="B149" s="177" t="s">
        <v>160</v>
      </c>
      <c r="C149" s="171">
        <v>899932</v>
      </c>
      <c r="D149" s="171" t="s">
        <v>440</v>
      </c>
      <c r="E149" s="162">
        <v>2.86</v>
      </c>
      <c r="F149" s="141"/>
      <c r="G149" s="171" t="s">
        <v>681</v>
      </c>
      <c r="H149" s="162">
        <v>0.02</v>
      </c>
      <c r="I149" s="46">
        <v>73181520</v>
      </c>
      <c r="J149" s="49"/>
    </row>
    <row r="150" spans="1:10" s="9" customFormat="1" x14ac:dyDescent="0.2">
      <c r="A150" s="140" t="s">
        <v>894</v>
      </c>
      <c r="B150" s="161" t="s">
        <v>1428</v>
      </c>
      <c r="C150" s="46">
        <v>899940</v>
      </c>
      <c r="D150" s="46" t="s">
        <v>440</v>
      </c>
      <c r="E150" s="162">
        <v>2.86</v>
      </c>
      <c r="F150" s="141"/>
      <c r="G150" s="46" t="s">
        <v>682</v>
      </c>
      <c r="H150" s="163">
        <v>2.4E-2</v>
      </c>
      <c r="I150" s="46">
        <v>73181520</v>
      </c>
      <c r="J150" s="49"/>
    </row>
    <row r="151" spans="1:10" s="9" customFormat="1" x14ac:dyDescent="0.2">
      <c r="A151" s="140" t="s">
        <v>894</v>
      </c>
      <c r="B151" s="177" t="s">
        <v>161</v>
      </c>
      <c r="C151" s="171">
        <v>899950</v>
      </c>
      <c r="D151" s="171" t="s">
        <v>440</v>
      </c>
      <c r="E151" s="169">
        <v>3.15</v>
      </c>
      <c r="F151" s="141"/>
      <c r="G151" s="171" t="s">
        <v>683</v>
      </c>
      <c r="H151" s="162">
        <v>2.8000000000000001E-2</v>
      </c>
      <c r="I151" s="46">
        <v>73181520</v>
      </c>
      <c r="J151" s="49"/>
    </row>
    <row r="152" spans="1:10" s="9" customFormat="1" x14ac:dyDescent="0.2">
      <c r="A152" s="140" t="s">
        <v>894</v>
      </c>
      <c r="B152" s="177" t="s">
        <v>162</v>
      </c>
      <c r="C152" s="171">
        <v>899960</v>
      </c>
      <c r="D152" s="171" t="s">
        <v>440</v>
      </c>
      <c r="E152" s="162">
        <v>3.3</v>
      </c>
      <c r="F152" s="141"/>
      <c r="G152" s="171" t="s">
        <v>684</v>
      </c>
      <c r="H152" s="162">
        <v>3.2000000000000001E-2</v>
      </c>
      <c r="I152" s="46">
        <v>73181520</v>
      </c>
      <c r="J152" s="49"/>
    </row>
    <row r="153" spans="1:10" s="9" customFormat="1" x14ac:dyDescent="0.2">
      <c r="A153" s="140" t="s">
        <v>894</v>
      </c>
      <c r="B153" s="177" t="s">
        <v>163</v>
      </c>
      <c r="C153" s="171">
        <v>899963</v>
      </c>
      <c r="D153" s="171" t="s">
        <v>440</v>
      </c>
      <c r="E153" s="162">
        <v>3.54</v>
      </c>
      <c r="F153" s="141"/>
      <c r="G153" s="171" t="s">
        <v>685</v>
      </c>
      <c r="H153" s="162">
        <v>3.4000000000000002E-2</v>
      </c>
      <c r="I153" s="46">
        <v>73181520</v>
      </c>
      <c r="J153" s="49"/>
    </row>
    <row r="154" spans="1:10" s="9" customFormat="1" x14ac:dyDescent="0.2">
      <c r="A154" s="140" t="s">
        <v>895</v>
      </c>
      <c r="B154" s="170" t="s">
        <v>152</v>
      </c>
      <c r="C154" s="171">
        <v>899820</v>
      </c>
      <c r="D154" s="171" t="s">
        <v>440</v>
      </c>
      <c r="E154" s="162">
        <v>2.1800000000000002</v>
      </c>
      <c r="F154" s="141"/>
      <c r="G154" s="171" t="s">
        <v>686</v>
      </c>
      <c r="H154" s="169">
        <v>1.9E-2</v>
      </c>
      <c r="I154" s="46">
        <v>73181520</v>
      </c>
      <c r="J154" s="49"/>
    </row>
    <row r="155" spans="1:10" s="9" customFormat="1" x14ac:dyDescent="0.2">
      <c r="A155" s="140" t="s">
        <v>895</v>
      </c>
      <c r="B155" s="176" t="s">
        <v>153</v>
      </c>
      <c r="C155" s="171">
        <v>899825</v>
      </c>
      <c r="D155" s="171" t="s">
        <v>440</v>
      </c>
      <c r="E155" s="162">
        <v>2.2400000000000002</v>
      </c>
      <c r="F155" s="141"/>
      <c r="G155" s="171" t="s">
        <v>687</v>
      </c>
      <c r="H155" s="169">
        <v>2.1999999999999999E-2</v>
      </c>
      <c r="I155" s="46">
        <v>73181520</v>
      </c>
      <c r="J155" s="49"/>
    </row>
    <row r="156" spans="1:10" s="9" customFormat="1" x14ac:dyDescent="0.2">
      <c r="A156" s="140" t="s">
        <v>895</v>
      </c>
      <c r="B156" s="170" t="s">
        <v>1429</v>
      </c>
      <c r="C156" s="171">
        <v>899832</v>
      </c>
      <c r="D156" s="171" t="s">
        <v>440</v>
      </c>
      <c r="E156" s="162">
        <v>2.34</v>
      </c>
      <c r="F156" s="141"/>
      <c r="G156" s="171" t="s">
        <v>688</v>
      </c>
      <c r="H156" s="169">
        <v>2.5999999999999999E-2</v>
      </c>
      <c r="I156" s="46">
        <v>73181520</v>
      </c>
      <c r="J156" s="49"/>
    </row>
    <row r="157" spans="1:10" s="9" customFormat="1" x14ac:dyDescent="0.2">
      <c r="A157" s="140" t="s">
        <v>895</v>
      </c>
      <c r="B157" s="161" t="s">
        <v>154</v>
      </c>
      <c r="C157" s="46">
        <v>899840</v>
      </c>
      <c r="D157" s="46" t="s">
        <v>440</v>
      </c>
      <c r="E157" s="162">
        <v>2.65</v>
      </c>
      <c r="F157" s="141"/>
      <c r="G157" s="46" t="s">
        <v>689</v>
      </c>
      <c r="H157" s="163">
        <v>0.03</v>
      </c>
      <c r="I157" s="46">
        <v>73181520</v>
      </c>
      <c r="J157" s="49"/>
    </row>
    <row r="158" spans="1:10" s="9" customFormat="1" x14ac:dyDescent="0.2">
      <c r="A158" s="143" t="s">
        <v>895</v>
      </c>
      <c r="B158" s="161" t="s">
        <v>155</v>
      </c>
      <c r="C158" s="46">
        <v>899850</v>
      </c>
      <c r="D158" s="46" t="s">
        <v>440</v>
      </c>
      <c r="E158" s="162">
        <v>2.78</v>
      </c>
      <c r="F158" s="141"/>
      <c r="G158" s="46" t="s">
        <v>690</v>
      </c>
      <c r="H158" s="163">
        <v>3.5000000000000003E-2</v>
      </c>
      <c r="I158" s="46">
        <v>73181520</v>
      </c>
      <c r="J158" s="49"/>
    </row>
    <row r="159" spans="1:10" s="9" customFormat="1" x14ac:dyDescent="0.2">
      <c r="A159" s="144" t="s">
        <v>895</v>
      </c>
      <c r="B159" s="161" t="s">
        <v>156</v>
      </c>
      <c r="C159" s="46">
        <v>899860</v>
      </c>
      <c r="D159" s="46" t="s">
        <v>440</v>
      </c>
      <c r="E159" s="162">
        <v>2.89</v>
      </c>
      <c r="F159" s="141"/>
      <c r="G159" s="46" t="s">
        <v>691</v>
      </c>
      <c r="H159" s="163">
        <v>0.04</v>
      </c>
      <c r="I159" s="46">
        <v>73181520</v>
      </c>
      <c r="J159" s="49"/>
    </row>
    <row r="160" spans="1:10" s="9" customFormat="1" x14ac:dyDescent="0.2">
      <c r="A160" s="140" t="s">
        <v>895</v>
      </c>
      <c r="B160" s="161" t="s">
        <v>1430</v>
      </c>
      <c r="C160" s="46">
        <v>899863</v>
      </c>
      <c r="D160" s="46" t="s">
        <v>440</v>
      </c>
      <c r="E160" s="162">
        <v>2.94</v>
      </c>
      <c r="F160" s="141"/>
      <c r="G160" s="46" t="s">
        <v>692</v>
      </c>
      <c r="H160" s="163">
        <v>4.2000000000000003E-2</v>
      </c>
      <c r="I160" s="46">
        <v>73181535</v>
      </c>
      <c r="J160" s="49"/>
    </row>
    <row r="161" spans="1:10" s="9" customFormat="1" x14ac:dyDescent="0.2">
      <c r="A161" s="143" t="s">
        <v>1098</v>
      </c>
      <c r="B161" s="47" t="s">
        <v>1431</v>
      </c>
      <c r="C161" s="46">
        <v>860902</v>
      </c>
      <c r="D161" s="46" t="s">
        <v>440</v>
      </c>
      <c r="E161" s="162">
        <v>15.21</v>
      </c>
      <c r="F161" s="141"/>
      <c r="G161" s="46" t="s">
        <v>1099</v>
      </c>
      <c r="H161" s="163">
        <v>0.47</v>
      </c>
      <c r="I161" s="46">
        <v>73089059</v>
      </c>
      <c r="J161" s="49"/>
    </row>
    <row r="162" spans="1:10" s="9" customFormat="1" x14ac:dyDescent="0.2">
      <c r="A162" s="143" t="s">
        <v>1098</v>
      </c>
      <c r="B162" s="47" t="s">
        <v>1432</v>
      </c>
      <c r="C162" s="46">
        <v>864722</v>
      </c>
      <c r="D162" s="46" t="s">
        <v>440</v>
      </c>
      <c r="E162" s="162">
        <v>9.1999999999999993</v>
      </c>
      <c r="F162" s="141"/>
      <c r="G162" s="46" t="s">
        <v>1100</v>
      </c>
      <c r="H162" s="163">
        <v>0.32</v>
      </c>
      <c r="I162" s="46">
        <v>73089059</v>
      </c>
      <c r="J162" s="49"/>
    </row>
    <row r="163" spans="1:10" s="9" customFormat="1" x14ac:dyDescent="0.2">
      <c r="A163" s="143" t="s">
        <v>1101</v>
      </c>
      <c r="B163" s="177" t="s">
        <v>1433</v>
      </c>
      <c r="C163" s="171">
        <v>866368</v>
      </c>
      <c r="D163" s="46" t="s">
        <v>440</v>
      </c>
      <c r="E163" s="162">
        <v>18.28</v>
      </c>
      <c r="F163" s="141"/>
      <c r="G163" s="171" t="s">
        <v>1102</v>
      </c>
      <c r="H163" s="162">
        <v>0.56999999999999995</v>
      </c>
      <c r="I163" s="171">
        <v>73089059</v>
      </c>
      <c r="J163" s="48"/>
    </row>
    <row r="164" spans="1:10" s="9" customFormat="1" x14ac:dyDescent="0.2">
      <c r="A164" s="143" t="s">
        <v>1101</v>
      </c>
      <c r="B164" s="161" t="s">
        <v>1434</v>
      </c>
      <c r="C164" s="46">
        <v>866168</v>
      </c>
      <c r="D164" s="46" t="s">
        <v>440</v>
      </c>
      <c r="E164" s="162">
        <v>11.05</v>
      </c>
      <c r="F164" s="141"/>
      <c r="G164" s="46" t="s">
        <v>1103</v>
      </c>
      <c r="H164" s="195">
        <v>0.39</v>
      </c>
      <c r="I164" s="46">
        <v>73089059</v>
      </c>
      <c r="J164" s="48"/>
    </row>
    <row r="165" spans="1:10" s="9" customFormat="1" x14ac:dyDescent="0.2">
      <c r="A165" s="143" t="s">
        <v>896</v>
      </c>
      <c r="B165" s="177" t="s">
        <v>1435</v>
      </c>
      <c r="C165" s="171">
        <v>890661</v>
      </c>
      <c r="D165" s="171" t="s">
        <v>441</v>
      </c>
      <c r="E165" s="169">
        <v>35.67</v>
      </c>
      <c r="F165" s="141"/>
      <c r="G165" s="171" t="s">
        <v>693</v>
      </c>
      <c r="H165" s="162"/>
      <c r="I165" s="46">
        <v>73181210</v>
      </c>
      <c r="J165" s="48"/>
    </row>
    <row r="166" spans="1:10" s="9" customFormat="1" x14ac:dyDescent="0.2">
      <c r="A166" s="143" t="s">
        <v>897</v>
      </c>
      <c r="B166" s="199" t="s">
        <v>3</v>
      </c>
      <c r="C166" s="171">
        <v>890810</v>
      </c>
      <c r="D166" s="171" t="s">
        <v>441</v>
      </c>
      <c r="E166" s="162">
        <v>22.46</v>
      </c>
      <c r="F166" s="141"/>
      <c r="G166" s="171" t="s">
        <v>694</v>
      </c>
      <c r="H166" s="169"/>
      <c r="I166" s="46">
        <v>73181290</v>
      </c>
      <c r="J166" s="48"/>
    </row>
    <row r="167" spans="1:10" s="9" customFormat="1" x14ac:dyDescent="0.2">
      <c r="A167" s="143" t="s">
        <v>897</v>
      </c>
      <c r="B167" s="161" t="s">
        <v>1436</v>
      </c>
      <c r="C167" s="46">
        <v>890811</v>
      </c>
      <c r="D167" s="46" t="s">
        <v>441</v>
      </c>
      <c r="E167" s="162">
        <v>79.17</v>
      </c>
      <c r="F167" s="141"/>
      <c r="G167" s="46" t="s">
        <v>695</v>
      </c>
      <c r="H167" s="163"/>
      <c r="I167" s="46">
        <v>73181210</v>
      </c>
      <c r="J167" s="48"/>
    </row>
    <row r="168" spans="1:10" s="9" customFormat="1" x14ac:dyDescent="0.2">
      <c r="A168" s="143" t="s">
        <v>898</v>
      </c>
      <c r="B168" s="177" t="s">
        <v>312</v>
      </c>
      <c r="C168" s="171">
        <v>895002</v>
      </c>
      <c r="D168" s="171" t="s">
        <v>440</v>
      </c>
      <c r="E168" s="169">
        <v>36.17</v>
      </c>
      <c r="F168" s="141"/>
      <c r="G168" s="171" t="s">
        <v>696</v>
      </c>
      <c r="H168" s="162">
        <v>6.97</v>
      </c>
      <c r="I168" s="46">
        <v>73089059</v>
      </c>
      <c r="J168" s="48"/>
    </row>
    <row r="169" spans="1:10" s="9" customFormat="1" x14ac:dyDescent="0.2">
      <c r="A169" s="143" t="s">
        <v>1104</v>
      </c>
      <c r="B169" s="177" t="s">
        <v>1105</v>
      </c>
      <c r="C169" s="171">
        <v>858782</v>
      </c>
      <c r="D169" s="171" t="s">
        <v>1106</v>
      </c>
      <c r="E169" s="169">
        <v>1400.7</v>
      </c>
      <c r="F169" s="141"/>
      <c r="G169" s="171" t="s">
        <v>1107</v>
      </c>
      <c r="H169" s="162">
        <v>242.31</v>
      </c>
      <c r="I169" s="46">
        <v>73089059</v>
      </c>
      <c r="J169" s="48"/>
    </row>
    <row r="170" spans="1:10" s="9" customFormat="1" x14ac:dyDescent="0.2">
      <c r="A170" s="143" t="s">
        <v>1108</v>
      </c>
      <c r="B170" s="177" t="s">
        <v>1109</v>
      </c>
      <c r="C170" s="171">
        <v>858783</v>
      </c>
      <c r="D170" s="171" t="s">
        <v>1106</v>
      </c>
      <c r="E170" s="169">
        <v>2237.98</v>
      </c>
      <c r="F170" s="141"/>
      <c r="G170" s="171" t="s">
        <v>1110</v>
      </c>
      <c r="H170" s="162">
        <v>242.31</v>
      </c>
      <c r="I170" s="46">
        <v>73089059</v>
      </c>
      <c r="J170" s="48"/>
    </row>
    <row r="171" spans="1:10" s="9" customFormat="1" x14ac:dyDescent="0.2">
      <c r="A171" s="143" t="s">
        <v>1111</v>
      </c>
      <c r="B171" s="177" t="s">
        <v>1112</v>
      </c>
      <c r="C171" s="171">
        <v>858786</v>
      </c>
      <c r="D171" s="171" t="s">
        <v>1106</v>
      </c>
      <c r="E171" s="169">
        <v>2709.69</v>
      </c>
      <c r="F171" s="141"/>
      <c r="G171" s="171" t="s">
        <v>1113</v>
      </c>
      <c r="H171" s="162">
        <v>527.46</v>
      </c>
      <c r="I171" s="46">
        <v>73089059</v>
      </c>
      <c r="J171" s="48"/>
    </row>
    <row r="172" spans="1:10" s="9" customFormat="1" x14ac:dyDescent="0.2">
      <c r="A172" s="140" t="s">
        <v>1114</v>
      </c>
      <c r="B172" s="177" t="s">
        <v>1115</v>
      </c>
      <c r="C172" s="171">
        <v>858787</v>
      </c>
      <c r="D172" s="171" t="s">
        <v>1106</v>
      </c>
      <c r="E172" s="169">
        <v>4670.07</v>
      </c>
      <c r="F172" s="141"/>
      <c r="G172" s="171" t="s">
        <v>1116</v>
      </c>
      <c r="H172" s="162">
        <v>527.46</v>
      </c>
      <c r="I172" s="46">
        <v>73089059</v>
      </c>
      <c r="J172" s="48"/>
    </row>
    <row r="173" spans="1:10" s="9" customFormat="1" x14ac:dyDescent="0.2">
      <c r="A173" s="140" t="s">
        <v>899</v>
      </c>
      <c r="B173" s="177" t="s">
        <v>0</v>
      </c>
      <c r="C173" s="171">
        <v>897960</v>
      </c>
      <c r="D173" s="171" t="s">
        <v>440</v>
      </c>
      <c r="E173" s="169">
        <v>8.0299999999999994</v>
      </c>
      <c r="F173" s="141"/>
      <c r="G173" s="171" t="s">
        <v>697</v>
      </c>
      <c r="H173" s="162">
        <v>0.4</v>
      </c>
      <c r="I173" s="46">
        <v>73089059</v>
      </c>
      <c r="J173" s="48"/>
    </row>
    <row r="174" spans="1:10" s="9" customFormat="1" x14ac:dyDescent="0.2">
      <c r="A174" s="140" t="s">
        <v>899</v>
      </c>
      <c r="B174" s="177" t="s">
        <v>4</v>
      </c>
      <c r="C174" s="171">
        <v>897975</v>
      </c>
      <c r="D174" s="171" t="s">
        <v>440</v>
      </c>
      <c r="E174" s="169">
        <v>8.6300000000000008</v>
      </c>
      <c r="F174" s="141"/>
      <c r="G174" s="171" t="s">
        <v>698</v>
      </c>
      <c r="H174" s="162">
        <v>0.52</v>
      </c>
      <c r="I174" s="46">
        <v>73089059</v>
      </c>
      <c r="J174" s="48"/>
    </row>
    <row r="175" spans="1:10" s="9" customFormat="1" x14ac:dyDescent="0.2">
      <c r="A175" s="140" t="s">
        <v>900</v>
      </c>
      <c r="B175" s="177" t="s">
        <v>1437</v>
      </c>
      <c r="C175" s="171">
        <v>897875</v>
      </c>
      <c r="D175" s="171" t="s">
        <v>440</v>
      </c>
      <c r="E175" s="169">
        <v>23.92</v>
      </c>
      <c r="F175" s="141"/>
      <c r="G175" s="171" t="s">
        <v>699</v>
      </c>
      <c r="H175" s="162">
        <v>0.85</v>
      </c>
      <c r="I175" s="46">
        <v>73089059</v>
      </c>
      <c r="J175" s="49"/>
    </row>
    <row r="176" spans="1:10" s="9" customFormat="1" x14ac:dyDescent="0.2">
      <c r="A176" s="140" t="s">
        <v>901</v>
      </c>
      <c r="B176" s="177" t="s">
        <v>1438</v>
      </c>
      <c r="C176" s="171">
        <v>897855</v>
      </c>
      <c r="D176" s="171" t="s">
        <v>440</v>
      </c>
      <c r="E176" s="169">
        <v>19.079999999999998</v>
      </c>
      <c r="F176" s="141"/>
      <c r="G176" s="171" t="s">
        <v>700</v>
      </c>
      <c r="H176" s="162">
        <v>0.85</v>
      </c>
      <c r="I176" s="46">
        <v>73089059</v>
      </c>
      <c r="J176" s="49"/>
    </row>
    <row r="177" spans="1:10" s="9" customFormat="1" x14ac:dyDescent="0.2">
      <c r="A177" s="140" t="s">
        <v>899</v>
      </c>
      <c r="B177" s="176" t="s">
        <v>310</v>
      </c>
      <c r="C177" s="171">
        <v>897976</v>
      </c>
      <c r="D177" s="171" t="s">
        <v>440</v>
      </c>
      <c r="E177" s="162">
        <v>10.61</v>
      </c>
      <c r="F177" s="141"/>
      <c r="G177" s="171" t="s">
        <v>701</v>
      </c>
      <c r="H177" s="169">
        <v>0.3</v>
      </c>
      <c r="I177" s="46">
        <v>73089059</v>
      </c>
      <c r="J177" s="49"/>
    </row>
    <row r="178" spans="1:10" s="9" customFormat="1" x14ac:dyDescent="0.2">
      <c r="A178" s="140" t="s">
        <v>902</v>
      </c>
      <c r="B178" s="177" t="s">
        <v>1439</v>
      </c>
      <c r="C178" s="171">
        <v>897860</v>
      </c>
      <c r="D178" s="171" t="s">
        <v>440</v>
      </c>
      <c r="E178" s="162">
        <v>7.44</v>
      </c>
      <c r="F178" s="141"/>
      <c r="G178" s="171" t="s">
        <v>702</v>
      </c>
      <c r="H178" s="162">
        <v>0.39</v>
      </c>
      <c r="I178" s="171">
        <v>73089059</v>
      </c>
      <c r="J178" s="49"/>
    </row>
    <row r="179" spans="1:10" s="9" customFormat="1" x14ac:dyDescent="0.2">
      <c r="A179" s="140" t="s">
        <v>902</v>
      </c>
      <c r="B179" s="176" t="s">
        <v>309</v>
      </c>
      <c r="C179" s="171">
        <v>897965</v>
      </c>
      <c r="D179" s="171" t="s">
        <v>440</v>
      </c>
      <c r="E179" s="162">
        <v>10.01</v>
      </c>
      <c r="F179" s="141"/>
      <c r="G179" s="171" t="s">
        <v>703</v>
      </c>
      <c r="H179" s="169">
        <v>0.45</v>
      </c>
      <c r="I179" s="46">
        <v>73089059</v>
      </c>
      <c r="J179" s="49"/>
    </row>
    <row r="180" spans="1:10" s="9" customFormat="1" x14ac:dyDescent="0.2">
      <c r="A180" s="140" t="s">
        <v>985</v>
      </c>
      <c r="B180" s="176" t="s">
        <v>408</v>
      </c>
      <c r="C180" s="171">
        <v>898076</v>
      </c>
      <c r="D180" s="171" t="s">
        <v>440</v>
      </c>
      <c r="E180" s="162">
        <v>14.09</v>
      </c>
      <c r="F180" s="141"/>
      <c r="G180" s="171">
        <v>5900993251647</v>
      </c>
      <c r="H180" s="169">
        <v>0.3</v>
      </c>
      <c r="I180" s="46">
        <v>73089059</v>
      </c>
      <c r="J180" s="49"/>
    </row>
    <row r="181" spans="1:10" s="9" customFormat="1" x14ac:dyDescent="0.2">
      <c r="A181" s="140" t="s">
        <v>903</v>
      </c>
      <c r="B181" s="176" t="s">
        <v>2</v>
      </c>
      <c r="C181" s="171">
        <v>898140</v>
      </c>
      <c r="D181" s="171" t="s">
        <v>440</v>
      </c>
      <c r="E181" s="162">
        <v>11.02</v>
      </c>
      <c r="F181" s="141"/>
      <c r="G181" s="171" t="s">
        <v>704</v>
      </c>
      <c r="H181" s="169">
        <v>1.05</v>
      </c>
      <c r="I181" s="46">
        <v>73089059</v>
      </c>
      <c r="J181" s="49"/>
    </row>
    <row r="182" spans="1:10" s="9" customFormat="1" x14ac:dyDescent="0.2">
      <c r="A182" s="140" t="s">
        <v>902</v>
      </c>
      <c r="B182" s="180" t="s">
        <v>1440</v>
      </c>
      <c r="C182" s="181">
        <v>898141</v>
      </c>
      <c r="D182" s="181" t="s">
        <v>440</v>
      </c>
      <c r="E182" s="162">
        <v>10.19</v>
      </c>
      <c r="F182" s="141"/>
      <c r="G182" s="181" t="s">
        <v>705</v>
      </c>
      <c r="H182" s="182">
        <v>0.7</v>
      </c>
      <c r="I182" s="46">
        <v>73089059</v>
      </c>
      <c r="J182" s="49"/>
    </row>
    <row r="183" spans="1:10" s="9" customFormat="1" x14ac:dyDescent="0.2">
      <c r="A183" s="140" t="s">
        <v>904</v>
      </c>
      <c r="B183" s="180" t="s">
        <v>43</v>
      </c>
      <c r="C183" s="181">
        <v>890000</v>
      </c>
      <c r="D183" s="181" t="s">
        <v>440</v>
      </c>
      <c r="E183" s="162">
        <v>30.16</v>
      </c>
      <c r="F183" s="141"/>
      <c r="G183" s="181" t="s">
        <v>706</v>
      </c>
      <c r="H183" s="182"/>
      <c r="I183" s="46">
        <v>40027000</v>
      </c>
      <c r="J183" s="49"/>
    </row>
    <row r="184" spans="1:10" s="9" customFormat="1" x14ac:dyDescent="0.2">
      <c r="A184" s="140" t="s">
        <v>1117</v>
      </c>
      <c r="B184" s="180" t="s">
        <v>1118</v>
      </c>
      <c r="C184" s="181">
        <v>887655</v>
      </c>
      <c r="D184" s="181" t="s">
        <v>440</v>
      </c>
      <c r="E184" s="162">
        <v>98.05</v>
      </c>
      <c r="F184" s="141"/>
      <c r="G184" s="181" t="s">
        <v>1119</v>
      </c>
      <c r="H184" s="182">
        <v>92</v>
      </c>
      <c r="I184" s="46">
        <v>68109100</v>
      </c>
      <c r="J184" s="49"/>
    </row>
    <row r="185" spans="1:10" s="9" customFormat="1" x14ac:dyDescent="0.2">
      <c r="A185" s="140" t="s">
        <v>905</v>
      </c>
      <c r="B185" s="172" t="s">
        <v>325</v>
      </c>
      <c r="C185" s="173">
        <v>897716</v>
      </c>
      <c r="D185" s="171" t="s">
        <v>440</v>
      </c>
      <c r="E185" s="174">
        <v>120.69</v>
      </c>
      <c r="F185" s="141"/>
      <c r="G185" s="173" t="s">
        <v>707</v>
      </c>
      <c r="H185" s="174">
        <v>11</v>
      </c>
      <c r="I185" s="181">
        <v>73181491</v>
      </c>
      <c r="J185" s="49"/>
    </row>
    <row r="186" spans="1:10" s="9" customFormat="1" x14ac:dyDescent="0.2">
      <c r="A186" s="140" t="s">
        <v>905</v>
      </c>
      <c r="B186" s="180" t="s">
        <v>423</v>
      </c>
      <c r="C186" s="181">
        <v>897722</v>
      </c>
      <c r="D186" s="181" t="s">
        <v>440</v>
      </c>
      <c r="E186" s="169">
        <v>137.97999999999999</v>
      </c>
      <c r="F186" s="141"/>
      <c r="G186" s="181" t="s">
        <v>708</v>
      </c>
      <c r="H186" s="182">
        <v>12.9</v>
      </c>
      <c r="I186" s="46">
        <v>73181491</v>
      </c>
      <c r="J186" s="49"/>
    </row>
    <row r="187" spans="1:10" s="9" customFormat="1" x14ac:dyDescent="0.2">
      <c r="A187" s="140" t="s">
        <v>1120</v>
      </c>
      <c r="B187" s="180" t="s">
        <v>1121</v>
      </c>
      <c r="C187" s="181">
        <v>858780</v>
      </c>
      <c r="D187" s="181" t="s">
        <v>1106</v>
      </c>
      <c r="E187" s="169">
        <v>2328.61</v>
      </c>
      <c r="F187" s="141"/>
      <c r="G187" s="181" t="s">
        <v>1122</v>
      </c>
      <c r="H187" s="182">
        <v>409.65</v>
      </c>
      <c r="I187" s="46">
        <v>73089059</v>
      </c>
      <c r="J187" s="49"/>
    </row>
    <row r="188" spans="1:10" s="9" customFormat="1" x14ac:dyDescent="0.2">
      <c r="A188" s="140" t="s">
        <v>1123</v>
      </c>
      <c r="B188" s="172" t="s">
        <v>1441</v>
      </c>
      <c r="C188" s="173">
        <v>876506</v>
      </c>
      <c r="D188" s="171" t="s">
        <v>440</v>
      </c>
      <c r="E188" s="174">
        <v>136.47</v>
      </c>
      <c r="F188" s="141"/>
      <c r="G188" s="173" t="s">
        <v>1124</v>
      </c>
      <c r="H188" s="174">
        <v>24</v>
      </c>
      <c r="I188" s="181">
        <v>73089059</v>
      </c>
      <c r="J188" s="49"/>
    </row>
    <row r="189" spans="1:10" s="9" customFormat="1" x14ac:dyDescent="0.2">
      <c r="A189" s="140" t="s">
        <v>1125</v>
      </c>
      <c r="B189" s="180" t="s">
        <v>1126</v>
      </c>
      <c r="C189" s="181">
        <v>858781</v>
      </c>
      <c r="D189" s="181" t="s">
        <v>1106</v>
      </c>
      <c r="E189" s="169">
        <v>3803.25</v>
      </c>
      <c r="F189" s="141"/>
      <c r="G189" s="181" t="s">
        <v>1127</v>
      </c>
      <c r="H189" s="182">
        <v>409.65</v>
      </c>
      <c r="I189" s="46">
        <v>73089059</v>
      </c>
      <c r="J189" s="49"/>
    </row>
    <row r="190" spans="1:10" s="9" customFormat="1" x14ac:dyDescent="0.2">
      <c r="A190" s="140" t="s">
        <v>1128</v>
      </c>
      <c r="B190" s="180" t="s">
        <v>1129</v>
      </c>
      <c r="C190" s="181">
        <v>858784</v>
      </c>
      <c r="D190" s="181" t="s">
        <v>1106</v>
      </c>
      <c r="E190" s="169">
        <v>3736.41</v>
      </c>
      <c r="F190" s="141"/>
      <c r="G190" s="181" t="s">
        <v>1130</v>
      </c>
      <c r="H190" s="182">
        <v>706.02</v>
      </c>
      <c r="I190" s="46">
        <v>73089059</v>
      </c>
      <c r="J190" s="48"/>
    </row>
    <row r="191" spans="1:10" s="9" customFormat="1" x14ac:dyDescent="0.2">
      <c r="A191" s="144" t="s">
        <v>1131</v>
      </c>
      <c r="B191" s="170" t="s">
        <v>1132</v>
      </c>
      <c r="C191" s="171">
        <v>858785</v>
      </c>
      <c r="D191" s="171" t="s">
        <v>1106</v>
      </c>
      <c r="E191" s="169">
        <v>6356.77</v>
      </c>
      <c r="F191" s="141"/>
      <c r="G191" s="171" t="s">
        <v>1133</v>
      </c>
      <c r="H191" s="169">
        <v>706.02</v>
      </c>
      <c r="I191" s="46">
        <v>73089059</v>
      </c>
      <c r="J191" s="48"/>
    </row>
    <row r="192" spans="1:10" s="9" customFormat="1" x14ac:dyDescent="0.2">
      <c r="A192" s="140" t="s">
        <v>906</v>
      </c>
      <c r="B192" s="170" t="s">
        <v>1442</v>
      </c>
      <c r="C192" s="171">
        <v>1620105</v>
      </c>
      <c r="D192" s="171" t="s">
        <v>980</v>
      </c>
      <c r="E192" s="169">
        <v>7.8</v>
      </c>
      <c r="F192" s="141"/>
      <c r="G192" s="171" t="s">
        <v>709</v>
      </c>
      <c r="H192" s="169">
        <v>1.34</v>
      </c>
      <c r="I192" s="46">
        <v>73089059</v>
      </c>
      <c r="J192" s="48"/>
    </row>
    <row r="193" spans="1:10" s="9" customFormat="1" x14ac:dyDescent="0.2">
      <c r="A193" s="140" t="s">
        <v>906</v>
      </c>
      <c r="B193" s="170" t="s">
        <v>1443</v>
      </c>
      <c r="C193" s="171">
        <v>1612235</v>
      </c>
      <c r="D193" s="171" t="s">
        <v>980</v>
      </c>
      <c r="E193" s="169">
        <v>7.12</v>
      </c>
      <c r="F193" s="141"/>
      <c r="G193" s="171" t="s">
        <v>710</v>
      </c>
      <c r="H193" s="169">
        <v>1.17</v>
      </c>
      <c r="I193" s="46">
        <v>73089059</v>
      </c>
      <c r="J193" s="49"/>
    </row>
    <row r="194" spans="1:10" s="9" customFormat="1" x14ac:dyDescent="0.2">
      <c r="A194" s="140" t="s">
        <v>906</v>
      </c>
      <c r="B194" s="170" t="s">
        <v>1444</v>
      </c>
      <c r="C194" s="171">
        <v>1610235</v>
      </c>
      <c r="D194" s="171" t="s">
        <v>980</v>
      </c>
      <c r="E194" s="169">
        <v>5.49</v>
      </c>
      <c r="F194" s="141"/>
      <c r="G194" s="171" t="s">
        <v>711</v>
      </c>
      <c r="H194" s="169">
        <v>0.98</v>
      </c>
      <c r="I194" s="46">
        <v>73089059</v>
      </c>
      <c r="J194" s="49"/>
    </row>
    <row r="195" spans="1:10" s="9" customFormat="1" x14ac:dyDescent="0.2">
      <c r="A195" s="145" t="s">
        <v>1134</v>
      </c>
      <c r="B195" s="177" t="s">
        <v>1445</v>
      </c>
      <c r="C195" s="171">
        <v>860105</v>
      </c>
      <c r="D195" s="46" t="s">
        <v>440</v>
      </c>
      <c r="E195" s="169">
        <v>8.32</v>
      </c>
      <c r="F195" s="141"/>
      <c r="G195" s="171" t="s">
        <v>1135</v>
      </c>
      <c r="H195" s="162">
        <v>0.42</v>
      </c>
      <c r="I195" s="46">
        <v>73089059</v>
      </c>
      <c r="J195" s="49"/>
    </row>
    <row r="196" spans="1:10" s="9" customFormat="1" x14ac:dyDescent="0.2">
      <c r="A196" s="140" t="s">
        <v>1134</v>
      </c>
      <c r="B196" s="47" t="s">
        <v>1446</v>
      </c>
      <c r="C196" s="46">
        <v>862925</v>
      </c>
      <c r="D196" s="46" t="s">
        <v>440</v>
      </c>
      <c r="E196" s="169">
        <v>6.29</v>
      </c>
      <c r="F196" s="141"/>
      <c r="G196" s="46" t="s">
        <v>1136</v>
      </c>
      <c r="H196" s="163">
        <v>0.23</v>
      </c>
      <c r="I196" s="46">
        <v>73089059</v>
      </c>
      <c r="J196" s="49"/>
    </row>
    <row r="197" spans="1:10" s="9" customFormat="1" x14ac:dyDescent="0.2">
      <c r="A197" s="140" t="s">
        <v>1137</v>
      </c>
      <c r="B197" s="177" t="s">
        <v>1447</v>
      </c>
      <c r="C197" s="171">
        <v>861165</v>
      </c>
      <c r="D197" s="171" t="s">
        <v>440</v>
      </c>
      <c r="E197" s="169">
        <v>9.7799999999999994</v>
      </c>
      <c r="F197" s="141"/>
      <c r="G197" s="171" t="s">
        <v>1138</v>
      </c>
      <c r="H197" s="162">
        <v>0.41</v>
      </c>
      <c r="I197" s="46">
        <v>73089059</v>
      </c>
      <c r="J197" s="53"/>
    </row>
    <row r="198" spans="1:10" s="9" customFormat="1" x14ac:dyDescent="0.2">
      <c r="A198" s="143" t="s">
        <v>1137</v>
      </c>
      <c r="B198" s="170" t="s">
        <v>1448</v>
      </c>
      <c r="C198" s="171">
        <v>860565</v>
      </c>
      <c r="D198" s="171" t="s">
        <v>440</v>
      </c>
      <c r="E198" s="169">
        <v>7.41</v>
      </c>
      <c r="F198" s="141"/>
      <c r="G198" s="171" t="s">
        <v>1139</v>
      </c>
      <c r="H198" s="169">
        <v>0.22</v>
      </c>
      <c r="I198" s="46">
        <v>73089059</v>
      </c>
      <c r="J198" s="53"/>
    </row>
    <row r="199" spans="1:10" s="9" customFormat="1" x14ac:dyDescent="0.2">
      <c r="A199" s="143" t="s">
        <v>1140</v>
      </c>
      <c r="B199" s="170" t="s">
        <v>1449</v>
      </c>
      <c r="C199" s="171">
        <v>860125</v>
      </c>
      <c r="D199" s="171" t="s">
        <v>440</v>
      </c>
      <c r="E199" s="169">
        <v>7.96</v>
      </c>
      <c r="F199" s="141"/>
      <c r="G199" s="171" t="s">
        <v>1141</v>
      </c>
      <c r="H199" s="169">
        <v>0.3</v>
      </c>
      <c r="I199" s="46">
        <v>73089059</v>
      </c>
      <c r="J199" s="53"/>
    </row>
    <row r="200" spans="1:10" s="9" customFormat="1" x14ac:dyDescent="0.2">
      <c r="A200" s="140" t="s">
        <v>1140</v>
      </c>
      <c r="B200" s="161" t="s">
        <v>1450</v>
      </c>
      <c r="C200" s="171">
        <v>863525</v>
      </c>
      <c r="D200" s="46" t="s">
        <v>440</v>
      </c>
      <c r="E200" s="169">
        <v>6.29</v>
      </c>
      <c r="F200" s="141"/>
      <c r="G200" s="171" t="s">
        <v>1142</v>
      </c>
      <c r="H200" s="169">
        <v>0.16</v>
      </c>
      <c r="I200" s="171">
        <v>73089059</v>
      </c>
      <c r="J200" s="53"/>
    </row>
    <row r="201" spans="1:10" s="9" customFormat="1" x14ac:dyDescent="0.2">
      <c r="A201" s="140" t="s">
        <v>1143</v>
      </c>
      <c r="B201" s="161" t="s">
        <v>1451</v>
      </c>
      <c r="C201" s="171">
        <v>866367</v>
      </c>
      <c r="D201" s="46" t="s">
        <v>440</v>
      </c>
      <c r="E201" s="169">
        <v>8.7899999999999991</v>
      </c>
      <c r="F201" s="141"/>
      <c r="G201" s="171" t="s">
        <v>1144</v>
      </c>
      <c r="H201" s="169">
        <v>0.27</v>
      </c>
      <c r="I201" s="171">
        <v>73089059</v>
      </c>
      <c r="J201" s="53"/>
    </row>
    <row r="202" spans="1:10" s="9" customFormat="1" x14ac:dyDescent="0.2">
      <c r="A202" s="143" t="s">
        <v>1143</v>
      </c>
      <c r="B202" s="161" t="s">
        <v>1452</v>
      </c>
      <c r="C202" s="46">
        <v>866167</v>
      </c>
      <c r="D202" s="46" t="s">
        <v>440</v>
      </c>
      <c r="E202" s="169">
        <v>6.66</v>
      </c>
      <c r="F202" s="141"/>
      <c r="G202" s="46" t="s">
        <v>1145</v>
      </c>
      <c r="H202" s="163">
        <v>0.18</v>
      </c>
      <c r="I202" s="46">
        <v>73089059</v>
      </c>
      <c r="J202" s="53"/>
    </row>
    <row r="203" spans="1:10" s="9" customFormat="1" x14ac:dyDescent="0.2">
      <c r="A203" s="143" t="s">
        <v>1146</v>
      </c>
      <c r="B203" s="161" t="s">
        <v>1453</v>
      </c>
      <c r="C203" s="46">
        <v>840921</v>
      </c>
      <c r="D203" s="46" t="s">
        <v>440</v>
      </c>
      <c r="E203" s="169">
        <v>14.56</v>
      </c>
      <c r="F203" s="141"/>
      <c r="G203" s="46" t="s">
        <v>1147</v>
      </c>
      <c r="H203" s="163">
        <v>0.3</v>
      </c>
      <c r="I203" s="46">
        <v>73089059</v>
      </c>
      <c r="J203" s="53"/>
    </row>
    <row r="204" spans="1:10" s="9" customFormat="1" x14ac:dyDescent="0.2">
      <c r="A204" s="143" t="s">
        <v>1146</v>
      </c>
      <c r="B204" s="161" t="s">
        <v>1454</v>
      </c>
      <c r="C204" s="46">
        <v>840919</v>
      </c>
      <c r="D204" s="46" t="s">
        <v>440</v>
      </c>
      <c r="E204" s="169">
        <v>9.7799999999999994</v>
      </c>
      <c r="F204" s="141"/>
      <c r="G204" s="46" t="s">
        <v>1148</v>
      </c>
      <c r="H204" s="163">
        <v>0.16</v>
      </c>
      <c r="I204" s="46">
        <v>73089059</v>
      </c>
      <c r="J204" s="49"/>
    </row>
    <row r="205" spans="1:10" s="9" customFormat="1" x14ac:dyDescent="0.2">
      <c r="A205" s="140" t="s">
        <v>907</v>
      </c>
      <c r="B205" s="161" t="s">
        <v>108</v>
      </c>
      <c r="C205" s="46">
        <v>898099</v>
      </c>
      <c r="D205" s="46" t="s">
        <v>440</v>
      </c>
      <c r="E205" s="169">
        <v>11.34</v>
      </c>
      <c r="F205" s="141"/>
      <c r="G205" s="46" t="s">
        <v>712</v>
      </c>
      <c r="H205" s="163">
        <v>1.8</v>
      </c>
      <c r="I205" s="46">
        <v>76041090</v>
      </c>
      <c r="J205" s="49"/>
    </row>
    <row r="206" spans="1:10" s="9" customFormat="1" x14ac:dyDescent="0.2">
      <c r="A206" s="140" t="s">
        <v>907</v>
      </c>
      <c r="B206" s="161" t="s">
        <v>109</v>
      </c>
      <c r="C206" s="46">
        <v>898115</v>
      </c>
      <c r="D206" s="46" t="s">
        <v>440</v>
      </c>
      <c r="E206" s="169">
        <v>12.43</v>
      </c>
      <c r="F206" s="141"/>
      <c r="G206" s="46" t="s">
        <v>713</v>
      </c>
      <c r="H206" s="163">
        <v>2.0699999999999998</v>
      </c>
      <c r="I206" s="46">
        <v>76041090</v>
      </c>
      <c r="J206" s="49"/>
    </row>
    <row r="207" spans="1:10" s="9" customFormat="1" x14ac:dyDescent="0.2">
      <c r="A207" s="144" t="s">
        <v>907</v>
      </c>
      <c r="B207" s="161" t="s">
        <v>110</v>
      </c>
      <c r="C207" s="46">
        <v>898170</v>
      </c>
      <c r="D207" s="46" t="s">
        <v>440</v>
      </c>
      <c r="E207" s="169">
        <v>19.55</v>
      </c>
      <c r="F207" s="141"/>
      <c r="G207" s="46" t="s">
        <v>714</v>
      </c>
      <c r="H207" s="163">
        <v>3.06</v>
      </c>
      <c r="I207" s="46">
        <v>76041090</v>
      </c>
      <c r="J207" s="49"/>
    </row>
    <row r="208" spans="1:10" s="9" customFormat="1" x14ac:dyDescent="0.2">
      <c r="A208" s="140" t="s">
        <v>907</v>
      </c>
      <c r="B208" s="47" t="s">
        <v>106</v>
      </c>
      <c r="C208" s="46">
        <v>898210</v>
      </c>
      <c r="D208" s="46" t="s">
        <v>440</v>
      </c>
      <c r="E208" s="169">
        <v>23.01</v>
      </c>
      <c r="F208" s="141"/>
      <c r="G208" s="46" t="s">
        <v>715</v>
      </c>
      <c r="H208" s="163">
        <v>3.6</v>
      </c>
      <c r="I208" s="46">
        <v>76041090</v>
      </c>
      <c r="J208" s="48"/>
    </row>
    <row r="209" spans="1:10" s="9" customFormat="1" x14ac:dyDescent="0.2">
      <c r="A209" s="140" t="s">
        <v>907</v>
      </c>
      <c r="B209" s="47" t="s">
        <v>105</v>
      </c>
      <c r="C209" s="46">
        <v>898085</v>
      </c>
      <c r="D209" s="46" t="s">
        <v>440</v>
      </c>
      <c r="E209" s="169">
        <v>9.7799999999999994</v>
      </c>
      <c r="F209" s="141"/>
      <c r="G209" s="46" t="s">
        <v>716</v>
      </c>
      <c r="H209" s="163">
        <v>1.53</v>
      </c>
      <c r="I209" s="46">
        <v>76041090</v>
      </c>
      <c r="J209" s="48"/>
    </row>
    <row r="210" spans="1:10" s="9" customFormat="1" x14ac:dyDescent="0.2">
      <c r="A210" s="140" t="s">
        <v>907</v>
      </c>
      <c r="B210" s="161" t="s">
        <v>107</v>
      </c>
      <c r="C210" s="46">
        <v>898175</v>
      </c>
      <c r="D210" s="46" t="s">
        <v>440</v>
      </c>
      <c r="E210" s="169">
        <v>19.55</v>
      </c>
      <c r="F210" s="141"/>
      <c r="G210" s="46" t="s">
        <v>717</v>
      </c>
      <c r="H210" s="163">
        <v>3.06</v>
      </c>
      <c r="I210" s="46">
        <v>76041090</v>
      </c>
      <c r="J210" s="48"/>
    </row>
    <row r="211" spans="1:10" s="9" customFormat="1" x14ac:dyDescent="0.2">
      <c r="A211" s="143" t="s">
        <v>1149</v>
      </c>
      <c r="B211" s="180" t="s">
        <v>1455</v>
      </c>
      <c r="C211" s="181">
        <v>876514</v>
      </c>
      <c r="D211" s="181" t="s">
        <v>440</v>
      </c>
      <c r="E211" s="169">
        <v>1.22</v>
      </c>
      <c r="F211" s="141"/>
      <c r="G211" s="181" t="s">
        <v>1150</v>
      </c>
      <c r="H211" s="182">
        <v>55.64</v>
      </c>
      <c r="I211" s="46">
        <v>73089059</v>
      </c>
      <c r="J211" s="48"/>
    </row>
    <row r="212" spans="1:10" s="9" customFormat="1" x14ac:dyDescent="0.2">
      <c r="A212" s="143" t="s">
        <v>908</v>
      </c>
      <c r="B212" s="180" t="s">
        <v>328</v>
      </c>
      <c r="C212" s="181">
        <v>620414</v>
      </c>
      <c r="D212" s="181" t="s">
        <v>440</v>
      </c>
      <c r="E212" s="169">
        <v>1.69</v>
      </c>
      <c r="F212" s="141"/>
      <c r="G212" s="181" t="s">
        <v>718</v>
      </c>
      <c r="H212" s="182">
        <v>0.18</v>
      </c>
      <c r="I212" s="46">
        <v>73089059</v>
      </c>
      <c r="J212" s="49"/>
    </row>
    <row r="213" spans="1:10" s="9" customFormat="1" x14ac:dyDescent="0.2">
      <c r="A213" s="140" t="s">
        <v>908</v>
      </c>
      <c r="B213" s="180" t="s">
        <v>10</v>
      </c>
      <c r="C213" s="181">
        <v>851541</v>
      </c>
      <c r="D213" s="181" t="s">
        <v>440</v>
      </c>
      <c r="E213" s="169">
        <v>1.82</v>
      </c>
      <c r="F213" s="141"/>
      <c r="G213" s="181" t="s">
        <v>719</v>
      </c>
      <c r="H213" s="182">
        <v>0.3</v>
      </c>
      <c r="I213" s="46">
        <v>73089059</v>
      </c>
      <c r="J213" s="49"/>
    </row>
    <row r="214" spans="1:10" s="9" customFormat="1" ht="13.5" customHeight="1" x14ac:dyDescent="0.25">
      <c r="A214" s="140" t="s">
        <v>909</v>
      </c>
      <c r="B214" s="180" t="s">
        <v>193</v>
      </c>
      <c r="C214" s="181">
        <v>858022</v>
      </c>
      <c r="D214" s="181" t="s">
        <v>440</v>
      </c>
      <c r="E214" s="169">
        <v>1.56</v>
      </c>
      <c r="F214" s="141"/>
      <c r="G214" s="181" t="s">
        <v>720</v>
      </c>
      <c r="H214" s="182">
        <v>0.08</v>
      </c>
      <c r="I214" s="46">
        <v>73089059</v>
      </c>
      <c r="J214" s="51"/>
    </row>
    <row r="215" spans="1:10" s="9" customFormat="1" x14ac:dyDescent="0.2">
      <c r="A215" s="140" t="s">
        <v>908</v>
      </c>
      <c r="B215" s="180" t="s">
        <v>406</v>
      </c>
      <c r="C215" s="181">
        <v>620415</v>
      </c>
      <c r="D215" s="181" t="s">
        <v>440</v>
      </c>
      <c r="E215" s="169">
        <v>2.89</v>
      </c>
      <c r="F215" s="141"/>
      <c r="G215" s="181" t="s">
        <v>721</v>
      </c>
      <c r="H215" s="182">
        <v>0.26</v>
      </c>
      <c r="I215" s="46">
        <v>73089059</v>
      </c>
      <c r="J215" s="48"/>
    </row>
    <row r="216" spans="1:10" s="9" customFormat="1" x14ac:dyDescent="0.2">
      <c r="A216" s="140" t="s">
        <v>908</v>
      </c>
      <c r="B216" s="180" t="s">
        <v>1456</v>
      </c>
      <c r="C216" s="181">
        <v>850154</v>
      </c>
      <c r="D216" s="181" t="s">
        <v>440</v>
      </c>
      <c r="E216" s="169">
        <v>5.17</v>
      </c>
      <c r="F216" s="141"/>
      <c r="G216" s="181" t="s">
        <v>1151</v>
      </c>
      <c r="H216" s="182">
        <v>0.18</v>
      </c>
      <c r="I216" s="46">
        <v>73089059</v>
      </c>
      <c r="J216" s="48"/>
    </row>
    <row r="217" spans="1:10" s="9" customFormat="1" x14ac:dyDescent="0.2">
      <c r="A217" s="140" t="s">
        <v>908</v>
      </c>
      <c r="B217" s="180" t="s">
        <v>1457</v>
      </c>
      <c r="C217" s="181">
        <v>850252</v>
      </c>
      <c r="D217" s="181" t="s">
        <v>440</v>
      </c>
      <c r="E217" s="169">
        <v>2.11</v>
      </c>
      <c r="F217" s="141"/>
      <c r="G217" s="181" t="s">
        <v>1152</v>
      </c>
      <c r="H217" s="182">
        <v>0.45</v>
      </c>
      <c r="I217" s="46">
        <v>73089059</v>
      </c>
      <c r="J217" s="50"/>
    </row>
    <row r="218" spans="1:10" s="9" customFormat="1" x14ac:dyDescent="0.2">
      <c r="A218" s="140" t="s">
        <v>908</v>
      </c>
      <c r="B218" s="176" t="s">
        <v>831</v>
      </c>
      <c r="C218" s="171">
        <v>890218</v>
      </c>
      <c r="D218" s="171" t="s">
        <v>440</v>
      </c>
      <c r="E218" s="169">
        <v>2.11</v>
      </c>
      <c r="F218" s="141"/>
      <c r="G218" s="171" t="s">
        <v>1019</v>
      </c>
      <c r="H218" s="169">
        <v>0.15</v>
      </c>
      <c r="I218" s="46">
        <v>73089059</v>
      </c>
      <c r="J218" s="54"/>
    </row>
    <row r="219" spans="1:10" s="9" customFormat="1" x14ac:dyDescent="0.2">
      <c r="A219" s="140" t="s">
        <v>908</v>
      </c>
      <c r="B219" s="176" t="s">
        <v>324</v>
      </c>
      <c r="C219" s="171">
        <v>856107</v>
      </c>
      <c r="D219" s="171" t="s">
        <v>440</v>
      </c>
      <c r="E219" s="169">
        <v>9.15</v>
      </c>
      <c r="F219" s="141"/>
      <c r="G219" s="171" t="s">
        <v>722</v>
      </c>
      <c r="H219" s="169">
        <v>2.46</v>
      </c>
      <c r="I219" s="46">
        <v>73089059</v>
      </c>
      <c r="J219" s="54"/>
    </row>
    <row r="220" spans="1:10" s="9" customFormat="1" x14ac:dyDescent="0.2">
      <c r="A220" s="140" t="s">
        <v>908</v>
      </c>
      <c r="B220" s="176" t="s">
        <v>1458</v>
      </c>
      <c r="C220" s="171">
        <v>852001</v>
      </c>
      <c r="D220" s="171" t="s">
        <v>440</v>
      </c>
      <c r="E220" s="169">
        <v>7.8</v>
      </c>
      <c r="F220" s="141"/>
      <c r="G220" s="171" t="s">
        <v>723</v>
      </c>
      <c r="H220" s="169">
        <v>0.97</v>
      </c>
      <c r="I220" s="46">
        <v>73089059</v>
      </c>
      <c r="J220" s="50"/>
    </row>
    <row r="221" spans="1:10" s="9" customFormat="1" x14ac:dyDescent="0.2">
      <c r="A221" s="140" t="s">
        <v>908</v>
      </c>
      <c r="B221" s="180" t="s">
        <v>1459</v>
      </c>
      <c r="C221" s="181">
        <v>852002</v>
      </c>
      <c r="D221" s="181" t="s">
        <v>440</v>
      </c>
      <c r="E221" s="169">
        <v>7.8</v>
      </c>
      <c r="F221" s="141"/>
      <c r="G221" s="181" t="s">
        <v>724</v>
      </c>
      <c r="H221" s="182">
        <v>0.97</v>
      </c>
      <c r="I221" s="46">
        <v>73089059</v>
      </c>
      <c r="J221" s="48"/>
    </row>
    <row r="222" spans="1:10" s="9" customFormat="1" x14ac:dyDescent="0.2">
      <c r="A222" s="140" t="s">
        <v>908</v>
      </c>
      <c r="B222" s="180" t="s">
        <v>364</v>
      </c>
      <c r="C222" s="181">
        <v>856105</v>
      </c>
      <c r="D222" s="181" t="s">
        <v>440</v>
      </c>
      <c r="E222" s="169">
        <v>7.54</v>
      </c>
      <c r="F222" s="141"/>
      <c r="G222" s="181" t="s">
        <v>725</v>
      </c>
      <c r="H222" s="182">
        <v>2.2999999999999998</v>
      </c>
      <c r="I222" s="46">
        <v>73089059</v>
      </c>
      <c r="J222" s="48"/>
    </row>
    <row r="223" spans="1:10" s="9" customFormat="1" x14ac:dyDescent="0.2">
      <c r="A223" s="140" t="s">
        <v>908</v>
      </c>
      <c r="B223" s="180" t="s">
        <v>376</v>
      </c>
      <c r="C223" s="181">
        <v>856106</v>
      </c>
      <c r="D223" s="181" t="s">
        <v>440</v>
      </c>
      <c r="E223" s="169">
        <v>7.54</v>
      </c>
      <c r="F223" s="141"/>
      <c r="G223" s="181" t="s">
        <v>726</v>
      </c>
      <c r="H223" s="182">
        <v>2.2999999999999998</v>
      </c>
      <c r="I223" s="46">
        <v>73089059</v>
      </c>
      <c r="J223" s="49"/>
    </row>
    <row r="224" spans="1:10" s="9" customFormat="1" x14ac:dyDescent="0.2">
      <c r="A224" s="143" t="s">
        <v>1153</v>
      </c>
      <c r="B224" s="180" t="s">
        <v>1460</v>
      </c>
      <c r="C224" s="181">
        <v>876519</v>
      </c>
      <c r="D224" s="181" t="s">
        <v>440</v>
      </c>
      <c r="E224" s="169">
        <v>1.46</v>
      </c>
      <c r="F224" s="141"/>
      <c r="G224" s="181" t="s">
        <v>1154</v>
      </c>
      <c r="H224" s="182">
        <v>71.78</v>
      </c>
      <c r="I224" s="46">
        <v>73089059</v>
      </c>
      <c r="J224" s="48"/>
    </row>
    <row r="225" spans="1:10" s="9" customFormat="1" x14ac:dyDescent="0.2">
      <c r="A225" s="143" t="s">
        <v>910</v>
      </c>
      <c r="B225" s="176" t="s">
        <v>314</v>
      </c>
      <c r="C225" s="171">
        <v>895004</v>
      </c>
      <c r="D225" s="171" t="s">
        <v>440</v>
      </c>
      <c r="E225" s="169">
        <v>5.17</v>
      </c>
      <c r="F225" s="141"/>
      <c r="G225" s="171" t="s">
        <v>727</v>
      </c>
      <c r="H225" s="169">
        <v>0.45</v>
      </c>
      <c r="I225" s="46">
        <v>73089059</v>
      </c>
      <c r="J225" s="48"/>
    </row>
    <row r="226" spans="1:10" s="9" customFormat="1" x14ac:dyDescent="0.2">
      <c r="A226" s="143" t="s">
        <v>1155</v>
      </c>
      <c r="B226" s="180" t="s">
        <v>1461</v>
      </c>
      <c r="C226" s="181">
        <v>862405</v>
      </c>
      <c r="D226" s="181" t="s">
        <v>440</v>
      </c>
      <c r="E226" s="169">
        <v>2.21</v>
      </c>
      <c r="F226" s="141"/>
      <c r="G226" s="181" t="s">
        <v>1156</v>
      </c>
      <c r="H226" s="182">
        <v>0.08</v>
      </c>
      <c r="I226" s="46">
        <v>73089059</v>
      </c>
      <c r="J226" s="48"/>
    </row>
    <row r="227" spans="1:10" s="9" customFormat="1" x14ac:dyDescent="0.2">
      <c r="A227" s="143" t="s">
        <v>1157</v>
      </c>
      <c r="B227" s="176" t="s">
        <v>1462</v>
      </c>
      <c r="C227" s="171">
        <v>876524</v>
      </c>
      <c r="D227" s="171" t="s">
        <v>440</v>
      </c>
      <c r="E227" s="169">
        <v>1.22</v>
      </c>
      <c r="F227" s="141"/>
      <c r="G227" s="171" t="s">
        <v>1158</v>
      </c>
      <c r="H227" s="169">
        <v>55.64</v>
      </c>
      <c r="I227" s="46">
        <v>73089059</v>
      </c>
      <c r="J227" s="48"/>
    </row>
    <row r="228" spans="1:10" s="9" customFormat="1" x14ac:dyDescent="0.2">
      <c r="A228" s="143" t="s">
        <v>1159</v>
      </c>
      <c r="B228" s="180" t="s">
        <v>1463</v>
      </c>
      <c r="C228" s="181">
        <v>862505</v>
      </c>
      <c r="D228" s="181" t="s">
        <v>440</v>
      </c>
      <c r="E228" s="169">
        <v>1.27</v>
      </c>
      <c r="F228" s="141"/>
      <c r="G228" s="181" t="s">
        <v>1160</v>
      </c>
      <c r="H228" s="182">
        <v>0.04</v>
      </c>
      <c r="I228" s="46">
        <v>73089059</v>
      </c>
      <c r="J228" s="48"/>
    </row>
    <row r="229" spans="1:10" s="9" customFormat="1" x14ac:dyDescent="0.2">
      <c r="A229" s="140" t="s">
        <v>909</v>
      </c>
      <c r="B229" s="176" t="s">
        <v>242</v>
      </c>
      <c r="C229" s="171">
        <v>867670</v>
      </c>
      <c r="D229" s="171" t="s">
        <v>440</v>
      </c>
      <c r="E229" s="169">
        <v>3.3</v>
      </c>
      <c r="F229" s="141"/>
      <c r="G229" s="171" t="s">
        <v>728</v>
      </c>
      <c r="H229" s="169">
        <v>0.54</v>
      </c>
      <c r="I229" s="46">
        <v>73089059</v>
      </c>
      <c r="J229" s="48"/>
    </row>
    <row r="230" spans="1:10" s="9" customFormat="1" x14ac:dyDescent="0.2">
      <c r="A230" s="140" t="s">
        <v>1161</v>
      </c>
      <c r="B230" s="161" t="s">
        <v>1464</v>
      </c>
      <c r="C230" s="46">
        <v>876515</v>
      </c>
      <c r="D230" s="46" t="s">
        <v>440</v>
      </c>
      <c r="E230" s="169">
        <v>0.47</v>
      </c>
      <c r="F230" s="141"/>
      <c r="G230" s="46" t="s">
        <v>1162</v>
      </c>
      <c r="H230" s="163">
        <v>33.96</v>
      </c>
      <c r="I230" s="46">
        <v>73089059</v>
      </c>
      <c r="J230" s="48"/>
    </row>
    <row r="231" spans="1:10" s="9" customFormat="1" x14ac:dyDescent="0.2">
      <c r="A231" s="140" t="s">
        <v>911</v>
      </c>
      <c r="B231" s="180" t="s">
        <v>239</v>
      </c>
      <c r="C231" s="181">
        <v>890630</v>
      </c>
      <c r="D231" s="46" t="s">
        <v>440</v>
      </c>
      <c r="E231" s="169">
        <v>1.01</v>
      </c>
      <c r="F231" s="141"/>
      <c r="G231" s="181" t="s">
        <v>729</v>
      </c>
      <c r="H231" s="182">
        <v>0.03</v>
      </c>
      <c r="I231" s="46">
        <v>73089059</v>
      </c>
      <c r="J231" s="48"/>
    </row>
    <row r="232" spans="1:10" s="9" customFormat="1" x14ac:dyDescent="0.2">
      <c r="A232" s="140" t="s">
        <v>911</v>
      </c>
      <c r="B232" s="170" t="s">
        <v>179</v>
      </c>
      <c r="C232" s="171">
        <v>890512</v>
      </c>
      <c r="D232" s="171" t="s">
        <v>440</v>
      </c>
      <c r="E232" s="169">
        <v>1.48</v>
      </c>
      <c r="F232" s="141"/>
      <c r="G232" s="171" t="s">
        <v>730</v>
      </c>
      <c r="H232" s="169">
        <v>0.06</v>
      </c>
      <c r="I232" s="46">
        <v>73089059</v>
      </c>
      <c r="J232" s="49"/>
    </row>
    <row r="233" spans="1:10" s="9" customFormat="1" x14ac:dyDescent="0.2">
      <c r="A233" s="140" t="s">
        <v>1163</v>
      </c>
      <c r="B233" s="199" t="s">
        <v>1465</v>
      </c>
      <c r="C233" s="171">
        <v>866621</v>
      </c>
      <c r="D233" s="171" t="s">
        <v>440</v>
      </c>
      <c r="E233" s="169">
        <v>0.68</v>
      </c>
      <c r="F233" s="141"/>
      <c r="G233" s="171" t="s">
        <v>1164</v>
      </c>
      <c r="H233" s="169">
        <v>0.03</v>
      </c>
      <c r="I233" s="46">
        <v>73089059</v>
      </c>
      <c r="J233" s="49"/>
    </row>
    <row r="234" spans="1:10" s="9" customFormat="1" x14ac:dyDescent="0.2">
      <c r="A234" s="140" t="s">
        <v>1165</v>
      </c>
      <c r="B234" s="199" t="s">
        <v>1466</v>
      </c>
      <c r="C234" s="171">
        <v>876518</v>
      </c>
      <c r="D234" s="171" t="s">
        <v>440</v>
      </c>
      <c r="E234" s="169">
        <v>0.16</v>
      </c>
      <c r="F234" s="141"/>
      <c r="G234" s="171" t="s">
        <v>1166</v>
      </c>
      <c r="H234" s="169">
        <v>7.23</v>
      </c>
      <c r="I234" s="46">
        <v>73089059</v>
      </c>
      <c r="J234" s="49"/>
    </row>
    <row r="235" spans="1:10" s="9" customFormat="1" x14ac:dyDescent="0.2">
      <c r="A235" s="140" t="s">
        <v>1167</v>
      </c>
      <c r="B235" s="180" t="s">
        <v>1467</v>
      </c>
      <c r="C235" s="181">
        <v>876516</v>
      </c>
      <c r="D235" s="46" t="s">
        <v>440</v>
      </c>
      <c r="E235" s="169">
        <v>0.56999999999999995</v>
      </c>
      <c r="F235" s="141"/>
      <c r="G235" s="181" t="s">
        <v>1168</v>
      </c>
      <c r="H235" s="182">
        <v>33.659999999999997</v>
      </c>
      <c r="I235" s="46">
        <v>73089059</v>
      </c>
      <c r="J235" s="48"/>
    </row>
    <row r="236" spans="1:10" s="9" customFormat="1" x14ac:dyDescent="0.2">
      <c r="A236" s="143" t="s">
        <v>1169</v>
      </c>
      <c r="B236" s="161" t="s">
        <v>1468</v>
      </c>
      <c r="C236" s="46">
        <v>876517</v>
      </c>
      <c r="D236" s="46" t="s">
        <v>440</v>
      </c>
      <c r="E236" s="169">
        <v>0.42</v>
      </c>
      <c r="F236" s="141"/>
      <c r="G236" s="46" t="s">
        <v>1170</v>
      </c>
      <c r="H236" s="163">
        <v>25.23</v>
      </c>
      <c r="I236" s="46">
        <v>73089059</v>
      </c>
      <c r="J236" s="48"/>
    </row>
    <row r="237" spans="1:10" s="9" customFormat="1" x14ac:dyDescent="0.2">
      <c r="A237" s="140" t="s">
        <v>909</v>
      </c>
      <c r="B237" s="177" t="s">
        <v>1469</v>
      </c>
      <c r="C237" s="46">
        <v>858691</v>
      </c>
      <c r="D237" s="46" t="s">
        <v>440</v>
      </c>
      <c r="E237" s="169">
        <v>11.34</v>
      </c>
      <c r="F237" s="141"/>
      <c r="G237" s="171" t="s">
        <v>1171</v>
      </c>
      <c r="H237" s="162">
        <v>0.24</v>
      </c>
      <c r="I237" s="46">
        <v>73089059</v>
      </c>
      <c r="J237" s="48"/>
    </row>
    <row r="238" spans="1:10" s="9" customFormat="1" x14ac:dyDescent="0.2">
      <c r="A238" s="140" t="s">
        <v>1172</v>
      </c>
      <c r="B238" s="47" t="s">
        <v>1470</v>
      </c>
      <c r="C238" s="46">
        <v>876513</v>
      </c>
      <c r="D238" s="46" t="s">
        <v>1106</v>
      </c>
      <c r="E238" s="169">
        <v>26</v>
      </c>
      <c r="F238" s="141"/>
      <c r="G238" s="127" t="s">
        <v>1173</v>
      </c>
      <c r="H238" s="163">
        <v>2</v>
      </c>
      <c r="I238" s="46">
        <v>73089059</v>
      </c>
      <c r="J238" s="53"/>
    </row>
    <row r="239" spans="1:10" s="9" customFormat="1" x14ac:dyDescent="0.2">
      <c r="A239" s="140" t="s">
        <v>912</v>
      </c>
      <c r="B239" s="47" t="s">
        <v>13</v>
      </c>
      <c r="C239" s="46">
        <v>600909</v>
      </c>
      <c r="D239" s="46" t="s">
        <v>440</v>
      </c>
      <c r="E239" s="169">
        <v>0.21</v>
      </c>
      <c r="F239" s="141"/>
      <c r="G239" s="127" t="s">
        <v>731</v>
      </c>
      <c r="H239" s="163">
        <v>0.01</v>
      </c>
      <c r="I239" s="46">
        <v>76042990</v>
      </c>
      <c r="J239" s="49"/>
    </row>
    <row r="240" spans="1:10" s="9" customFormat="1" x14ac:dyDescent="0.2">
      <c r="A240" s="140" t="s">
        <v>913</v>
      </c>
      <c r="B240" s="47" t="s">
        <v>44</v>
      </c>
      <c r="C240" s="46">
        <v>890009</v>
      </c>
      <c r="D240" s="46" t="s">
        <v>441</v>
      </c>
      <c r="E240" s="169">
        <v>15.96</v>
      </c>
      <c r="F240" s="141"/>
      <c r="G240" s="127" t="s">
        <v>732</v>
      </c>
      <c r="H240" s="163">
        <v>0.99</v>
      </c>
      <c r="I240" s="46">
        <v>73181639</v>
      </c>
      <c r="J240" s="53"/>
    </row>
    <row r="241" spans="1:10" s="9" customFormat="1" x14ac:dyDescent="0.2">
      <c r="A241" s="140" t="s">
        <v>1174</v>
      </c>
      <c r="B241" s="161" t="s">
        <v>318</v>
      </c>
      <c r="C241" s="46">
        <v>6500451</v>
      </c>
      <c r="D241" s="46" t="s">
        <v>441</v>
      </c>
      <c r="E241" s="162">
        <v>4.9400000000000004</v>
      </c>
      <c r="F241" s="141"/>
      <c r="G241" s="46" t="s">
        <v>1026</v>
      </c>
      <c r="H241" s="163"/>
      <c r="I241" s="46">
        <v>73181639</v>
      </c>
      <c r="J241" s="49"/>
    </row>
    <row r="242" spans="1:10" s="9" customFormat="1" x14ac:dyDescent="0.2">
      <c r="A242" s="140" t="s">
        <v>913</v>
      </c>
      <c r="B242" s="161" t="s">
        <v>45</v>
      </c>
      <c r="C242" s="181">
        <v>890008</v>
      </c>
      <c r="D242" s="46" t="s">
        <v>441</v>
      </c>
      <c r="E242" s="169">
        <v>9.75</v>
      </c>
      <c r="F242" s="141"/>
      <c r="G242" s="181" t="s">
        <v>733</v>
      </c>
      <c r="H242" s="182">
        <v>0.53</v>
      </c>
      <c r="I242" s="46">
        <v>73181639</v>
      </c>
      <c r="J242" s="53"/>
    </row>
    <row r="243" spans="1:10" s="9" customFormat="1" x14ac:dyDescent="0.2">
      <c r="A243" s="140" t="s">
        <v>914</v>
      </c>
      <c r="B243" s="161" t="s">
        <v>111</v>
      </c>
      <c r="C243" s="46">
        <v>890403</v>
      </c>
      <c r="D243" s="46" t="s">
        <v>440</v>
      </c>
      <c r="E243" s="169">
        <v>0.21</v>
      </c>
      <c r="F243" s="141"/>
      <c r="G243" s="46" t="s">
        <v>734</v>
      </c>
      <c r="H243" s="163">
        <v>0.05</v>
      </c>
      <c r="I243" s="46">
        <v>39235090</v>
      </c>
      <c r="J243" s="49"/>
    </row>
    <row r="244" spans="1:10" s="9" customFormat="1" x14ac:dyDescent="0.2">
      <c r="A244" s="140" t="s">
        <v>915</v>
      </c>
      <c r="B244" s="161" t="s">
        <v>112</v>
      </c>
      <c r="C244" s="46">
        <v>890401</v>
      </c>
      <c r="D244" s="46" t="s">
        <v>440</v>
      </c>
      <c r="E244" s="162">
        <v>0.21</v>
      </c>
      <c r="F244" s="141"/>
      <c r="G244" s="46" t="s">
        <v>735</v>
      </c>
      <c r="H244" s="195">
        <v>0.05</v>
      </c>
      <c r="I244" s="46">
        <v>39235090</v>
      </c>
      <c r="J244" s="48"/>
    </row>
    <row r="245" spans="1:10" s="9" customFormat="1" x14ac:dyDescent="0.2">
      <c r="A245" s="140" t="s">
        <v>916</v>
      </c>
      <c r="B245" s="161" t="s">
        <v>372</v>
      </c>
      <c r="C245" s="46">
        <v>890504</v>
      </c>
      <c r="D245" s="46" t="s">
        <v>440</v>
      </c>
      <c r="E245" s="162">
        <v>1.59</v>
      </c>
      <c r="F245" s="141"/>
      <c r="G245" s="46" t="s">
        <v>736</v>
      </c>
      <c r="H245" s="195">
        <v>0.03</v>
      </c>
      <c r="I245" s="46">
        <v>39259010</v>
      </c>
      <c r="J245" s="48"/>
    </row>
    <row r="246" spans="1:10" s="9" customFormat="1" x14ac:dyDescent="0.2">
      <c r="A246" s="140" t="s">
        <v>917</v>
      </c>
      <c r="B246" s="161" t="s">
        <v>164</v>
      </c>
      <c r="C246" s="46">
        <v>890404</v>
      </c>
      <c r="D246" s="46" t="s">
        <v>440</v>
      </c>
      <c r="E246" s="162">
        <v>0.26</v>
      </c>
      <c r="F246" s="141"/>
      <c r="G246" s="46" t="s">
        <v>737</v>
      </c>
      <c r="H246" s="195"/>
      <c r="I246" s="46">
        <v>39235090</v>
      </c>
      <c r="J246" s="49"/>
    </row>
    <row r="247" spans="1:10" s="9" customFormat="1" x14ac:dyDescent="0.2">
      <c r="A247" s="140" t="s">
        <v>918</v>
      </c>
      <c r="B247" s="161" t="s">
        <v>402</v>
      </c>
      <c r="C247" s="46">
        <v>660246</v>
      </c>
      <c r="D247" s="46" t="s">
        <v>440</v>
      </c>
      <c r="E247" s="162">
        <v>0.55000000000000004</v>
      </c>
      <c r="F247" s="141"/>
      <c r="G247" s="46" t="s">
        <v>738</v>
      </c>
      <c r="H247" s="195">
        <v>0.01</v>
      </c>
      <c r="I247" s="46">
        <v>73181900</v>
      </c>
      <c r="J247" s="49"/>
    </row>
    <row r="248" spans="1:10" s="9" customFormat="1" x14ac:dyDescent="0.2">
      <c r="A248" s="140" t="s">
        <v>1175</v>
      </c>
      <c r="B248" s="161" t="s">
        <v>243</v>
      </c>
      <c r="C248" s="46">
        <v>660245</v>
      </c>
      <c r="D248" s="46" t="s">
        <v>440</v>
      </c>
      <c r="E248" s="162">
        <v>0.55000000000000004</v>
      </c>
      <c r="F248" s="141"/>
      <c r="G248" s="46" t="s">
        <v>739</v>
      </c>
      <c r="H248" s="195">
        <v>0.01</v>
      </c>
      <c r="I248" s="46">
        <v>73181900</v>
      </c>
      <c r="J248" s="49"/>
    </row>
    <row r="249" spans="1:10" s="9" customFormat="1" x14ac:dyDescent="0.2">
      <c r="A249" s="140" t="s">
        <v>1176</v>
      </c>
      <c r="B249" s="161" t="s">
        <v>1471</v>
      </c>
      <c r="C249" s="46">
        <v>650146</v>
      </c>
      <c r="D249" s="46" t="s">
        <v>441</v>
      </c>
      <c r="E249" s="162">
        <v>11.31</v>
      </c>
      <c r="F249" s="141"/>
      <c r="G249" s="46" t="s">
        <v>740</v>
      </c>
      <c r="H249" s="195">
        <v>0.31</v>
      </c>
      <c r="I249" s="46">
        <v>73181639</v>
      </c>
      <c r="J249" s="48"/>
    </row>
    <row r="250" spans="1:10" s="9" customFormat="1" x14ac:dyDescent="0.2">
      <c r="A250" s="140" t="s">
        <v>919</v>
      </c>
      <c r="B250" s="161" t="s">
        <v>411</v>
      </c>
      <c r="C250" s="46">
        <v>851018</v>
      </c>
      <c r="D250" s="46" t="s">
        <v>440</v>
      </c>
      <c r="E250" s="162">
        <v>9.75</v>
      </c>
      <c r="F250" s="141"/>
      <c r="G250" s="46" t="s">
        <v>741</v>
      </c>
      <c r="H250" s="195">
        <v>1.9</v>
      </c>
      <c r="I250" s="46">
        <v>73089059</v>
      </c>
      <c r="J250" s="48"/>
    </row>
    <row r="251" spans="1:10" s="9" customFormat="1" x14ac:dyDescent="0.2">
      <c r="A251" s="140" t="s">
        <v>919</v>
      </c>
      <c r="B251" s="161" t="s">
        <v>412</v>
      </c>
      <c r="C251" s="46">
        <v>851021</v>
      </c>
      <c r="D251" s="46" t="s">
        <v>440</v>
      </c>
      <c r="E251" s="162">
        <v>11.88</v>
      </c>
      <c r="F251" s="141"/>
      <c r="G251" s="46" t="s">
        <v>742</v>
      </c>
      <c r="H251" s="195">
        <v>2.2000000000000002</v>
      </c>
      <c r="I251" s="46">
        <v>73089059</v>
      </c>
      <c r="J251" s="53"/>
    </row>
    <row r="252" spans="1:10" s="9" customFormat="1" x14ac:dyDescent="0.2">
      <c r="A252" s="140" t="s">
        <v>919</v>
      </c>
      <c r="B252" s="161" t="s">
        <v>413</v>
      </c>
      <c r="C252" s="46">
        <v>851024</v>
      </c>
      <c r="D252" s="46" t="s">
        <v>440</v>
      </c>
      <c r="E252" s="162">
        <v>15.18</v>
      </c>
      <c r="F252" s="141"/>
      <c r="G252" s="46" t="s">
        <v>743</v>
      </c>
      <c r="H252" s="163">
        <v>3.3</v>
      </c>
      <c r="I252" s="46">
        <v>73089059</v>
      </c>
      <c r="J252" s="53"/>
    </row>
    <row r="253" spans="1:10" s="9" customFormat="1" x14ac:dyDescent="0.2">
      <c r="A253" s="140" t="s">
        <v>919</v>
      </c>
      <c r="B253" s="161" t="s">
        <v>417</v>
      </c>
      <c r="C253" s="46">
        <v>851518</v>
      </c>
      <c r="D253" s="46" t="s">
        <v>440</v>
      </c>
      <c r="E253" s="162">
        <v>12.77</v>
      </c>
      <c r="F253" s="141"/>
      <c r="G253" s="46" t="s">
        <v>744</v>
      </c>
      <c r="H253" s="163">
        <v>2.4</v>
      </c>
      <c r="I253" s="46">
        <v>73089059</v>
      </c>
      <c r="J253" s="53"/>
    </row>
    <row r="254" spans="1:10" s="9" customFormat="1" x14ac:dyDescent="0.2">
      <c r="A254" s="140" t="s">
        <v>919</v>
      </c>
      <c r="B254" s="161" t="s">
        <v>419</v>
      </c>
      <c r="C254" s="46">
        <v>851521</v>
      </c>
      <c r="D254" s="46" t="s">
        <v>440</v>
      </c>
      <c r="E254" s="169">
        <v>15</v>
      </c>
      <c r="F254" s="141"/>
      <c r="G254" s="46" t="s">
        <v>745</v>
      </c>
      <c r="H254" s="163">
        <v>2.9</v>
      </c>
      <c r="I254" s="46">
        <v>73089059</v>
      </c>
      <c r="J254" s="53"/>
    </row>
    <row r="255" spans="1:10" s="9" customFormat="1" x14ac:dyDescent="0.2">
      <c r="A255" s="140" t="s">
        <v>919</v>
      </c>
      <c r="B255" s="161" t="s">
        <v>421</v>
      </c>
      <c r="C255" s="46">
        <v>851524</v>
      </c>
      <c r="D255" s="46" t="s">
        <v>440</v>
      </c>
      <c r="E255" s="162">
        <v>16.07</v>
      </c>
      <c r="F255" s="141"/>
      <c r="G255" s="46" t="s">
        <v>746</v>
      </c>
      <c r="H255" s="163">
        <v>3.5</v>
      </c>
      <c r="I255" s="46">
        <v>73089059</v>
      </c>
      <c r="J255" s="48"/>
    </row>
    <row r="256" spans="1:10" s="9" customFormat="1" x14ac:dyDescent="0.2">
      <c r="A256" s="140" t="s">
        <v>919</v>
      </c>
      <c r="B256" s="161" t="s">
        <v>418</v>
      </c>
      <c r="C256" s="46">
        <v>852018</v>
      </c>
      <c r="D256" s="46" t="s">
        <v>440</v>
      </c>
      <c r="E256" s="162">
        <v>16.09</v>
      </c>
      <c r="F256" s="141"/>
      <c r="G256" s="46" t="s">
        <v>747</v>
      </c>
      <c r="H256" s="163">
        <v>3</v>
      </c>
      <c r="I256" s="46">
        <v>73089059</v>
      </c>
      <c r="J256" s="48"/>
    </row>
    <row r="257" spans="1:10" s="9" customFormat="1" x14ac:dyDescent="0.2">
      <c r="A257" s="140" t="s">
        <v>919</v>
      </c>
      <c r="B257" s="177" t="s">
        <v>420</v>
      </c>
      <c r="C257" s="171">
        <v>852021</v>
      </c>
      <c r="D257" s="171" t="s">
        <v>440</v>
      </c>
      <c r="E257" s="162">
        <v>18.77</v>
      </c>
      <c r="F257" s="141"/>
      <c r="G257" s="171" t="s">
        <v>748</v>
      </c>
      <c r="H257" s="162">
        <v>3.6</v>
      </c>
      <c r="I257" s="46">
        <v>73089059</v>
      </c>
      <c r="J257" s="55"/>
    </row>
    <row r="258" spans="1:10" s="9" customFormat="1" x14ac:dyDescent="0.2">
      <c r="A258" s="140" t="s">
        <v>919</v>
      </c>
      <c r="B258" s="177" t="s">
        <v>422</v>
      </c>
      <c r="C258" s="171">
        <v>852024</v>
      </c>
      <c r="D258" s="171" t="s">
        <v>440</v>
      </c>
      <c r="E258" s="162">
        <v>19.03</v>
      </c>
      <c r="F258" s="141"/>
      <c r="G258" s="171" t="s">
        <v>749</v>
      </c>
      <c r="H258" s="162">
        <v>4.0999999999999996</v>
      </c>
      <c r="I258" s="46">
        <v>73089059</v>
      </c>
      <c r="J258" s="55"/>
    </row>
    <row r="259" spans="1:10" s="9" customFormat="1" x14ac:dyDescent="0.2">
      <c r="A259" s="140" t="s">
        <v>1177</v>
      </c>
      <c r="B259" s="177" t="s">
        <v>1472</v>
      </c>
      <c r="C259" s="171">
        <v>858692</v>
      </c>
      <c r="D259" s="171" t="s">
        <v>440</v>
      </c>
      <c r="E259" s="162">
        <v>18.82</v>
      </c>
      <c r="F259" s="141"/>
      <c r="G259" s="171" t="s">
        <v>1178</v>
      </c>
      <c r="H259" s="162">
        <v>3.72</v>
      </c>
      <c r="I259" s="46">
        <v>73089059</v>
      </c>
      <c r="J259" s="55"/>
    </row>
    <row r="260" spans="1:10" s="9" customFormat="1" x14ac:dyDescent="0.2">
      <c r="A260" s="140" t="s">
        <v>1177</v>
      </c>
      <c r="B260" s="176" t="s">
        <v>1473</v>
      </c>
      <c r="C260" s="171">
        <v>858693</v>
      </c>
      <c r="D260" s="171" t="s">
        <v>440</v>
      </c>
      <c r="E260" s="162">
        <v>22</v>
      </c>
      <c r="F260" s="141"/>
      <c r="G260" s="171" t="s">
        <v>1179</v>
      </c>
      <c r="H260" s="169">
        <v>4.45</v>
      </c>
      <c r="I260" s="46">
        <v>73089059</v>
      </c>
      <c r="J260" s="55"/>
    </row>
    <row r="261" spans="1:10" s="9" customFormat="1" x14ac:dyDescent="0.2">
      <c r="A261" s="140" t="s">
        <v>1177</v>
      </c>
      <c r="B261" s="47" t="s">
        <v>1474</v>
      </c>
      <c r="C261" s="46">
        <v>858694</v>
      </c>
      <c r="D261" s="46" t="s">
        <v>440</v>
      </c>
      <c r="E261" s="162">
        <v>22.7</v>
      </c>
      <c r="F261" s="141"/>
      <c r="G261" s="46" t="s">
        <v>1180</v>
      </c>
      <c r="H261" s="163">
        <v>6.16</v>
      </c>
      <c r="I261" s="46">
        <v>73089059</v>
      </c>
      <c r="J261" s="55"/>
    </row>
    <row r="262" spans="1:10" s="9" customFormat="1" x14ac:dyDescent="0.2">
      <c r="A262" s="140" t="s">
        <v>920</v>
      </c>
      <c r="B262" s="199" t="s">
        <v>234</v>
      </c>
      <c r="C262" s="171">
        <v>893210</v>
      </c>
      <c r="D262" s="171" t="s">
        <v>440</v>
      </c>
      <c r="E262" s="162">
        <v>9.18</v>
      </c>
      <c r="F262" s="141"/>
      <c r="G262" s="171" t="s">
        <v>750</v>
      </c>
      <c r="H262" s="169">
        <v>0.82</v>
      </c>
      <c r="I262" s="46">
        <v>76042990</v>
      </c>
      <c r="J262" s="55"/>
    </row>
    <row r="263" spans="1:10" s="9" customFormat="1" x14ac:dyDescent="0.2">
      <c r="A263" s="140" t="s">
        <v>921</v>
      </c>
      <c r="B263" s="170" t="s">
        <v>235</v>
      </c>
      <c r="C263" s="171">
        <v>893221</v>
      </c>
      <c r="D263" s="171" t="s">
        <v>440</v>
      </c>
      <c r="E263" s="162">
        <v>16.77</v>
      </c>
      <c r="F263" s="141"/>
      <c r="G263" s="171" t="s">
        <v>751</v>
      </c>
      <c r="H263" s="169">
        <v>1.5</v>
      </c>
      <c r="I263" s="46">
        <v>76042990</v>
      </c>
      <c r="J263" s="55"/>
    </row>
    <row r="264" spans="1:10" s="9" customFormat="1" x14ac:dyDescent="0.2">
      <c r="A264" s="140" t="s">
        <v>922</v>
      </c>
      <c r="B264" s="170" t="s">
        <v>236</v>
      </c>
      <c r="C264" s="171">
        <v>893222</v>
      </c>
      <c r="D264" s="171" t="s">
        <v>440</v>
      </c>
      <c r="E264" s="162">
        <v>17.84</v>
      </c>
      <c r="F264" s="141"/>
      <c r="G264" s="171" t="s">
        <v>752</v>
      </c>
      <c r="H264" s="169">
        <v>1.57</v>
      </c>
      <c r="I264" s="46">
        <v>76042990</v>
      </c>
      <c r="J264" s="55"/>
    </row>
    <row r="265" spans="1:10" s="9" customFormat="1" x14ac:dyDescent="0.2">
      <c r="A265" s="140" t="s">
        <v>923</v>
      </c>
      <c r="B265" s="170" t="s">
        <v>237</v>
      </c>
      <c r="C265" s="171">
        <v>893231</v>
      </c>
      <c r="D265" s="171" t="s">
        <v>440</v>
      </c>
      <c r="E265" s="162">
        <v>25.14</v>
      </c>
      <c r="F265" s="141"/>
      <c r="G265" s="171" t="s">
        <v>753</v>
      </c>
      <c r="H265" s="169">
        <v>2.25</v>
      </c>
      <c r="I265" s="46">
        <v>76042990</v>
      </c>
      <c r="J265" s="48"/>
    </row>
    <row r="266" spans="1:10" s="9" customFormat="1" x14ac:dyDescent="0.2">
      <c r="A266" s="140" t="s">
        <v>924</v>
      </c>
      <c r="B266" s="170" t="s">
        <v>238</v>
      </c>
      <c r="C266" s="171">
        <v>893233</v>
      </c>
      <c r="D266" s="171" t="s">
        <v>440</v>
      </c>
      <c r="E266" s="162">
        <v>26.34</v>
      </c>
      <c r="F266" s="141"/>
      <c r="G266" s="171" t="s">
        <v>754</v>
      </c>
      <c r="H266" s="169">
        <v>2.36</v>
      </c>
      <c r="I266" s="46">
        <v>76042990</v>
      </c>
      <c r="J266" s="48"/>
    </row>
    <row r="267" spans="1:10" s="9" customFormat="1" x14ac:dyDescent="0.2">
      <c r="A267" s="140" t="s">
        <v>1181</v>
      </c>
      <c r="B267" s="170" t="s">
        <v>1182</v>
      </c>
      <c r="C267" s="171">
        <v>894266</v>
      </c>
      <c r="D267" s="171" t="s">
        <v>440</v>
      </c>
      <c r="E267" s="162">
        <v>163.07</v>
      </c>
      <c r="F267" s="146"/>
      <c r="G267" s="171" t="s">
        <v>1183</v>
      </c>
      <c r="H267" s="169">
        <v>18.3</v>
      </c>
      <c r="I267" s="46">
        <v>76042990</v>
      </c>
      <c r="J267" s="48"/>
    </row>
    <row r="268" spans="1:10" s="9" customFormat="1" x14ac:dyDescent="0.2">
      <c r="A268" s="140" t="s">
        <v>1184</v>
      </c>
      <c r="B268" s="172" t="s">
        <v>832</v>
      </c>
      <c r="C268" s="173">
        <v>894504</v>
      </c>
      <c r="D268" s="171" t="s">
        <v>440</v>
      </c>
      <c r="E268" s="174">
        <v>4.16</v>
      </c>
      <c r="F268" s="146"/>
      <c r="G268" s="173" t="s">
        <v>1021</v>
      </c>
      <c r="H268" s="174">
        <v>0.38</v>
      </c>
      <c r="I268" s="46">
        <v>76042990</v>
      </c>
      <c r="J268" s="48"/>
    </row>
    <row r="269" spans="1:10" s="9" customFormat="1" x14ac:dyDescent="0.2">
      <c r="A269" s="140" t="s">
        <v>920</v>
      </c>
      <c r="B269" s="177" t="s">
        <v>63</v>
      </c>
      <c r="C269" s="171">
        <v>894510</v>
      </c>
      <c r="D269" s="178" t="s">
        <v>440</v>
      </c>
      <c r="E269" s="162">
        <v>11.08</v>
      </c>
      <c r="F269" s="146"/>
      <c r="G269" s="171" t="s">
        <v>755</v>
      </c>
      <c r="H269" s="162">
        <v>1.08</v>
      </c>
      <c r="I269" s="46">
        <v>76042990</v>
      </c>
      <c r="J269" s="53"/>
    </row>
    <row r="270" spans="1:10" s="9" customFormat="1" x14ac:dyDescent="0.2">
      <c r="A270" s="140" t="s">
        <v>1185</v>
      </c>
      <c r="B270" s="177" t="s">
        <v>1186</v>
      </c>
      <c r="C270" s="171">
        <v>894613</v>
      </c>
      <c r="D270" s="178" t="s">
        <v>440</v>
      </c>
      <c r="E270" s="162">
        <v>12.51</v>
      </c>
      <c r="F270" s="146"/>
      <c r="G270" s="171" t="s">
        <v>1187</v>
      </c>
      <c r="H270" s="162">
        <v>1.22</v>
      </c>
      <c r="I270" s="46">
        <v>76042990</v>
      </c>
      <c r="J270" s="53"/>
    </row>
    <row r="271" spans="1:10" s="9" customFormat="1" x14ac:dyDescent="0.2">
      <c r="A271" s="140" t="s">
        <v>921</v>
      </c>
      <c r="B271" s="177" t="s">
        <v>11</v>
      </c>
      <c r="C271" s="171">
        <v>894621</v>
      </c>
      <c r="D271" s="178" t="s">
        <v>440</v>
      </c>
      <c r="E271" s="162">
        <v>20.05</v>
      </c>
      <c r="F271" s="141"/>
      <c r="G271" s="171" t="s">
        <v>756</v>
      </c>
      <c r="H271" s="162">
        <v>1.97</v>
      </c>
      <c r="I271" s="46">
        <v>76042990</v>
      </c>
      <c r="J271" s="53"/>
    </row>
    <row r="272" spans="1:10" s="9" customFormat="1" x14ac:dyDescent="0.2">
      <c r="A272" s="140" t="s">
        <v>922</v>
      </c>
      <c r="B272" s="177" t="s">
        <v>64</v>
      </c>
      <c r="C272" s="171">
        <v>894622</v>
      </c>
      <c r="D272" s="171" t="s">
        <v>440</v>
      </c>
      <c r="E272" s="169">
        <v>21.11</v>
      </c>
      <c r="F272" s="141"/>
      <c r="G272" s="171" t="s">
        <v>757</v>
      </c>
      <c r="H272" s="169">
        <v>2.06</v>
      </c>
      <c r="I272" s="46">
        <v>76042990</v>
      </c>
      <c r="J272" s="53"/>
    </row>
    <row r="273" spans="1:10" s="9" customFormat="1" x14ac:dyDescent="0.2">
      <c r="A273" s="140" t="s">
        <v>925</v>
      </c>
      <c r="B273" s="177" t="s">
        <v>1475</v>
      </c>
      <c r="C273" s="171">
        <v>8946222</v>
      </c>
      <c r="D273" s="171" t="s">
        <v>440</v>
      </c>
      <c r="E273" s="169">
        <v>27.85</v>
      </c>
      <c r="F273" s="141"/>
      <c r="G273" s="171" t="s">
        <v>758</v>
      </c>
      <c r="H273" s="169">
        <v>2.1</v>
      </c>
      <c r="I273" s="46">
        <v>76042990</v>
      </c>
      <c r="J273" s="49"/>
    </row>
    <row r="274" spans="1:10" s="9" customFormat="1" x14ac:dyDescent="0.2">
      <c r="A274" s="140" t="s">
        <v>1188</v>
      </c>
      <c r="B274" s="177" t="s">
        <v>1189</v>
      </c>
      <c r="C274" s="171">
        <v>894624</v>
      </c>
      <c r="D274" s="171" t="s">
        <v>440</v>
      </c>
      <c r="E274" s="162">
        <v>23.17</v>
      </c>
      <c r="F274" s="141"/>
      <c r="G274" s="171" t="s">
        <v>1190</v>
      </c>
      <c r="H274" s="162">
        <v>2.29</v>
      </c>
      <c r="I274" s="46">
        <v>76042990</v>
      </c>
      <c r="J274" s="48"/>
    </row>
    <row r="275" spans="1:10" s="9" customFormat="1" x14ac:dyDescent="0.2">
      <c r="A275" s="140" t="s">
        <v>923</v>
      </c>
      <c r="B275" s="177" t="s">
        <v>14</v>
      </c>
      <c r="C275" s="171">
        <v>894631</v>
      </c>
      <c r="D275" s="171" t="s">
        <v>440</v>
      </c>
      <c r="E275" s="162">
        <v>30.78</v>
      </c>
      <c r="F275" s="141"/>
      <c r="G275" s="171" t="s">
        <v>759</v>
      </c>
      <c r="H275" s="162">
        <v>2.96</v>
      </c>
      <c r="I275" s="46">
        <v>76042990</v>
      </c>
      <c r="J275" s="49"/>
    </row>
    <row r="276" spans="1:10" s="9" customFormat="1" x14ac:dyDescent="0.2">
      <c r="A276" s="140" t="s">
        <v>924</v>
      </c>
      <c r="B276" s="161" t="s">
        <v>18</v>
      </c>
      <c r="C276" s="46">
        <v>894633</v>
      </c>
      <c r="D276" s="46" t="s">
        <v>440</v>
      </c>
      <c r="E276" s="162">
        <v>32.159999999999997</v>
      </c>
      <c r="F276" s="141"/>
      <c r="G276" s="46" t="s">
        <v>760</v>
      </c>
      <c r="H276" s="163">
        <v>3</v>
      </c>
      <c r="I276" s="46">
        <v>76042990</v>
      </c>
      <c r="J276" s="49"/>
    </row>
    <row r="277" spans="1:10" s="9" customFormat="1" x14ac:dyDescent="0.2">
      <c r="A277" s="140" t="s">
        <v>926</v>
      </c>
      <c r="B277" s="177" t="s">
        <v>1476</v>
      </c>
      <c r="C277" s="171">
        <v>8946332</v>
      </c>
      <c r="D277" s="171" t="s">
        <v>440</v>
      </c>
      <c r="E277" s="162">
        <v>42.04</v>
      </c>
      <c r="F277" s="141"/>
      <c r="G277" s="171" t="s">
        <v>761</v>
      </c>
      <c r="H277" s="162">
        <v>3</v>
      </c>
      <c r="I277" s="46">
        <v>76042990</v>
      </c>
      <c r="J277" s="49"/>
    </row>
    <row r="278" spans="1:10" s="9" customFormat="1" x14ac:dyDescent="0.2">
      <c r="A278" s="140" t="s">
        <v>1191</v>
      </c>
      <c r="B278" s="177" t="s">
        <v>1192</v>
      </c>
      <c r="C278" s="171">
        <v>894644</v>
      </c>
      <c r="D278" s="171" t="s">
        <v>440</v>
      </c>
      <c r="E278" s="162">
        <v>48.41</v>
      </c>
      <c r="F278" s="141"/>
      <c r="G278" s="171" t="s">
        <v>1193</v>
      </c>
      <c r="H278" s="162">
        <v>4.18</v>
      </c>
      <c r="I278" s="46">
        <v>76042990</v>
      </c>
      <c r="J278" s="49"/>
    </row>
    <row r="279" spans="1:10" s="9" customFormat="1" x14ac:dyDescent="0.2">
      <c r="A279" s="147" t="s">
        <v>927</v>
      </c>
      <c r="B279" s="177" t="s">
        <v>46</v>
      </c>
      <c r="C279" s="171">
        <v>894663</v>
      </c>
      <c r="D279" s="171" t="s">
        <v>440</v>
      </c>
      <c r="E279" s="162">
        <v>64.319999999999993</v>
      </c>
      <c r="F279" s="141"/>
      <c r="G279" s="171" t="s">
        <v>762</v>
      </c>
      <c r="H279" s="162">
        <v>5.91</v>
      </c>
      <c r="I279" s="46">
        <v>76042990</v>
      </c>
      <c r="J279" s="49"/>
    </row>
    <row r="280" spans="1:10" s="9" customFormat="1" x14ac:dyDescent="0.2">
      <c r="A280" s="147" t="s">
        <v>928</v>
      </c>
      <c r="B280" s="47" t="s">
        <v>116</v>
      </c>
      <c r="C280" s="46">
        <v>894666</v>
      </c>
      <c r="D280" s="46" t="s">
        <v>440</v>
      </c>
      <c r="E280" s="169">
        <v>67.42</v>
      </c>
      <c r="F280" s="141"/>
      <c r="G280" s="46" t="s">
        <v>763</v>
      </c>
      <c r="H280" s="163">
        <v>6.1</v>
      </c>
      <c r="I280" s="46">
        <v>76042990</v>
      </c>
      <c r="J280" s="49"/>
    </row>
    <row r="281" spans="1:10" s="9" customFormat="1" x14ac:dyDescent="0.2">
      <c r="A281" s="148" t="s">
        <v>1181</v>
      </c>
      <c r="B281" s="177" t="s">
        <v>1194</v>
      </c>
      <c r="C281" s="171">
        <v>894866</v>
      </c>
      <c r="D281" s="46" t="s">
        <v>440</v>
      </c>
      <c r="E281" s="169">
        <v>128.47</v>
      </c>
      <c r="F281" s="141"/>
      <c r="G281" s="171" t="s">
        <v>1195</v>
      </c>
      <c r="H281" s="162">
        <v>12.2</v>
      </c>
      <c r="I281" s="46">
        <v>76042990</v>
      </c>
      <c r="J281" s="50"/>
    </row>
    <row r="282" spans="1:10" s="9" customFormat="1" x14ac:dyDescent="0.2">
      <c r="A282" s="148" t="s">
        <v>1196</v>
      </c>
      <c r="B282" s="177" t="s">
        <v>1197</v>
      </c>
      <c r="C282" s="171">
        <v>884510</v>
      </c>
      <c r="D282" s="46" t="s">
        <v>440</v>
      </c>
      <c r="E282" s="169">
        <v>10.220000000000001</v>
      </c>
      <c r="F282" s="141"/>
      <c r="G282" s="171" t="s">
        <v>1198</v>
      </c>
      <c r="H282" s="162">
        <v>0.94</v>
      </c>
      <c r="I282" s="46">
        <v>76042990</v>
      </c>
      <c r="J282" s="49"/>
    </row>
    <row r="283" spans="1:10" s="9" customFormat="1" x14ac:dyDescent="0.2">
      <c r="A283" s="148" t="s">
        <v>1185</v>
      </c>
      <c r="B283" s="177" t="s">
        <v>1199</v>
      </c>
      <c r="C283" s="171">
        <v>884513</v>
      </c>
      <c r="D283" s="46" t="s">
        <v>440</v>
      </c>
      <c r="E283" s="169">
        <v>11.52</v>
      </c>
      <c r="F283" s="141"/>
      <c r="G283" s="171" t="s">
        <v>1200</v>
      </c>
      <c r="H283" s="162">
        <v>1.06</v>
      </c>
      <c r="I283" s="46">
        <v>76042990</v>
      </c>
      <c r="J283" s="48"/>
    </row>
    <row r="284" spans="1:10" s="9" customFormat="1" ht="12" customHeight="1" x14ac:dyDescent="0.25">
      <c r="A284" s="148" t="s">
        <v>1201</v>
      </c>
      <c r="B284" s="177" t="s">
        <v>1202</v>
      </c>
      <c r="C284" s="171">
        <v>884521</v>
      </c>
      <c r="D284" s="46" t="s">
        <v>440</v>
      </c>
      <c r="E284" s="169">
        <v>18.329999999999998</v>
      </c>
      <c r="F284" s="141"/>
      <c r="G284" s="171" t="s">
        <v>1203</v>
      </c>
      <c r="H284" s="162">
        <v>1.72</v>
      </c>
      <c r="I284" s="46">
        <v>76042990</v>
      </c>
      <c r="J284" s="51"/>
    </row>
    <row r="285" spans="1:10" s="9" customFormat="1" x14ac:dyDescent="0.2">
      <c r="A285" s="148" t="s">
        <v>1204</v>
      </c>
      <c r="B285" s="47" t="s">
        <v>1205</v>
      </c>
      <c r="C285" s="46">
        <v>884522</v>
      </c>
      <c r="D285" s="46" t="s">
        <v>440</v>
      </c>
      <c r="E285" s="169">
        <v>19.37</v>
      </c>
      <c r="F285" s="141"/>
      <c r="G285" s="46" t="s">
        <v>1206</v>
      </c>
      <c r="H285" s="163">
        <v>1.8</v>
      </c>
      <c r="I285" s="46">
        <v>76042990</v>
      </c>
      <c r="J285" s="49"/>
    </row>
    <row r="286" spans="1:10" s="9" customFormat="1" x14ac:dyDescent="0.2">
      <c r="A286" s="148" t="s">
        <v>1188</v>
      </c>
      <c r="B286" s="47" t="s">
        <v>1207</v>
      </c>
      <c r="C286" s="46">
        <v>884524</v>
      </c>
      <c r="D286" s="46" t="s">
        <v>440</v>
      </c>
      <c r="E286" s="169">
        <v>21.11</v>
      </c>
      <c r="F286" s="141"/>
      <c r="G286" s="46" t="s">
        <v>1208</v>
      </c>
      <c r="H286" s="163">
        <v>1.96</v>
      </c>
      <c r="I286" s="46">
        <v>76042990</v>
      </c>
      <c r="J286" s="49"/>
    </row>
    <row r="287" spans="1:10" s="9" customFormat="1" x14ac:dyDescent="0.2">
      <c r="A287" s="148" t="s">
        <v>1209</v>
      </c>
      <c r="B287" s="47" t="s">
        <v>1210</v>
      </c>
      <c r="C287" s="46">
        <v>884531</v>
      </c>
      <c r="D287" s="46" t="s">
        <v>440</v>
      </c>
      <c r="E287" s="169">
        <v>27.51</v>
      </c>
      <c r="F287" s="141"/>
      <c r="G287" s="46" t="s">
        <v>1211</v>
      </c>
      <c r="H287" s="163">
        <v>2.58</v>
      </c>
      <c r="I287" s="46">
        <v>76042990</v>
      </c>
      <c r="J287" s="49"/>
    </row>
    <row r="288" spans="1:10" s="9" customFormat="1" x14ac:dyDescent="0.2">
      <c r="A288" s="148" t="s">
        <v>1212</v>
      </c>
      <c r="B288" s="47" t="s">
        <v>1213</v>
      </c>
      <c r="C288" s="46">
        <v>884533</v>
      </c>
      <c r="D288" s="46" t="s">
        <v>440</v>
      </c>
      <c r="E288" s="169">
        <v>29.04</v>
      </c>
      <c r="F288" s="141"/>
      <c r="G288" s="46" t="s">
        <v>1214</v>
      </c>
      <c r="H288" s="163">
        <v>2.7</v>
      </c>
      <c r="I288" s="46">
        <v>76042990</v>
      </c>
      <c r="J288" s="49"/>
    </row>
    <row r="289" spans="1:10" s="9" customFormat="1" x14ac:dyDescent="0.2">
      <c r="A289" s="148" t="s">
        <v>1191</v>
      </c>
      <c r="B289" s="47" t="s">
        <v>1215</v>
      </c>
      <c r="C289" s="46">
        <v>884544</v>
      </c>
      <c r="D289" s="46" t="s">
        <v>440</v>
      </c>
      <c r="E289" s="169">
        <v>39.08</v>
      </c>
      <c r="F289" s="141"/>
      <c r="G289" s="46" t="s">
        <v>1216</v>
      </c>
      <c r="H289" s="163">
        <v>3.6</v>
      </c>
      <c r="I289" s="46">
        <v>76042990</v>
      </c>
      <c r="J289" s="49"/>
    </row>
    <row r="290" spans="1:10" s="9" customFormat="1" x14ac:dyDescent="0.2">
      <c r="A290" s="148" t="s">
        <v>1217</v>
      </c>
      <c r="B290" s="47" t="s">
        <v>1218</v>
      </c>
      <c r="C290" s="46">
        <v>884563</v>
      </c>
      <c r="D290" s="46" t="s">
        <v>440</v>
      </c>
      <c r="E290" s="169">
        <v>57.07</v>
      </c>
      <c r="F290" s="141"/>
      <c r="G290" s="46" t="s">
        <v>1219</v>
      </c>
      <c r="H290" s="163">
        <v>5.15</v>
      </c>
      <c r="I290" s="46">
        <v>76042990</v>
      </c>
      <c r="J290" s="49"/>
    </row>
    <row r="291" spans="1:10" s="9" customFormat="1" x14ac:dyDescent="0.2">
      <c r="A291" s="148" t="s">
        <v>1181</v>
      </c>
      <c r="B291" s="47" t="s">
        <v>1220</v>
      </c>
      <c r="C291" s="46">
        <v>884566</v>
      </c>
      <c r="D291" s="46" t="s">
        <v>440</v>
      </c>
      <c r="E291" s="169">
        <v>59.12</v>
      </c>
      <c r="F291" s="141"/>
      <c r="G291" s="46" t="s">
        <v>1221</v>
      </c>
      <c r="H291" s="163">
        <v>5.39</v>
      </c>
      <c r="I291" s="46">
        <v>76042990</v>
      </c>
      <c r="J291" s="49"/>
    </row>
    <row r="292" spans="1:10" s="9" customFormat="1" x14ac:dyDescent="0.2">
      <c r="A292" s="148" t="s">
        <v>931</v>
      </c>
      <c r="B292" s="180" t="s">
        <v>1477</v>
      </c>
      <c r="C292" s="181">
        <v>858440</v>
      </c>
      <c r="D292" s="181" t="s">
        <v>440</v>
      </c>
      <c r="E292" s="162">
        <v>5.67</v>
      </c>
      <c r="F292" s="141"/>
      <c r="G292" s="181" t="s">
        <v>1014</v>
      </c>
      <c r="H292" s="182">
        <v>0.78</v>
      </c>
      <c r="I292" s="46">
        <v>73089059</v>
      </c>
      <c r="J292" s="49"/>
    </row>
    <row r="293" spans="1:10" s="9" customFormat="1" x14ac:dyDescent="0.2">
      <c r="A293" s="148" t="s">
        <v>931</v>
      </c>
      <c r="B293" s="180" t="s">
        <v>1478</v>
      </c>
      <c r="C293" s="181">
        <v>858450</v>
      </c>
      <c r="D293" s="46" t="s">
        <v>440</v>
      </c>
      <c r="E293" s="162">
        <v>5.95</v>
      </c>
      <c r="F293" s="141"/>
      <c r="G293" s="181" t="s">
        <v>1015</v>
      </c>
      <c r="H293" s="182">
        <v>0.81</v>
      </c>
      <c r="I293" s="46">
        <v>73089059</v>
      </c>
      <c r="J293" s="49"/>
    </row>
    <row r="294" spans="1:10" s="9" customFormat="1" x14ac:dyDescent="0.2">
      <c r="A294" s="148" t="s">
        <v>931</v>
      </c>
      <c r="B294" s="180" t="s">
        <v>1479</v>
      </c>
      <c r="C294" s="181">
        <v>858441</v>
      </c>
      <c r="D294" s="46" t="s">
        <v>440</v>
      </c>
      <c r="E294" s="162">
        <v>11.91</v>
      </c>
      <c r="F294" s="141"/>
      <c r="G294" s="181" t="s">
        <v>1016</v>
      </c>
      <c r="H294" s="182">
        <v>1.45</v>
      </c>
      <c r="I294" s="46">
        <v>73089059</v>
      </c>
      <c r="J294" s="49"/>
    </row>
    <row r="295" spans="1:10" s="9" customFormat="1" x14ac:dyDescent="0.2">
      <c r="A295" s="148" t="s">
        <v>931</v>
      </c>
      <c r="B295" s="180" t="s">
        <v>1480</v>
      </c>
      <c r="C295" s="181">
        <v>858451</v>
      </c>
      <c r="D295" s="46" t="s">
        <v>440</v>
      </c>
      <c r="E295" s="162">
        <v>12.17</v>
      </c>
      <c r="F295" s="141"/>
      <c r="G295" s="181" t="s">
        <v>1017</v>
      </c>
      <c r="H295" s="182">
        <v>1.48</v>
      </c>
      <c r="I295" s="46">
        <v>73089059</v>
      </c>
      <c r="J295" s="49"/>
    </row>
    <row r="296" spans="1:10" s="9" customFormat="1" x14ac:dyDescent="0.2">
      <c r="A296" s="148" t="s">
        <v>973</v>
      </c>
      <c r="B296" s="180" t="s">
        <v>580</v>
      </c>
      <c r="C296" s="181">
        <v>858433</v>
      </c>
      <c r="D296" s="46" t="s">
        <v>440</v>
      </c>
      <c r="E296" s="162">
        <v>2.34</v>
      </c>
      <c r="F296" s="141"/>
      <c r="G296" s="181" t="s">
        <v>1012</v>
      </c>
      <c r="H296" s="182">
        <v>0.16</v>
      </c>
      <c r="I296" s="46">
        <v>73089059</v>
      </c>
      <c r="J296" s="49"/>
    </row>
    <row r="297" spans="1:10" s="9" customFormat="1" x14ac:dyDescent="0.2">
      <c r="A297" s="148" t="s">
        <v>973</v>
      </c>
      <c r="B297" s="180" t="s">
        <v>579</v>
      </c>
      <c r="C297" s="181">
        <v>858432</v>
      </c>
      <c r="D297" s="46" t="s">
        <v>440</v>
      </c>
      <c r="E297" s="162">
        <v>2.34</v>
      </c>
      <c r="F297" s="141"/>
      <c r="G297" s="181" t="s">
        <v>1011</v>
      </c>
      <c r="H297" s="182">
        <v>0.16</v>
      </c>
      <c r="I297" s="46">
        <v>73089059</v>
      </c>
      <c r="J297" s="49"/>
    </row>
    <row r="298" spans="1:10" s="9" customFormat="1" x14ac:dyDescent="0.2">
      <c r="A298" s="148" t="s">
        <v>973</v>
      </c>
      <c r="B298" s="180" t="s">
        <v>578</v>
      </c>
      <c r="C298" s="181">
        <v>858434</v>
      </c>
      <c r="D298" s="181" t="s">
        <v>440</v>
      </c>
      <c r="E298" s="207">
        <v>1.79</v>
      </c>
      <c r="F298" s="141"/>
      <c r="G298" s="181" t="s">
        <v>1010</v>
      </c>
      <c r="H298" s="208">
        <v>0.08</v>
      </c>
      <c r="I298" s="46">
        <v>73089059</v>
      </c>
      <c r="J298" s="49"/>
    </row>
    <row r="299" spans="1:10" s="9" customFormat="1" x14ac:dyDescent="0.2">
      <c r="A299" s="148" t="s">
        <v>929</v>
      </c>
      <c r="B299" s="180" t="s">
        <v>299</v>
      </c>
      <c r="C299" s="181">
        <v>751219</v>
      </c>
      <c r="D299" s="46" t="s">
        <v>440</v>
      </c>
      <c r="E299" s="207">
        <v>43.99</v>
      </c>
      <c r="F299" s="141"/>
      <c r="G299" s="181" t="s">
        <v>764</v>
      </c>
      <c r="H299" s="208">
        <v>4.87</v>
      </c>
      <c r="I299" s="46">
        <v>73089059</v>
      </c>
      <c r="J299" s="49"/>
    </row>
    <row r="300" spans="1:10" s="9" customFormat="1" x14ac:dyDescent="0.2">
      <c r="A300" s="148" t="s">
        <v>930</v>
      </c>
      <c r="B300" s="180" t="s">
        <v>298</v>
      </c>
      <c r="C300" s="181">
        <v>751218</v>
      </c>
      <c r="D300" s="46" t="s">
        <v>440</v>
      </c>
      <c r="E300" s="207">
        <v>40.25</v>
      </c>
      <c r="F300" s="141"/>
      <c r="G300" s="181" t="s">
        <v>765</v>
      </c>
      <c r="H300" s="208">
        <v>4.32</v>
      </c>
      <c r="I300" s="46">
        <v>73089059</v>
      </c>
      <c r="J300" s="49"/>
    </row>
    <row r="301" spans="1:10" s="9" customFormat="1" x14ac:dyDescent="0.2">
      <c r="A301" s="211" t="s">
        <v>929</v>
      </c>
      <c r="B301" s="180" t="s">
        <v>1481</v>
      </c>
      <c r="C301" s="181">
        <v>876501</v>
      </c>
      <c r="D301" s="46" t="s">
        <v>440</v>
      </c>
      <c r="E301" s="207">
        <v>37.83</v>
      </c>
      <c r="F301" s="141"/>
      <c r="G301" s="181" t="s">
        <v>1222</v>
      </c>
      <c r="H301" s="208">
        <v>4.4000000000000004</v>
      </c>
      <c r="I301" s="46">
        <v>73089059</v>
      </c>
      <c r="J301" s="49"/>
    </row>
    <row r="302" spans="1:10" s="9" customFormat="1" x14ac:dyDescent="0.2">
      <c r="A302" s="211" t="s">
        <v>929</v>
      </c>
      <c r="B302" s="180" t="s">
        <v>297</v>
      </c>
      <c r="C302" s="181">
        <v>751216</v>
      </c>
      <c r="D302" s="46" t="s">
        <v>440</v>
      </c>
      <c r="E302" s="207">
        <v>34.14</v>
      </c>
      <c r="F302" s="141"/>
      <c r="G302" s="181" t="s">
        <v>766</v>
      </c>
      <c r="H302" s="208">
        <v>2.17</v>
      </c>
      <c r="I302" s="46">
        <v>73089059</v>
      </c>
      <c r="J302" s="49"/>
    </row>
    <row r="303" spans="1:10" s="9" customFormat="1" x14ac:dyDescent="0.2">
      <c r="A303" s="211" t="s">
        <v>930</v>
      </c>
      <c r="B303" s="180" t="s">
        <v>296</v>
      </c>
      <c r="C303" s="181">
        <v>751217</v>
      </c>
      <c r="D303" s="46" t="s">
        <v>440</v>
      </c>
      <c r="E303" s="207">
        <v>32.19</v>
      </c>
      <c r="F303" s="141"/>
      <c r="G303" s="181" t="s">
        <v>767</v>
      </c>
      <c r="H303" s="208">
        <v>1.81</v>
      </c>
      <c r="I303" s="46">
        <v>73089059</v>
      </c>
      <c r="J303" s="49"/>
    </row>
    <row r="304" spans="1:10" s="9" customFormat="1" x14ac:dyDescent="0.2">
      <c r="A304" s="211" t="s">
        <v>1223</v>
      </c>
      <c r="B304" s="180" t="s">
        <v>1482</v>
      </c>
      <c r="C304" s="181">
        <v>850032</v>
      </c>
      <c r="D304" s="46" t="s">
        <v>440</v>
      </c>
      <c r="E304" s="207">
        <v>7.44</v>
      </c>
      <c r="F304" s="141"/>
      <c r="G304" s="181" t="s">
        <v>1224</v>
      </c>
      <c r="H304" s="208">
        <v>0.44</v>
      </c>
      <c r="I304" s="46">
        <v>73089059</v>
      </c>
      <c r="J304" s="49"/>
    </row>
    <row r="305" spans="1:10" s="9" customFormat="1" x14ac:dyDescent="0.2">
      <c r="A305" s="211" t="s">
        <v>1223</v>
      </c>
      <c r="B305" s="180" t="s">
        <v>1483</v>
      </c>
      <c r="C305" s="181">
        <v>850031</v>
      </c>
      <c r="D305" s="46" t="s">
        <v>440</v>
      </c>
      <c r="E305" s="207">
        <v>5.95</v>
      </c>
      <c r="F305" s="141"/>
      <c r="G305" s="181" t="s">
        <v>1225</v>
      </c>
      <c r="H305" s="208">
        <v>0.23</v>
      </c>
      <c r="I305" s="46">
        <v>73089059</v>
      </c>
      <c r="J305" s="49"/>
    </row>
    <row r="306" spans="1:10" s="9" customFormat="1" x14ac:dyDescent="0.2">
      <c r="A306" s="211" t="s">
        <v>1226</v>
      </c>
      <c r="B306" s="180" t="s">
        <v>1484</v>
      </c>
      <c r="C306" s="181">
        <v>860903</v>
      </c>
      <c r="D306" s="46" t="s">
        <v>440</v>
      </c>
      <c r="E306" s="207">
        <v>5.88</v>
      </c>
      <c r="F306" s="141"/>
      <c r="G306" s="181" t="s">
        <v>1227</v>
      </c>
      <c r="H306" s="208">
        <v>0.25</v>
      </c>
      <c r="I306" s="46">
        <v>73089059</v>
      </c>
      <c r="J306" s="49"/>
    </row>
    <row r="307" spans="1:10" s="9" customFormat="1" x14ac:dyDescent="0.2">
      <c r="A307" s="211" t="s">
        <v>1226</v>
      </c>
      <c r="B307" s="180" t="s">
        <v>1485</v>
      </c>
      <c r="C307" s="181">
        <v>864724</v>
      </c>
      <c r="D307" s="46" t="s">
        <v>440</v>
      </c>
      <c r="E307" s="207">
        <v>4.71</v>
      </c>
      <c r="F307" s="141"/>
      <c r="G307" s="181" t="s">
        <v>1228</v>
      </c>
      <c r="H307" s="208">
        <v>0.11</v>
      </c>
      <c r="I307" s="46">
        <v>73089059</v>
      </c>
      <c r="J307" s="49"/>
    </row>
    <row r="308" spans="1:10" s="9" customFormat="1" x14ac:dyDescent="0.2">
      <c r="A308" s="211" t="s">
        <v>929</v>
      </c>
      <c r="B308" s="180" t="s">
        <v>1486</v>
      </c>
      <c r="C308" s="181">
        <v>858690</v>
      </c>
      <c r="D308" s="46" t="s">
        <v>440</v>
      </c>
      <c r="E308" s="207">
        <v>32.29</v>
      </c>
      <c r="F308" s="141"/>
      <c r="G308" s="181" t="s">
        <v>1229</v>
      </c>
      <c r="H308" s="208">
        <v>4.9000000000000004</v>
      </c>
      <c r="I308" s="46">
        <v>73089059</v>
      </c>
      <c r="J308" s="49"/>
    </row>
    <row r="309" spans="1:10" s="9" customFormat="1" x14ac:dyDescent="0.2">
      <c r="A309" s="211" t="s">
        <v>1230</v>
      </c>
      <c r="B309" s="180" t="s">
        <v>1487</v>
      </c>
      <c r="C309" s="181">
        <v>858689</v>
      </c>
      <c r="D309" s="46" t="s">
        <v>440</v>
      </c>
      <c r="E309" s="207">
        <v>34.06</v>
      </c>
      <c r="F309" s="141"/>
      <c r="G309" s="181" t="s">
        <v>1231</v>
      </c>
      <c r="H309" s="208">
        <v>2.88</v>
      </c>
      <c r="I309" s="46">
        <v>73089059</v>
      </c>
      <c r="J309" s="49"/>
    </row>
    <row r="310" spans="1:10" s="9" customFormat="1" x14ac:dyDescent="0.2">
      <c r="A310" s="211" t="s">
        <v>974</v>
      </c>
      <c r="B310" s="180" t="s">
        <v>409</v>
      </c>
      <c r="C310" s="181">
        <v>878000</v>
      </c>
      <c r="D310" s="46" t="s">
        <v>440</v>
      </c>
      <c r="E310" s="207">
        <v>5.41</v>
      </c>
      <c r="F310" s="141"/>
      <c r="G310" s="181" t="s">
        <v>1013</v>
      </c>
      <c r="H310" s="208">
        <v>0.17</v>
      </c>
      <c r="I310" s="46">
        <v>73089059</v>
      </c>
      <c r="J310" s="49"/>
    </row>
    <row r="311" spans="1:10" s="9" customFormat="1" x14ac:dyDescent="0.2">
      <c r="A311" s="211" t="s">
        <v>1232</v>
      </c>
      <c r="B311" s="180" t="s">
        <v>1488</v>
      </c>
      <c r="C311" s="181">
        <v>865553</v>
      </c>
      <c r="D311" s="46" t="s">
        <v>440</v>
      </c>
      <c r="E311" s="207">
        <v>4.97</v>
      </c>
      <c r="F311" s="141"/>
      <c r="G311" s="181" t="s">
        <v>1233</v>
      </c>
      <c r="H311" s="208">
        <v>0.27</v>
      </c>
      <c r="I311" s="46">
        <v>73089059</v>
      </c>
      <c r="J311" s="49"/>
    </row>
    <row r="312" spans="1:10" s="9" customFormat="1" x14ac:dyDescent="0.2">
      <c r="A312" s="211" t="s">
        <v>1232</v>
      </c>
      <c r="B312" s="180" t="s">
        <v>1489</v>
      </c>
      <c r="C312" s="181">
        <v>865652</v>
      </c>
      <c r="D312" s="46" t="s">
        <v>440</v>
      </c>
      <c r="E312" s="207">
        <v>4.24</v>
      </c>
      <c r="F312" s="141"/>
      <c r="G312" s="181" t="s">
        <v>1234</v>
      </c>
      <c r="H312" s="208">
        <v>0.13</v>
      </c>
      <c r="I312" s="46">
        <v>73089059</v>
      </c>
      <c r="J312" s="49"/>
    </row>
    <row r="313" spans="1:10" s="9" customFormat="1" x14ac:dyDescent="0.2">
      <c r="A313" s="211" t="s">
        <v>1235</v>
      </c>
      <c r="B313" s="180" t="s">
        <v>1490</v>
      </c>
      <c r="C313" s="181">
        <v>812410</v>
      </c>
      <c r="D313" s="46" t="s">
        <v>440</v>
      </c>
      <c r="E313" s="207">
        <v>3.93</v>
      </c>
      <c r="F313" s="141"/>
      <c r="G313" s="181" t="s">
        <v>1236</v>
      </c>
      <c r="H313" s="208">
        <v>0.16</v>
      </c>
      <c r="I313" s="46">
        <v>73089059</v>
      </c>
      <c r="J313" s="49"/>
    </row>
    <row r="314" spans="1:10" s="9" customFormat="1" x14ac:dyDescent="0.2">
      <c r="A314" s="211" t="s">
        <v>1235</v>
      </c>
      <c r="B314" s="180" t="s">
        <v>1491</v>
      </c>
      <c r="C314" s="181">
        <v>812405</v>
      </c>
      <c r="D314" s="46" t="s">
        <v>440</v>
      </c>
      <c r="E314" s="207">
        <v>3.35</v>
      </c>
      <c r="F314" s="141"/>
      <c r="G314" s="181" t="s">
        <v>1237</v>
      </c>
      <c r="H314" s="208">
        <v>0.08</v>
      </c>
      <c r="I314" s="46">
        <v>73089059</v>
      </c>
      <c r="J314" s="49"/>
    </row>
    <row r="315" spans="1:10" s="9" customFormat="1" x14ac:dyDescent="0.2">
      <c r="A315" s="211" t="s">
        <v>1238</v>
      </c>
      <c r="B315" s="180" t="s">
        <v>1492</v>
      </c>
      <c r="C315" s="181">
        <v>815105</v>
      </c>
      <c r="D315" s="46" t="s">
        <v>440</v>
      </c>
      <c r="E315" s="207">
        <v>4.71</v>
      </c>
      <c r="F315" s="141"/>
      <c r="G315" s="181" t="s">
        <v>1239</v>
      </c>
      <c r="H315" s="208">
        <v>0.18</v>
      </c>
      <c r="I315" s="46">
        <v>73089059</v>
      </c>
      <c r="J315" s="49"/>
    </row>
    <row r="316" spans="1:10" s="9" customFormat="1" x14ac:dyDescent="0.2">
      <c r="A316" s="211" t="s">
        <v>1238</v>
      </c>
      <c r="B316" s="180" t="s">
        <v>1493</v>
      </c>
      <c r="C316" s="181">
        <v>815055</v>
      </c>
      <c r="D316" s="46" t="s">
        <v>440</v>
      </c>
      <c r="E316" s="207">
        <v>4.03</v>
      </c>
      <c r="F316" s="141"/>
      <c r="G316" s="181" t="s">
        <v>1240</v>
      </c>
      <c r="H316" s="208">
        <v>0.09</v>
      </c>
      <c r="I316" s="46">
        <v>73089059</v>
      </c>
      <c r="J316" s="49"/>
    </row>
    <row r="317" spans="1:10" s="9" customFormat="1" x14ac:dyDescent="0.2">
      <c r="A317" s="211" t="s">
        <v>1241</v>
      </c>
      <c r="B317" s="180" t="s">
        <v>1494</v>
      </c>
      <c r="C317" s="181">
        <v>812725</v>
      </c>
      <c r="D317" s="46" t="s">
        <v>440</v>
      </c>
      <c r="E317" s="207">
        <v>3.74</v>
      </c>
      <c r="F317" s="141"/>
      <c r="G317" s="181" t="s">
        <v>1242</v>
      </c>
      <c r="H317" s="208">
        <v>0.11</v>
      </c>
      <c r="I317" s="46">
        <v>73089059</v>
      </c>
      <c r="J317" s="49"/>
    </row>
    <row r="318" spans="1:10" s="9" customFormat="1" x14ac:dyDescent="0.2">
      <c r="A318" s="211" t="s">
        <v>1241</v>
      </c>
      <c r="B318" s="180" t="s">
        <v>1495</v>
      </c>
      <c r="C318" s="181">
        <v>812715</v>
      </c>
      <c r="D318" s="46" t="s">
        <v>440</v>
      </c>
      <c r="E318" s="207">
        <v>3.2</v>
      </c>
      <c r="F318" s="141"/>
      <c r="G318" s="181" t="s">
        <v>1243</v>
      </c>
      <c r="H318" s="208">
        <v>0.06</v>
      </c>
      <c r="I318" s="46">
        <v>73089059</v>
      </c>
      <c r="J318" s="49"/>
    </row>
    <row r="319" spans="1:10" s="9" customFormat="1" x14ac:dyDescent="0.2">
      <c r="A319" s="211" t="s">
        <v>932</v>
      </c>
      <c r="B319" s="180" t="s">
        <v>1496</v>
      </c>
      <c r="C319" s="181">
        <v>1006105</v>
      </c>
      <c r="D319" s="46" t="s">
        <v>980</v>
      </c>
      <c r="E319" s="207">
        <v>3.59</v>
      </c>
      <c r="F319" s="141"/>
      <c r="G319" s="181" t="s">
        <v>768</v>
      </c>
      <c r="H319" s="208">
        <v>0.72</v>
      </c>
      <c r="I319" s="46">
        <v>73089059</v>
      </c>
      <c r="J319" s="49"/>
    </row>
    <row r="320" spans="1:10" s="9" customFormat="1" x14ac:dyDescent="0.2">
      <c r="A320" s="211" t="s">
        <v>932</v>
      </c>
      <c r="B320" s="180" t="s">
        <v>1497</v>
      </c>
      <c r="C320" s="181">
        <v>1006055</v>
      </c>
      <c r="D320" s="46" t="s">
        <v>980</v>
      </c>
      <c r="E320" s="207">
        <v>2</v>
      </c>
      <c r="F320" s="141"/>
      <c r="G320" s="181" t="s">
        <v>769</v>
      </c>
      <c r="H320" s="208">
        <v>0.42</v>
      </c>
      <c r="I320" s="46">
        <v>73089059</v>
      </c>
      <c r="J320" s="49"/>
    </row>
    <row r="321" spans="1:10" s="9" customFormat="1" x14ac:dyDescent="0.2">
      <c r="A321" s="211" t="s">
        <v>977</v>
      </c>
      <c r="B321" s="180" t="s">
        <v>404</v>
      </c>
      <c r="C321" s="181">
        <v>6505443</v>
      </c>
      <c r="D321" s="46" t="s">
        <v>441</v>
      </c>
      <c r="E321" s="207">
        <v>4.47</v>
      </c>
      <c r="F321" s="141"/>
      <c r="G321" s="181" t="s">
        <v>1024</v>
      </c>
      <c r="H321" s="208"/>
      <c r="I321" s="46">
        <v>73182200</v>
      </c>
      <c r="J321" s="49"/>
    </row>
    <row r="322" spans="1:10" s="9" customFormat="1" x14ac:dyDescent="0.2">
      <c r="A322" s="211" t="s">
        <v>1244</v>
      </c>
      <c r="B322" s="180" t="s">
        <v>1498</v>
      </c>
      <c r="C322" s="181">
        <v>868112</v>
      </c>
      <c r="D322" s="46" t="s">
        <v>440</v>
      </c>
      <c r="E322" s="207">
        <v>4.34</v>
      </c>
      <c r="F322" s="141"/>
      <c r="G322" s="181" t="s">
        <v>1245</v>
      </c>
      <c r="H322" s="208">
        <v>0.12</v>
      </c>
      <c r="I322" s="46">
        <v>73089059</v>
      </c>
      <c r="J322" s="49"/>
    </row>
    <row r="323" spans="1:10" s="9" customFormat="1" x14ac:dyDescent="0.2">
      <c r="A323" s="211" t="s">
        <v>1246</v>
      </c>
      <c r="B323" s="180" t="s">
        <v>1499</v>
      </c>
      <c r="C323" s="181">
        <v>814810</v>
      </c>
      <c r="D323" s="46" t="s">
        <v>440</v>
      </c>
      <c r="E323" s="207">
        <v>4.34</v>
      </c>
      <c r="F323" s="141"/>
      <c r="G323" s="181" t="s">
        <v>1247</v>
      </c>
      <c r="H323" s="208">
        <v>0.1</v>
      </c>
      <c r="I323" s="46">
        <v>73089059</v>
      </c>
      <c r="J323" s="49"/>
    </row>
    <row r="324" spans="1:10" s="9" customFormat="1" x14ac:dyDescent="0.2">
      <c r="A324" s="211" t="s">
        <v>1248</v>
      </c>
      <c r="B324" s="180" t="s">
        <v>1500</v>
      </c>
      <c r="C324" s="181">
        <v>868612</v>
      </c>
      <c r="D324" s="46" t="s">
        <v>440</v>
      </c>
      <c r="E324" s="207">
        <v>4.9400000000000004</v>
      </c>
      <c r="F324" s="141"/>
      <c r="G324" s="181" t="s">
        <v>1249</v>
      </c>
      <c r="H324" s="208">
        <v>0.12</v>
      </c>
      <c r="I324" s="46">
        <v>73089059</v>
      </c>
      <c r="J324" s="49"/>
    </row>
    <row r="325" spans="1:10" s="9" customFormat="1" x14ac:dyDescent="0.2">
      <c r="A325" s="211" t="s">
        <v>1250</v>
      </c>
      <c r="B325" s="180" t="s">
        <v>1501</v>
      </c>
      <c r="C325" s="181">
        <v>835110</v>
      </c>
      <c r="D325" s="46" t="s">
        <v>440</v>
      </c>
      <c r="E325" s="207">
        <v>4.9400000000000004</v>
      </c>
      <c r="F325" s="141"/>
      <c r="G325" s="181" t="s">
        <v>1251</v>
      </c>
      <c r="H325" s="208">
        <v>0.1</v>
      </c>
      <c r="I325" s="46">
        <v>73089059</v>
      </c>
      <c r="J325" s="49"/>
    </row>
    <row r="326" spans="1:10" s="9" customFormat="1" x14ac:dyDescent="0.2">
      <c r="A326" s="211" t="s">
        <v>1252</v>
      </c>
      <c r="B326" s="180" t="s">
        <v>1502</v>
      </c>
      <c r="C326" s="181">
        <v>869112</v>
      </c>
      <c r="D326" s="46" t="s">
        <v>440</v>
      </c>
      <c r="E326" s="207">
        <v>4.71</v>
      </c>
      <c r="F326" s="141"/>
      <c r="G326" s="181" t="s">
        <v>1253</v>
      </c>
      <c r="H326" s="208">
        <v>0.12</v>
      </c>
      <c r="I326" s="46">
        <v>73089059</v>
      </c>
      <c r="J326" s="49"/>
    </row>
    <row r="327" spans="1:10" s="9" customFormat="1" x14ac:dyDescent="0.2">
      <c r="A327" s="211" t="s">
        <v>1254</v>
      </c>
      <c r="B327" s="180" t="s">
        <v>1503</v>
      </c>
      <c r="C327" s="181">
        <v>814515</v>
      </c>
      <c r="D327" s="46" t="s">
        <v>440</v>
      </c>
      <c r="E327" s="207">
        <v>4.71</v>
      </c>
      <c r="F327" s="141"/>
      <c r="G327" s="181" t="s">
        <v>1255</v>
      </c>
      <c r="H327" s="208">
        <v>0.1</v>
      </c>
      <c r="I327" s="46">
        <v>73089059</v>
      </c>
      <c r="J327" s="49"/>
    </row>
    <row r="328" spans="1:10" s="9" customFormat="1" x14ac:dyDescent="0.2">
      <c r="A328" s="211" t="s">
        <v>933</v>
      </c>
      <c r="B328" s="180" t="s">
        <v>1504</v>
      </c>
      <c r="C328" s="181">
        <v>166991</v>
      </c>
      <c r="D328" s="46" t="s">
        <v>441</v>
      </c>
      <c r="E328" s="207">
        <v>0.96</v>
      </c>
      <c r="F328" s="141"/>
      <c r="G328" s="181" t="s">
        <v>770</v>
      </c>
      <c r="H328" s="208"/>
      <c r="I328" s="46">
        <v>73182200</v>
      </c>
      <c r="J328" s="49"/>
    </row>
    <row r="329" spans="1:10" s="9" customFormat="1" x14ac:dyDescent="0.2">
      <c r="A329" s="211" t="s">
        <v>933</v>
      </c>
      <c r="B329" s="180" t="s">
        <v>244</v>
      </c>
      <c r="C329" s="181">
        <v>166794</v>
      </c>
      <c r="D329" s="46" t="s">
        <v>441</v>
      </c>
      <c r="E329" s="207">
        <v>1.38</v>
      </c>
      <c r="F329" s="141"/>
      <c r="G329" s="181" t="s">
        <v>771</v>
      </c>
      <c r="H329" s="208"/>
      <c r="I329" s="46">
        <v>73182200</v>
      </c>
      <c r="J329" s="49"/>
    </row>
    <row r="330" spans="1:10" s="9" customFormat="1" x14ac:dyDescent="0.2">
      <c r="A330" s="211" t="s">
        <v>934</v>
      </c>
      <c r="B330" s="180" t="s">
        <v>1505</v>
      </c>
      <c r="C330" s="181">
        <v>651211</v>
      </c>
      <c r="D330" s="46" t="s">
        <v>440</v>
      </c>
      <c r="E330" s="207">
        <v>1.79</v>
      </c>
      <c r="F330" s="141"/>
      <c r="G330" s="181" t="s">
        <v>772</v>
      </c>
      <c r="H330" s="208">
        <v>5.2999999999999999E-2</v>
      </c>
      <c r="I330" s="46">
        <v>73181900</v>
      </c>
      <c r="J330" s="49"/>
    </row>
    <row r="331" spans="1:10" s="9" customFormat="1" x14ac:dyDescent="0.2">
      <c r="A331" s="211" t="s">
        <v>934</v>
      </c>
      <c r="B331" s="180" t="s">
        <v>1506</v>
      </c>
      <c r="C331" s="181">
        <v>650875</v>
      </c>
      <c r="D331" s="46" t="s">
        <v>440</v>
      </c>
      <c r="E331" s="207">
        <v>0.91</v>
      </c>
      <c r="F331" s="141"/>
      <c r="G331" s="181" t="s">
        <v>773</v>
      </c>
      <c r="H331" s="208">
        <v>3.1E-2</v>
      </c>
      <c r="I331" s="46">
        <v>73181900</v>
      </c>
      <c r="J331" s="49"/>
    </row>
    <row r="332" spans="1:10" s="9" customFormat="1" x14ac:dyDescent="0.2">
      <c r="A332" s="211" t="s">
        <v>1256</v>
      </c>
      <c r="B332" s="180" t="s">
        <v>1507</v>
      </c>
      <c r="C332" s="181">
        <v>850235</v>
      </c>
      <c r="D332" s="46" t="s">
        <v>440</v>
      </c>
      <c r="E332" s="207">
        <v>13.21</v>
      </c>
      <c r="F332" s="141"/>
      <c r="G332" s="181" t="s">
        <v>1257</v>
      </c>
      <c r="H332" s="208">
        <v>0.2</v>
      </c>
      <c r="I332" s="46">
        <v>73089059</v>
      </c>
      <c r="J332" s="49"/>
    </row>
    <row r="333" spans="1:10" s="9" customFormat="1" x14ac:dyDescent="0.2">
      <c r="A333" s="211" t="s">
        <v>1256</v>
      </c>
      <c r="B333" s="180" t="s">
        <v>1508</v>
      </c>
      <c r="C333" s="181">
        <v>850215</v>
      </c>
      <c r="D333" s="46" t="s">
        <v>440</v>
      </c>
      <c r="E333" s="207">
        <v>11.18</v>
      </c>
      <c r="F333" s="141"/>
      <c r="G333" s="181" t="s">
        <v>1258</v>
      </c>
      <c r="H333" s="208">
        <v>0.1</v>
      </c>
      <c r="I333" s="46">
        <v>73089059</v>
      </c>
      <c r="J333" s="49"/>
    </row>
    <row r="334" spans="1:10" s="9" customFormat="1" x14ac:dyDescent="0.2">
      <c r="A334" s="211" t="s">
        <v>1259</v>
      </c>
      <c r="B334" s="180" t="s">
        <v>1509</v>
      </c>
      <c r="C334" s="181">
        <v>815013</v>
      </c>
      <c r="D334" s="46" t="s">
        <v>440</v>
      </c>
      <c r="E334" s="207">
        <v>10.45</v>
      </c>
      <c r="F334" s="141"/>
      <c r="G334" s="181" t="s">
        <v>1260</v>
      </c>
      <c r="H334" s="208">
        <v>0.2</v>
      </c>
      <c r="I334" s="46">
        <v>73089059</v>
      </c>
      <c r="J334" s="49"/>
    </row>
    <row r="335" spans="1:10" s="9" customFormat="1" x14ac:dyDescent="0.2">
      <c r="A335" s="211" t="s">
        <v>1259</v>
      </c>
      <c r="B335" s="180" t="s">
        <v>1510</v>
      </c>
      <c r="C335" s="181">
        <v>814913</v>
      </c>
      <c r="D335" s="46" t="s">
        <v>440</v>
      </c>
      <c r="E335" s="207">
        <v>8.8699999999999992</v>
      </c>
      <c r="F335" s="141"/>
      <c r="G335" s="181" t="s">
        <v>1261</v>
      </c>
      <c r="H335" s="208">
        <v>0.1</v>
      </c>
      <c r="I335" s="46">
        <v>73089059</v>
      </c>
      <c r="J335" s="49"/>
    </row>
    <row r="336" spans="1:10" s="9" customFormat="1" x14ac:dyDescent="0.2">
      <c r="A336" s="211" t="s">
        <v>1262</v>
      </c>
      <c r="B336" s="180" t="s">
        <v>1511</v>
      </c>
      <c r="C336" s="181">
        <v>865662</v>
      </c>
      <c r="D336" s="46" t="s">
        <v>440</v>
      </c>
      <c r="E336" s="207">
        <v>6.08</v>
      </c>
      <c r="F336" s="141"/>
      <c r="G336" s="181" t="s">
        <v>1263</v>
      </c>
      <c r="H336" s="208">
        <v>0.36</v>
      </c>
      <c r="I336" s="46">
        <v>73089059</v>
      </c>
      <c r="J336" s="49"/>
    </row>
    <row r="337" spans="1:10" s="9" customFormat="1" x14ac:dyDescent="0.2">
      <c r="A337" s="211" t="s">
        <v>1262</v>
      </c>
      <c r="B337" s="180" t="s">
        <v>1512</v>
      </c>
      <c r="C337" s="181">
        <v>865661</v>
      </c>
      <c r="D337" s="46" t="s">
        <v>440</v>
      </c>
      <c r="E337" s="207">
        <v>4.9400000000000004</v>
      </c>
      <c r="F337" s="141"/>
      <c r="G337" s="181" t="s">
        <v>1264</v>
      </c>
      <c r="H337" s="208">
        <v>0.18</v>
      </c>
      <c r="I337" s="46">
        <v>73089059</v>
      </c>
      <c r="J337" s="49"/>
    </row>
    <row r="338" spans="1:10" s="9" customFormat="1" x14ac:dyDescent="0.2">
      <c r="A338" s="211" t="s">
        <v>1265</v>
      </c>
      <c r="B338" s="180" t="s">
        <v>1513</v>
      </c>
      <c r="C338" s="181">
        <v>813010</v>
      </c>
      <c r="D338" s="46" t="s">
        <v>440</v>
      </c>
      <c r="E338" s="207">
        <v>4.84</v>
      </c>
      <c r="F338" s="141"/>
      <c r="G338" s="181" t="s">
        <v>1266</v>
      </c>
      <c r="H338" s="208">
        <v>0.2</v>
      </c>
      <c r="I338" s="46">
        <v>73089059</v>
      </c>
      <c r="J338" s="49"/>
    </row>
    <row r="339" spans="1:10" s="9" customFormat="1" x14ac:dyDescent="0.2">
      <c r="A339" s="211" t="s">
        <v>1265</v>
      </c>
      <c r="B339" s="180" t="s">
        <v>1514</v>
      </c>
      <c r="C339" s="181">
        <v>813005</v>
      </c>
      <c r="D339" s="46" t="s">
        <v>440</v>
      </c>
      <c r="E339" s="207">
        <v>3.93</v>
      </c>
      <c r="F339" s="141"/>
      <c r="G339" s="181" t="s">
        <v>1267</v>
      </c>
      <c r="H339" s="208">
        <v>0.1</v>
      </c>
      <c r="I339" s="46">
        <v>73089059</v>
      </c>
      <c r="J339" s="49"/>
    </row>
    <row r="340" spans="1:10" s="9" customFormat="1" x14ac:dyDescent="0.2">
      <c r="A340" s="211" t="s">
        <v>1268</v>
      </c>
      <c r="B340" s="180" t="s">
        <v>1515</v>
      </c>
      <c r="C340" s="181">
        <v>836810</v>
      </c>
      <c r="D340" s="46" t="s">
        <v>440</v>
      </c>
      <c r="E340" s="207">
        <v>7.75</v>
      </c>
      <c r="F340" s="141"/>
      <c r="G340" s="181" t="s">
        <v>1269</v>
      </c>
      <c r="H340" s="208">
        <v>0.6</v>
      </c>
      <c r="I340" s="46">
        <v>73089059</v>
      </c>
      <c r="J340" s="49"/>
    </row>
    <row r="341" spans="1:10" s="9" customFormat="1" x14ac:dyDescent="0.2">
      <c r="A341" s="211" t="s">
        <v>1268</v>
      </c>
      <c r="B341" s="180" t="s">
        <v>1516</v>
      </c>
      <c r="C341" s="181">
        <v>836805</v>
      </c>
      <c r="D341" s="46" t="s">
        <v>440</v>
      </c>
      <c r="E341" s="207">
        <v>5.0999999999999996</v>
      </c>
      <c r="F341" s="141"/>
      <c r="G341" s="181" t="s">
        <v>1270</v>
      </c>
      <c r="H341" s="208">
        <v>0.28999999999999998</v>
      </c>
      <c r="I341" s="46">
        <v>73089059</v>
      </c>
      <c r="J341" s="49"/>
    </row>
    <row r="342" spans="1:10" s="9" customFormat="1" x14ac:dyDescent="0.2">
      <c r="A342" s="211" t="s">
        <v>935</v>
      </c>
      <c r="B342" s="180" t="s">
        <v>12</v>
      </c>
      <c r="C342" s="181">
        <v>897300</v>
      </c>
      <c r="D342" s="46" t="s">
        <v>440</v>
      </c>
      <c r="E342" s="207">
        <v>0.56999999999999995</v>
      </c>
      <c r="F342" s="141"/>
      <c r="G342" s="181" t="s">
        <v>774</v>
      </c>
      <c r="H342" s="208">
        <v>0.02</v>
      </c>
      <c r="I342" s="46">
        <v>76042990</v>
      </c>
      <c r="J342" s="49"/>
    </row>
    <row r="343" spans="1:10" s="9" customFormat="1" x14ac:dyDescent="0.2">
      <c r="A343" s="211" t="s">
        <v>935</v>
      </c>
      <c r="B343" s="180" t="s">
        <v>1271</v>
      </c>
      <c r="C343" s="181">
        <v>897417</v>
      </c>
      <c r="D343" s="46" t="s">
        <v>440</v>
      </c>
      <c r="E343" s="207">
        <v>1.92</v>
      </c>
      <c r="F343" s="141"/>
      <c r="G343" s="181" t="s">
        <v>1272</v>
      </c>
      <c r="H343" s="208">
        <v>0.04</v>
      </c>
      <c r="I343" s="46">
        <v>76042990</v>
      </c>
      <c r="J343" s="49"/>
    </row>
    <row r="344" spans="1:10" s="9" customFormat="1" x14ac:dyDescent="0.2">
      <c r="A344" s="211" t="s">
        <v>935</v>
      </c>
      <c r="B344" s="180" t="s">
        <v>1273</v>
      </c>
      <c r="C344" s="181">
        <v>897415</v>
      </c>
      <c r="D344" s="46" t="s">
        <v>440</v>
      </c>
      <c r="E344" s="207">
        <v>0.96</v>
      </c>
      <c r="F344" s="141"/>
      <c r="G344" s="181" t="s">
        <v>1274</v>
      </c>
      <c r="H344" s="208">
        <v>0.02</v>
      </c>
      <c r="I344" s="46">
        <v>76042990</v>
      </c>
      <c r="J344" s="49"/>
    </row>
    <row r="345" spans="1:10" s="9" customFormat="1" x14ac:dyDescent="0.2">
      <c r="A345" s="211" t="s">
        <v>935</v>
      </c>
      <c r="B345" s="180" t="s">
        <v>1275</v>
      </c>
      <c r="C345" s="181">
        <v>897416</v>
      </c>
      <c r="D345" s="46" t="s">
        <v>440</v>
      </c>
      <c r="E345" s="207">
        <v>1.46</v>
      </c>
      <c r="F345" s="141"/>
      <c r="G345" s="181" t="s">
        <v>1276</v>
      </c>
      <c r="H345" s="208">
        <v>0.03</v>
      </c>
      <c r="I345" s="46">
        <v>76042990</v>
      </c>
      <c r="J345" s="49"/>
    </row>
    <row r="346" spans="1:10" s="9" customFormat="1" x14ac:dyDescent="0.2">
      <c r="A346" s="211" t="s">
        <v>1277</v>
      </c>
      <c r="B346" s="180" t="s">
        <v>1278</v>
      </c>
      <c r="C346" s="181">
        <v>897317</v>
      </c>
      <c r="D346" s="46" t="s">
        <v>440</v>
      </c>
      <c r="E346" s="207">
        <v>3.87</v>
      </c>
      <c r="F346" s="141"/>
      <c r="G346" s="181" t="s">
        <v>1279</v>
      </c>
      <c r="H346" s="208">
        <v>0.04</v>
      </c>
      <c r="I346" s="46">
        <v>76042990</v>
      </c>
      <c r="J346" s="49"/>
    </row>
    <row r="347" spans="1:10" s="9" customFormat="1" x14ac:dyDescent="0.2">
      <c r="A347" s="211" t="s">
        <v>1280</v>
      </c>
      <c r="B347" s="180" t="s">
        <v>1281</v>
      </c>
      <c r="C347" s="181">
        <v>897315</v>
      </c>
      <c r="D347" s="46" t="s">
        <v>440</v>
      </c>
      <c r="E347" s="207">
        <v>1.92</v>
      </c>
      <c r="F347" s="141"/>
      <c r="G347" s="181" t="s">
        <v>1282</v>
      </c>
      <c r="H347" s="208">
        <v>0.02</v>
      </c>
      <c r="I347" s="46">
        <v>76042990</v>
      </c>
      <c r="J347" s="49"/>
    </row>
    <row r="348" spans="1:10" s="9" customFormat="1" x14ac:dyDescent="0.2">
      <c r="A348" s="211" t="s">
        <v>1283</v>
      </c>
      <c r="B348" s="180" t="s">
        <v>1284</v>
      </c>
      <c r="C348" s="181">
        <v>897316</v>
      </c>
      <c r="D348" s="46" t="s">
        <v>440</v>
      </c>
      <c r="E348" s="207">
        <v>2.89</v>
      </c>
      <c r="F348" s="141"/>
      <c r="G348" s="181" t="s">
        <v>1285</v>
      </c>
      <c r="H348" s="208">
        <v>0.03</v>
      </c>
      <c r="I348" s="46">
        <v>76042990</v>
      </c>
      <c r="J348" s="49"/>
    </row>
    <row r="349" spans="1:10" s="9" customFormat="1" x14ac:dyDescent="0.2">
      <c r="A349" s="211" t="s">
        <v>936</v>
      </c>
      <c r="B349" s="180" t="s">
        <v>6</v>
      </c>
      <c r="C349" s="181">
        <v>890300</v>
      </c>
      <c r="D349" s="46" t="s">
        <v>440</v>
      </c>
      <c r="E349" s="207">
        <v>2.08</v>
      </c>
      <c r="F349" s="141"/>
      <c r="G349" s="181" t="s">
        <v>775</v>
      </c>
      <c r="H349" s="208">
        <v>0.04</v>
      </c>
      <c r="I349" s="46">
        <v>76042990</v>
      </c>
      <c r="J349" s="49"/>
    </row>
    <row r="350" spans="1:10" s="9" customFormat="1" x14ac:dyDescent="0.2">
      <c r="A350" s="211" t="s">
        <v>937</v>
      </c>
      <c r="B350" s="180" t="s">
        <v>48</v>
      </c>
      <c r="C350" s="181">
        <v>890302</v>
      </c>
      <c r="D350" s="46" t="s">
        <v>440</v>
      </c>
      <c r="E350" s="207">
        <v>2.42</v>
      </c>
      <c r="F350" s="141"/>
      <c r="G350" s="181" t="s">
        <v>776</v>
      </c>
      <c r="H350" s="208">
        <v>0.04</v>
      </c>
      <c r="I350" s="46">
        <v>76042990</v>
      </c>
      <c r="J350" s="49"/>
    </row>
    <row r="351" spans="1:10" s="9" customFormat="1" x14ac:dyDescent="0.2">
      <c r="A351" s="211" t="s">
        <v>1286</v>
      </c>
      <c r="B351" s="180" t="s">
        <v>47</v>
      </c>
      <c r="C351" s="181">
        <v>897302</v>
      </c>
      <c r="D351" s="46" t="s">
        <v>440</v>
      </c>
      <c r="E351" s="207">
        <v>1.2</v>
      </c>
      <c r="F351" s="141"/>
      <c r="G351" s="181" t="s">
        <v>777</v>
      </c>
      <c r="H351" s="208">
        <v>0.02</v>
      </c>
      <c r="I351" s="46">
        <v>76042990</v>
      </c>
      <c r="J351" s="49"/>
    </row>
    <row r="352" spans="1:10" s="9" customFormat="1" x14ac:dyDescent="0.2">
      <c r="A352" s="211" t="s">
        <v>938</v>
      </c>
      <c r="B352" s="180" t="s">
        <v>65</v>
      </c>
      <c r="C352" s="181">
        <v>897303</v>
      </c>
      <c r="D352" s="46" t="s">
        <v>440</v>
      </c>
      <c r="E352" s="207">
        <v>0.83</v>
      </c>
      <c r="F352" s="141"/>
      <c r="G352" s="181" t="s">
        <v>778</v>
      </c>
      <c r="H352" s="208">
        <v>1.6E-2</v>
      </c>
      <c r="I352" s="46">
        <v>73089059</v>
      </c>
      <c r="J352" s="49"/>
    </row>
    <row r="353" spans="1:10" s="9" customFormat="1" x14ac:dyDescent="0.2">
      <c r="A353" s="211" t="s">
        <v>939</v>
      </c>
      <c r="B353" s="180" t="s">
        <v>149</v>
      </c>
      <c r="C353" s="181">
        <v>897304</v>
      </c>
      <c r="D353" s="46" t="s">
        <v>440</v>
      </c>
      <c r="E353" s="207">
        <v>0.83</v>
      </c>
      <c r="F353" s="141"/>
      <c r="G353" s="181" t="s">
        <v>779</v>
      </c>
      <c r="H353" s="208">
        <v>1.6E-2</v>
      </c>
      <c r="I353" s="46">
        <v>73089059</v>
      </c>
      <c r="J353" s="49"/>
    </row>
    <row r="354" spans="1:10" s="9" customFormat="1" x14ac:dyDescent="0.2">
      <c r="A354" s="211" t="s">
        <v>972</v>
      </c>
      <c r="B354" s="180" t="s">
        <v>830</v>
      </c>
      <c r="C354" s="181">
        <v>897305</v>
      </c>
      <c r="D354" s="46" t="s">
        <v>440</v>
      </c>
      <c r="E354" s="207">
        <v>1.56</v>
      </c>
      <c r="F354" s="141"/>
      <c r="G354" s="181" t="s">
        <v>1009</v>
      </c>
      <c r="H354" s="208">
        <v>0.06</v>
      </c>
      <c r="I354" s="46">
        <v>73089059</v>
      </c>
      <c r="J354" s="49"/>
    </row>
    <row r="355" spans="1:10" s="9" customFormat="1" x14ac:dyDescent="0.2">
      <c r="A355" s="211" t="s">
        <v>978</v>
      </c>
      <c r="B355" s="180" t="s">
        <v>371</v>
      </c>
      <c r="C355" s="181">
        <v>6510443</v>
      </c>
      <c r="D355" s="46" t="s">
        <v>441</v>
      </c>
      <c r="E355" s="207">
        <v>15.05</v>
      </c>
      <c r="F355" s="141"/>
      <c r="G355" s="181" t="s">
        <v>1027</v>
      </c>
      <c r="H355" s="208"/>
      <c r="I355" s="46">
        <v>73182200</v>
      </c>
      <c r="J355" s="49"/>
    </row>
    <row r="356" spans="1:10" s="9" customFormat="1" x14ac:dyDescent="0.2">
      <c r="A356" s="211" t="s">
        <v>1287</v>
      </c>
      <c r="B356" s="180" t="s">
        <v>1517</v>
      </c>
      <c r="C356" s="181">
        <v>865724</v>
      </c>
      <c r="D356" s="46" t="s">
        <v>440</v>
      </c>
      <c r="E356" s="207">
        <v>7.54</v>
      </c>
      <c r="F356" s="141"/>
      <c r="G356" s="181" t="s">
        <v>1288</v>
      </c>
      <c r="H356" s="208">
        <v>0.24</v>
      </c>
      <c r="I356" s="46">
        <v>73089059</v>
      </c>
      <c r="J356" s="49"/>
    </row>
    <row r="357" spans="1:10" s="9" customFormat="1" x14ac:dyDescent="0.2">
      <c r="A357" s="211" t="s">
        <v>1289</v>
      </c>
      <c r="B357" s="180" t="s">
        <v>1518</v>
      </c>
      <c r="C357" s="181">
        <v>864612</v>
      </c>
      <c r="D357" s="46" t="s">
        <v>440</v>
      </c>
      <c r="E357" s="207">
        <v>8.7899999999999991</v>
      </c>
      <c r="F357" s="141"/>
      <c r="G357" s="181" t="s">
        <v>1290</v>
      </c>
      <c r="H357" s="208">
        <v>0.3</v>
      </c>
      <c r="I357" s="46">
        <v>73089059</v>
      </c>
      <c r="J357" s="49"/>
    </row>
    <row r="358" spans="1:10" s="9" customFormat="1" x14ac:dyDescent="0.2">
      <c r="A358" s="211" t="s">
        <v>1291</v>
      </c>
      <c r="B358" s="180" t="s">
        <v>1519</v>
      </c>
      <c r="C358" s="181">
        <v>865924</v>
      </c>
      <c r="D358" s="46" t="s">
        <v>440</v>
      </c>
      <c r="E358" s="207">
        <v>7.54</v>
      </c>
      <c r="F358" s="141"/>
      <c r="G358" s="181" t="s">
        <v>1292</v>
      </c>
      <c r="H358" s="208">
        <v>0.24</v>
      </c>
      <c r="I358" s="46">
        <v>73089059</v>
      </c>
      <c r="J358" s="49"/>
    </row>
    <row r="359" spans="1:10" s="9" customFormat="1" x14ac:dyDescent="0.2">
      <c r="A359" s="211" t="s">
        <v>1293</v>
      </c>
      <c r="B359" s="180" t="s">
        <v>1520</v>
      </c>
      <c r="C359" s="181">
        <v>865112</v>
      </c>
      <c r="D359" s="46" t="s">
        <v>440</v>
      </c>
      <c r="E359" s="207">
        <v>8.7899999999999991</v>
      </c>
      <c r="F359" s="141"/>
      <c r="G359" s="181" t="s">
        <v>1294</v>
      </c>
      <c r="H359" s="208">
        <v>0.3</v>
      </c>
      <c r="I359" s="46">
        <v>73089059</v>
      </c>
      <c r="J359" s="49"/>
    </row>
    <row r="360" spans="1:10" s="9" customFormat="1" x14ac:dyDescent="0.2">
      <c r="A360" s="211" t="s">
        <v>1295</v>
      </c>
      <c r="B360" s="180" t="s">
        <v>1521</v>
      </c>
      <c r="C360" s="181">
        <v>866124</v>
      </c>
      <c r="D360" s="46" t="s">
        <v>440</v>
      </c>
      <c r="E360" s="207">
        <v>7.54</v>
      </c>
      <c r="F360" s="141"/>
      <c r="G360" s="181" t="s">
        <v>1296</v>
      </c>
      <c r="H360" s="208">
        <v>0.24</v>
      </c>
      <c r="I360" s="46">
        <v>73089059</v>
      </c>
      <c r="J360" s="49"/>
    </row>
    <row r="361" spans="1:10" s="9" customFormat="1" x14ac:dyDescent="0.2">
      <c r="A361" s="211" t="s">
        <v>1297</v>
      </c>
      <c r="B361" s="180" t="s">
        <v>1522</v>
      </c>
      <c r="C361" s="181">
        <v>865125</v>
      </c>
      <c r="D361" s="46" t="s">
        <v>440</v>
      </c>
      <c r="E361" s="207">
        <v>8.7899999999999991</v>
      </c>
      <c r="F361" s="141"/>
      <c r="G361" s="181" t="s">
        <v>1298</v>
      </c>
      <c r="H361" s="208">
        <v>0.3</v>
      </c>
      <c r="I361" s="46">
        <v>73089059</v>
      </c>
      <c r="J361" s="49"/>
    </row>
    <row r="362" spans="1:10" s="9" customFormat="1" x14ac:dyDescent="0.2">
      <c r="A362" s="211" t="s">
        <v>1299</v>
      </c>
      <c r="B362" s="180" t="s">
        <v>1523</v>
      </c>
      <c r="C362" s="181">
        <v>876528</v>
      </c>
      <c r="D362" s="46" t="s">
        <v>440</v>
      </c>
      <c r="E362" s="207">
        <v>2.16</v>
      </c>
      <c r="F362" s="141"/>
      <c r="G362" s="181" t="s">
        <v>1300</v>
      </c>
      <c r="H362" s="208">
        <v>0.04</v>
      </c>
      <c r="I362" s="46">
        <v>73089059</v>
      </c>
      <c r="J362" s="49"/>
    </row>
    <row r="363" spans="1:10" s="9" customFormat="1" x14ac:dyDescent="0.2">
      <c r="A363" s="211" t="s">
        <v>940</v>
      </c>
      <c r="B363" s="180" t="s">
        <v>49</v>
      </c>
      <c r="C363" s="181">
        <v>899501</v>
      </c>
      <c r="D363" s="46" t="s">
        <v>440</v>
      </c>
      <c r="E363" s="207">
        <v>13.62</v>
      </c>
      <c r="F363" s="141"/>
      <c r="G363" s="181" t="s">
        <v>780</v>
      </c>
      <c r="H363" s="208">
        <v>0.5</v>
      </c>
      <c r="I363" s="46">
        <v>73089059</v>
      </c>
      <c r="J363" s="49"/>
    </row>
    <row r="364" spans="1:10" s="9" customFormat="1" x14ac:dyDescent="0.2">
      <c r="A364" s="211" t="s">
        <v>941</v>
      </c>
      <c r="B364" s="180" t="s">
        <v>1524</v>
      </c>
      <c r="C364" s="181">
        <v>898525</v>
      </c>
      <c r="D364" s="46" t="s">
        <v>440</v>
      </c>
      <c r="E364" s="207">
        <v>0.16</v>
      </c>
      <c r="F364" s="141"/>
      <c r="G364" s="181" t="s">
        <v>781</v>
      </c>
      <c r="H364" s="208">
        <v>0.05</v>
      </c>
      <c r="I364" s="46">
        <v>73181575</v>
      </c>
      <c r="J364" s="49"/>
    </row>
    <row r="365" spans="1:10" s="9" customFormat="1" x14ac:dyDescent="0.2">
      <c r="A365" s="211" t="s">
        <v>941</v>
      </c>
      <c r="B365" s="180" t="s">
        <v>1525</v>
      </c>
      <c r="C365" s="181">
        <v>898530</v>
      </c>
      <c r="D365" s="46" t="s">
        <v>440</v>
      </c>
      <c r="E365" s="207">
        <v>0.18</v>
      </c>
      <c r="F365" s="141"/>
      <c r="G365" s="181" t="s">
        <v>782</v>
      </c>
      <c r="H365" s="208">
        <v>0.05</v>
      </c>
      <c r="I365" s="46">
        <v>73181575</v>
      </c>
      <c r="J365" s="49"/>
    </row>
    <row r="366" spans="1:10" s="9" customFormat="1" x14ac:dyDescent="0.2">
      <c r="A366" s="211" t="s">
        <v>941</v>
      </c>
      <c r="B366" s="180" t="s">
        <v>1526</v>
      </c>
      <c r="C366" s="181">
        <v>898535</v>
      </c>
      <c r="D366" s="46" t="s">
        <v>440</v>
      </c>
      <c r="E366" s="207">
        <v>0.21</v>
      </c>
      <c r="F366" s="141"/>
      <c r="G366" s="181" t="s">
        <v>783</v>
      </c>
      <c r="H366" s="208">
        <v>0.05</v>
      </c>
      <c r="I366" s="46">
        <v>73181575</v>
      </c>
      <c r="J366" s="49"/>
    </row>
    <row r="367" spans="1:10" s="9" customFormat="1" x14ac:dyDescent="0.2">
      <c r="A367" s="211" t="s">
        <v>941</v>
      </c>
      <c r="B367" s="180" t="s">
        <v>1527</v>
      </c>
      <c r="C367" s="181">
        <v>898540</v>
      </c>
      <c r="D367" s="46" t="s">
        <v>440</v>
      </c>
      <c r="E367" s="207">
        <v>0.21</v>
      </c>
      <c r="F367" s="141"/>
      <c r="G367" s="181" t="s">
        <v>784</v>
      </c>
      <c r="H367" s="208">
        <v>0.05</v>
      </c>
      <c r="I367" s="46">
        <v>73181575</v>
      </c>
      <c r="J367" s="49"/>
    </row>
    <row r="368" spans="1:10" s="9" customFormat="1" x14ac:dyDescent="0.2">
      <c r="A368" s="211" t="s">
        <v>1301</v>
      </c>
      <c r="B368" s="180" t="s">
        <v>1528</v>
      </c>
      <c r="C368" s="181">
        <v>876505</v>
      </c>
      <c r="D368" s="46" t="s">
        <v>440</v>
      </c>
      <c r="E368" s="207">
        <v>45.29</v>
      </c>
      <c r="F368" s="141"/>
      <c r="G368" s="181" t="s">
        <v>1302</v>
      </c>
      <c r="H368" s="208">
        <v>8.8000000000000007</v>
      </c>
      <c r="I368" s="46">
        <v>73089059</v>
      </c>
      <c r="J368" s="49"/>
    </row>
    <row r="369" spans="1:10" s="9" customFormat="1" x14ac:dyDescent="0.2">
      <c r="A369" s="211" t="s">
        <v>942</v>
      </c>
      <c r="B369" s="180" t="s">
        <v>50</v>
      </c>
      <c r="C369" s="181">
        <v>890002</v>
      </c>
      <c r="D369" s="46" t="s">
        <v>440</v>
      </c>
      <c r="E369" s="207">
        <v>1.98</v>
      </c>
      <c r="F369" s="141"/>
      <c r="G369" s="181" t="s">
        <v>785</v>
      </c>
      <c r="H369" s="208">
        <v>0.55000000000000004</v>
      </c>
      <c r="I369" s="46">
        <v>40081100</v>
      </c>
      <c r="J369" s="49"/>
    </row>
    <row r="370" spans="1:10" s="9" customFormat="1" x14ac:dyDescent="0.2">
      <c r="A370" s="211" t="s">
        <v>942</v>
      </c>
      <c r="B370" s="180" t="s">
        <v>115</v>
      </c>
      <c r="C370" s="181">
        <v>890007</v>
      </c>
      <c r="D370" s="46" t="s">
        <v>440</v>
      </c>
      <c r="E370" s="207">
        <v>2.11</v>
      </c>
      <c r="F370" s="141"/>
      <c r="G370" s="181" t="s">
        <v>786</v>
      </c>
      <c r="H370" s="208">
        <v>0.64</v>
      </c>
      <c r="I370" s="46">
        <v>40081100</v>
      </c>
      <c r="J370" s="49"/>
    </row>
    <row r="371" spans="1:10" s="9" customFormat="1" x14ac:dyDescent="0.2">
      <c r="A371" s="211" t="s">
        <v>942</v>
      </c>
      <c r="B371" s="180" t="s">
        <v>15</v>
      </c>
      <c r="C371" s="181">
        <v>890001</v>
      </c>
      <c r="D371" s="46" t="s">
        <v>440</v>
      </c>
      <c r="E371" s="207">
        <v>0.62</v>
      </c>
      <c r="F371" s="141"/>
      <c r="G371" s="181" t="s">
        <v>787</v>
      </c>
      <c r="H371" s="208">
        <v>0.18</v>
      </c>
      <c r="I371" s="46">
        <v>40081100</v>
      </c>
      <c r="J371" s="49"/>
    </row>
    <row r="372" spans="1:10" s="9" customFormat="1" x14ac:dyDescent="0.2">
      <c r="A372" s="211" t="s">
        <v>1301</v>
      </c>
      <c r="B372" s="180" t="s">
        <v>1529</v>
      </c>
      <c r="C372" s="181">
        <v>876509</v>
      </c>
      <c r="D372" s="46" t="s">
        <v>440</v>
      </c>
      <c r="E372" s="207">
        <v>25.25</v>
      </c>
      <c r="F372" s="141"/>
      <c r="G372" s="181" t="s">
        <v>1303</v>
      </c>
      <c r="H372" s="208">
        <v>4.45</v>
      </c>
      <c r="I372" s="46">
        <v>73089059</v>
      </c>
      <c r="J372" s="49"/>
    </row>
    <row r="373" spans="1:10" s="9" customFormat="1" x14ac:dyDescent="0.2">
      <c r="A373" s="211" t="s">
        <v>943</v>
      </c>
      <c r="B373" s="180" t="s">
        <v>305</v>
      </c>
      <c r="C373" s="181">
        <v>895507</v>
      </c>
      <c r="D373" s="46" t="s">
        <v>440</v>
      </c>
      <c r="E373" s="207">
        <v>1.4</v>
      </c>
      <c r="F373" s="141"/>
      <c r="G373" s="181" t="s">
        <v>788</v>
      </c>
      <c r="H373" s="208">
        <v>0.32</v>
      </c>
      <c r="I373" s="46">
        <v>40081100</v>
      </c>
      <c r="J373" s="49"/>
    </row>
    <row r="374" spans="1:10" s="9" customFormat="1" x14ac:dyDescent="0.2">
      <c r="A374" s="211" t="s">
        <v>943</v>
      </c>
      <c r="B374" s="180" t="s">
        <v>303</v>
      </c>
      <c r="C374" s="181">
        <v>895500</v>
      </c>
      <c r="D374" s="46" t="s">
        <v>440</v>
      </c>
      <c r="E374" s="207">
        <v>0.18</v>
      </c>
      <c r="F374" s="141"/>
      <c r="G374" s="181" t="s">
        <v>789</v>
      </c>
      <c r="H374" s="208">
        <v>0.18</v>
      </c>
      <c r="I374" s="46">
        <v>40081100</v>
      </c>
      <c r="J374" s="49"/>
    </row>
    <row r="375" spans="1:10" s="9" customFormat="1" x14ac:dyDescent="0.2">
      <c r="A375" s="211" t="s">
        <v>943</v>
      </c>
      <c r="B375" s="180" t="s">
        <v>304</v>
      </c>
      <c r="C375" s="181">
        <v>895501</v>
      </c>
      <c r="D375" s="46" t="s">
        <v>440</v>
      </c>
      <c r="E375" s="207">
        <v>0.44</v>
      </c>
      <c r="F375" s="141"/>
      <c r="G375" s="181" t="s">
        <v>790</v>
      </c>
      <c r="H375" s="208">
        <v>0.9</v>
      </c>
      <c r="I375" s="46">
        <v>40081100</v>
      </c>
      <c r="J375" s="49"/>
    </row>
    <row r="376" spans="1:10" s="9" customFormat="1" x14ac:dyDescent="0.2">
      <c r="A376" s="211" t="s">
        <v>1304</v>
      </c>
      <c r="B376" s="180" t="s">
        <v>1305</v>
      </c>
      <c r="C376" s="181">
        <v>876510</v>
      </c>
      <c r="D376" s="46" t="s">
        <v>440</v>
      </c>
      <c r="E376" s="207">
        <v>1.66</v>
      </c>
      <c r="F376" s="141"/>
      <c r="G376" s="181" t="s">
        <v>1306</v>
      </c>
      <c r="H376" s="208">
        <v>0.17</v>
      </c>
      <c r="I376" s="46">
        <v>73181595</v>
      </c>
      <c r="J376" s="49"/>
    </row>
    <row r="377" spans="1:10" s="9" customFormat="1" x14ac:dyDescent="0.2">
      <c r="A377" s="211" t="s">
        <v>944</v>
      </c>
      <c r="B377" s="180" t="s">
        <v>150</v>
      </c>
      <c r="C377" s="181">
        <v>651643</v>
      </c>
      <c r="D377" s="46" t="s">
        <v>441</v>
      </c>
      <c r="E377" s="207">
        <v>49.87</v>
      </c>
      <c r="F377" s="141"/>
      <c r="G377" s="181" t="s">
        <v>791</v>
      </c>
      <c r="H377" s="208">
        <v>3.3</v>
      </c>
      <c r="I377" s="46">
        <v>73181595</v>
      </c>
      <c r="J377" s="49"/>
    </row>
    <row r="378" spans="1:10" s="9" customFormat="1" x14ac:dyDescent="0.2">
      <c r="A378" s="211" t="s">
        <v>944</v>
      </c>
      <c r="B378" s="180" t="s">
        <v>127</v>
      </c>
      <c r="C378" s="181">
        <v>890111</v>
      </c>
      <c r="D378" s="46" t="s">
        <v>441</v>
      </c>
      <c r="E378" s="207">
        <v>60.37</v>
      </c>
      <c r="F378" s="141"/>
      <c r="G378" s="181" t="s">
        <v>792</v>
      </c>
      <c r="H378" s="208">
        <v>4</v>
      </c>
      <c r="I378" s="46">
        <v>73181595</v>
      </c>
      <c r="J378" s="49"/>
    </row>
    <row r="379" spans="1:10" s="9" customFormat="1" x14ac:dyDescent="0.2">
      <c r="A379" s="211" t="s">
        <v>944</v>
      </c>
      <c r="B379" s="180" t="s">
        <v>51</v>
      </c>
      <c r="C379" s="181">
        <v>651820</v>
      </c>
      <c r="D379" s="46" t="s">
        <v>441</v>
      </c>
      <c r="E379" s="207">
        <v>33.15</v>
      </c>
      <c r="F379" s="141"/>
      <c r="G379" s="181" t="s">
        <v>793</v>
      </c>
      <c r="H379" s="208">
        <v>1.62</v>
      </c>
      <c r="I379" s="46">
        <v>73181595</v>
      </c>
      <c r="J379" s="49"/>
    </row>
    <row r="380" spans="1:10" s="9" customFormat="1" x14ac:dyDescent="0.2">
      <c r="A380" s="211" t="s">
        <v>945</v>
      </c>
      <c r="B380" s="180" t="s">
        <v>7</v>
      </c>
      <c r="C380" s="181">
        <v>890040</v>
      </c>
      <c r="D380" s="46" t="s">
        <v>440</v>
      </c>
      <c r="E380" s="207">
        <v>4</v>
      </c>
      <c r="F380" s="141"/>
      <c r="G380" s="181" t="s">
        <v>794</v>
      </c>
      <c r="H380" s="208">
        <v>0.25</v>
      </c>
      <c r="I380" s="46">
        <v>76042990</v>
      </c>
      <c r="J380" s="49"/>
    </row>
    <row r="381" spans="1:10" s="9" customFormat="1" x14ac:dyDescent="0.2">
      <c r="A381" s="211" t="s">
        <v>946</v>
      </c>
      <c r="B381" s="180" t="s">
        <v>285</v>
      </c>
      <c r="C381" s="181">
        <v>890046</v>
      </c>
      <c r="D381" s="46" t="s">
        <v>440</v>
      </c>
      <c r="E381" s="207">
        <v>43.81</v>
      </c>
      <c r="F381" s="141"/>
      <c r="G381" s="181" t="s">
        <v>795</v>
      </c>
      <c r="H381" s="208">
        <v>4.08</v>
      </c>
      <c r="I381" s="46">
        <v>76042990</v>
      </c>
      <c r="J381" s="49"/>
    </row>
    <row r="382" spans="1:10" s="9" customFormat="1" x14ac:dyDescent="0.2">
      <c r="A382" s="211" t="s">
        <v>1307</v>
      </c>
      <c r="B382" s="180" t="s">
        <v>1308</v>
      </c>
      <c r="C382" s="181">
        <v>890133</v>
      </c>
      <c r="D382" s="46" t="s">
        <v>440</v>
      </c>
      <c r="E382" s="207">
        <v>9.8800000000000008</v>
      </c>
      <c r="F382" s="141"/>
      <c r="G382" s="181" t="s">
        <v>1309</v>
      </c>
      <c r="H382" s="208">
        <v>0.61</v>
      </c>
      <c r="I382" s="46">
        <v>76042990</v>
      </c>
      <c r="J382" s="49"/>
    </row>
    <row r="383" spans="1:10" s="9" customFormat="1" x14ac:dyDescent="0.2">
      <c r="A383" s="211" t="s">
        <v>1307</v>
      </c>
      <c r="B383" s="180" t="s">
        <v>1310</v>
      </c>
      <c r="C383" s="181">
        <v>890140</v>
      </c>
      <c r="D383" s="46" t="s">
        <v>440</v>
      </c>
      <c r="E383" s="207">
        <v>11.99</v>
      </c>
      <c r="F383" s="141"/>
      <c r="G383" s="181" t="s">
        <v>1311</v>
      </c>
      <c r="H383" s="208">
        <v>0.8</v>
      </c>
      <c r="I383" s="46">
        <v>76042990</v>
      </c>
      <c r="J383" s="49"/>
    </row>
    <row r="384" spans="1:10" s="9" customFormat="1" x14ac:dyDescent="0.2">
      <c r="A384" s="211" t="s">
        <v>1307</v>
      </c>
      <c r="B384" s="180" t="s">
        <v>1312</v>
      </c>
      <c r="C384" s="181">
        <v>890166</v>
      </c>
      <c r="D384" s="46" t="s">
        <v>440</v>
      </c>
      <c r="E384" s="207">
        <v>123.68</v>
      </c>
      <c r="F384" s="141"/>
      <c r="G384" s="181" t="s">
        <v>1313</v>
      </c>
      <c r="H384" s="208">
        <v>11.2</v>
      </c>
      <c r="I384" s="46">
        <v>76042990</v>
      </c>
      <c r="J384" s="49"/>
    </row>
    <row r="385" spans="1:10" s="9" customFormat="1" x14ac:dyDescent="0.2">
      <c r="A385" s="211" t="s">
        <v>947</v>
      </c>
      <c r="B385" s="180" t="s">
        <v>52</v>
      </c>
      <c r="C385" s="181">
        <v>890433</v>
      </c>
      <c r="D385" s="46" t="s">
        <v>440</v>
      </c>
      <c r="E385" s="207">
        <v>6.19</v>
      </c>
      <c r="F385" s="141"/>
      <c r="G385" s="181" t="s">
        <v>796</v>
      </c>
      <c r="H385" s="208">
        <v>0.36</v>
      </c>
      <c r="I385" s="46">
        <v>76042990</v>
      </c>
      <c r="J385" s="49"/>
    </row>
    <row r="386" spans="1:10" s="9" customFormat="1" x14ac:dyDescent="0.2">
      <c r="A386" s="211" t="s">
        <v>1307</v>
      </c>
      <c r="B386" s="180" t="s">
        <v>1314</v>
      </c>
      <c r="C386" s="181">
        <v>890440</v>
      </c>
      <c r="D386" s="46" t="s">
        <v>440</v>
      </c>
      <c r="E386" s="207">
        <v>7.49</v>
      </c>
      <c r="F386" s="141"/>
      <c r="G386" s="181" t="s">
        <v>1315</v>
      </c>
      <c r="H386" s="208">
        <v>0.45</v>
      </c>
      <c r="I386" s="46">
        <v>76042990</v>
      </c>
      <c r="J386" s="49"/>
    </row>
    <row r="387" spans="1:10" s="9" customFormat="1" x14ac:dyDescent="0.2">
      <c r="A387" s="211" t="s">
        <v>948</v>
      </c>
      <c r="B387" s="180" t="s">
        <v>283</v>
      </c>
      <c r="C387" s="181">
        <v>890466</v>
      </c>
      <c r="D387" s="46" t="s">
        <v>440</v>
      </c>
      <c r="E387" s="207">
        <v>82.65</v>
      </c>
      <c r="F387" s="141"/>
      <c r="G387" s="181" t="s">
        <v>797</v>
      </c>
      <c r="H387" s="208">
        <v>7.02</v>
      </c>
      <c r="I387" s="46">
        <v>76042990</v>
      </c>
      <c r="J387" s="49"/>
    </row>
    <row r="388" spans="1:10" s="9" customFormat="1" x14ac:dyDescent="0.2">
      <c r="A388" s="211" t="s">
        <v>947</v>
      </c>
      <c r="B388" s="180" t="s">
        <v>5</v>
      </c>
      <c r="C388" s="181">
        <v>890733</v>
      </c>
      <c r="D388" s="46" t="s">
        <v>440</v>
      </c>
      <c r="E388" s="207">
        <v>7.72</v>
      </c>
      <c r="F388" s="141"/>
      <c r="G388" s="181" t="s">
        <v>798</v>
      </c>
      <c r="H388" s="208">
        <v>0.47</v>
      </c>
      <c r="I388" s="46">
        <v>76042990</v>
      </c>
      <c r="J388" s="49"/>
    </row>
    <row r="389" spans="1:10" s="9" customFormat="1" x14ac:dyDescent="0.2">
      <c r="A389" s="211" t="s">
        <v>1307</v>
      </c>
      <c r="B389" s="180" t="s">
        <v>1316</v>
      </c>
      <c r="C389" s="181">
        <v>890740</v>
      </c>
      <c r="D389" s="46" t="s">
        <v>440</v>
      </c>
      <c r="E389" s="207">
        <v>9.36</v>
      </c>
      <c r="F389" s="141"/>
      <c r="G389" s="181" t="s">
        <v>1317</v>
      </c>
      <c r="H389" s="208">
        <v>0.6</v>
      </c>
      <c r="I389" s="46">
        <v>76042990</v>
      </c>
      <c r="J389" s="49"/>
    </row>
    <row r="390" spans="1:10" s="9" customFormat="1" x14ac:dyDescent="0.2">
      <c r="A390" s="211" t="s">
        <v>948</v>
      </c>
      <c r="B390" s="180" t="s">
        <v>284</v>
      </c>
      <c r="C390" s="181">
        <v>890766</v>
      </c>
      <c r="D390" s="46" t="s">
        <v>440</v>
      </c>
      <c r="E390" s="207">
        <v>109.1</v>
      </c>
      <c r="F390" s="141"/>
      <c r="G390" s="181" t="s">
        <v>799</v>
      </c>
      <c r="H390" s="208">
        <v>10.44</v>
      </c>
      <c r="I390" s="46">
        <v>76042990</v>
      </c>
      <c r="J390" s="49"/>
    </row>
    <row r="391" spans="1:10" s="9" customFormat="1" x14ac:dyDescent="0.2">
      <c r="A391" s="211" t="s">
        <v>949</v>
      </c>
      <c r="B391" s="180" t="s">
        <v>1530</v>
      </c>
      <c r="C391" s="181">
        <v>894824</v>
      </c>
      <c r="D391" s="46" t="s">
        <v>440</v>
      </c>
      <c r="E391" s="207">
        <v>0.65</v>
      </c>
      <c r="F391" s="141"/>
      <c r="G391" s="181" t="s">
        <v>800</v>
      </c>
      <c r="H391" s="208">
        <v>0.01</v>
      </c>
      <c r="I391" s="46">
        <v>73181410</v>
      </c>
      <c r="J391" s="49"/>
    </row>
    <row r="392" spans="1:10" s="9" customFormat="1" x14ac:dyDescent="0.2">
      <c r="A392" s="211" t="s">
        <v>950</v>
      </c>
      <c r="B392" s="180" t="s">
        <v>1531</v>
      </c>
      <c r="C392" s="181">
        <v>808251</v>
      </c>
      <c r="D392" s="46" t="s">
        <v>440</v>
      </c>
      <c r="E392" s="207">
        <v>0.21</v>
      </c>
      <c r="F392" s="141"/>
      <c r="G392" s="181" t="s">
        <v>562</v>
      </c>
      <c r="H392" s="208">
        <v>0.01</v>
      </c>
      <c r="I392" s="46">
        <v>73181595</v>
      </c>
      <c r="J392" s="49"/>
    </row>
    <row r="393" spans="1:10" s="9" customFormat="1" x14ac:dyDescent="0.2">
      <c r="A393" s="211" t="s">
        <v>1318</v>
      </c>
      <c r="B393" s="180" t="s">
        <v>1532</v>
      </c>
      <c r="C393" s="181">
        <v>993321</v>
      </c>
      <c r="D393" s="46" t="s">
        <v>440</v>
      </c>
      <c r="E393" s="207">
        <v>0.42</v>
      </c>
      <c r="F393" s="141"/>
      <c r="G393" s="181" t="s">
        <v>1319</v>
      </c>
      <c r="H393" s="208">
        <v>1.7999999999999999E-2</v>
      </c>
      <c r="I393" s="46">
        <v>34031980</v>
      </c>
      <c r="J393" s="49"/>
    </row>
    <row r="394" spans="1:10" s="9" customFormat="1" x14ac:dyDescent="0.2">
      <c r="A394" s="211" t="s">
        <v>1318</v>
      </c>
      <c r="B394" s="180" t="s">
        <v>1533</v>
      </c>
      <c r="C394" s="181">
        <v>992521</v>
      </c>
      <c r="D394" s="46" t="s">
        <v>440</v>
      </c>
      <c r="E394" s="207">
        <v>0.49</v>
      </c>
      <c r="F394" s="141"/>
      <c r="G394" s="181" t="s">
        <v>1320</v>
      </c>
      <c r="H394" s="208">
        <v>0.02</v>
      </c>
      <c r="I394" s="46">
        <v>34031980</v>
      </c>
      <c r="J394" s="49"/>
    </row>
    <row r="395" spans="1:10" s="9" customFormat="1" x14ac:dyDescent="0.2">
      <c r="A395" s="211" t="s">
        <v>1321</v>
      </c>
      <c r="B395" s="180" t="s">
        <v>433</v>
      </c>
      <c r="C395" s="181">
        <v>65114197</v>
      </c>
      <c r="D395" s="46" t="s">
        <v>441</v>
      </c>
      <c r="E395" s="207">
        <v>63.8</v>
      </c>
      <c r="F395" s="141"/>
      <c r="G395" s="181" t="s">
        <v>1023</v>
      </c>
      <c r="H395" s="208"/>
      <c r="I395" s="46">
        <v>73181582</v>
      </c>
      <c r="J395" s="49"/>
    </row>
    <row r="396" spans="1:10" s="9" customFormat="1" x14ac:dyDescent="0.2">
      <c r="A396" s="211" t="s">
        <v>1321</v>
      </c>
      <c r="B396" s="180" t="s">
        <v>1534</v>
      </c>
      <c r="C396" s="181">
        <v>6505414</v>
      </c>
      <c r="D396" s="46" t="s">
        <v>441</v>
      </c>
      <c r="E396" s="207">
        <v>21.06</v>
      </c>
      <c r="F396" s="141"/>
      <c r="G396" s="181" t="s">
        <v>1025</v>
      </c>
      <c r="H396" s="208"/>
      <c r="I396" s="46">
        <v>73181582</v>
      </c>
      <c r="J396" s="49"/>
    </row>
    <row r="397" spans="1:10" s="9" customFormat="1" x14ac:dyDescent="0.2">
      <c r="A397" s="211" t="s">
        <v>951</v>
      </c>
      <c r="B397" s="180" t="s">
        <v>300</v>
      </c>
      <c r="C397" s="181">
        <v>858023</v>
      </c>
      <c r="D397" s="46" t="s">
        <v>440</v>
      </c>
      <c r="E397" s="207">
        <v>7.05</v>
      </c>
      <c r="F397" s="141"/>
      <c r="G397" s="181" t="s">
        <v>801</v>
      </c>
      <c r="H397" s="208">
        <v>0.73</v>
      </c>
      <c r="I397" s="46">
        <v>73089059</v>
      </c>
      <c r="J397" s="49"/>
    </row>
    <row r="398" spans="1:10" s="9" customFormat="1" x14ac:dyDescent="0.2">
      <c r="A398" s="211" t="s">
        <v>951</v>
      </c>
      <c r="B398" s="180" t="s">
        <v>301</v>
      </c>
      <c r="C398" s="181">
        <v>858024</v>
      </c>
      <c r="D398" s="46" t="s">
        <v>440</v>
      </c>
      <c r="E398" s="207">
        <v>12.92</v>
      </c>
      <c r="F398" s="141"/>
      <c r="G398" s="181" t="s">
        <v>802</v>
      </c>
      <c r="H398" s="208">
        <v>1.42</v>
      </c>
      <c r="I398" s="46">
        <v>73089059</v>
      </c>
      <c r="J398" s="49"/>
    </row>
    <row r="399" spans="1:10" s="9" customFormat="1" x14ac:dyDescent="0.2">
      <c r="A399" s="211" t="s">
        <v>1322</v>
      </c>
      <c r="B399" s="180" t="s">
        <v>1323</v>
      </c>
      <c r="C399" s="181">
        <v>858025</v>
      </c>
      <c r="D399" s="46" t="s">
        <v>440</v>
      </c>
      <c r="E399" s="207">
        <v>5.17</v>
      </c>
      <c r="F399" s="141"/>
      <c r="G399" s="181" t="s">
        <v>1324</v>
      </c>
      <c r="H399" s="208">
        <v>0.8</v>
      </c>
      <c r="I399" s="46">
        <v>73089059</v>
      </c>
      <c r="J399" s="49"/>
    </row>
    <row r="400" spans="1:10" s="9" customFormat="1" x14ac:dyDescent="0.2">
      <c r="A400" s="211" t="s">
        <v>1325</v>
      </c>
      <c r="B400" s="180" t="s">
        <v>1535</v>
      </c>
      <c r="C400" s="181">
        <v>876503</v>
      </c>
      <c r="D400" s="46" t="s">
        <v>440</v>
      </c>
      <c r="E400" s="207">
        <v>113.26</v>
      </c>
      <c r="F400" s="141"/>
      <c r="G400" s="181" t="s">
        <v>1326</v>
      </c>
      <c r="H400" s="208">
        <v>23.65</v>
      </c>
      <c r="I400" s="46">
        <v>73089059</v>
      </c>
      <c r="J400" s="49"/>
    </row>
    <row r="401" spans="1:10" s="9" customFormat="1" x14ac:dyDescent="0.2">
      <c r="A401" s="211" t="s">
        <v>1327</v>
      </c>
      <c r="B401" s="180" t="s">
        <v>1536</v>
      </c>
      <c r="C401" s="181">
        <v>876502</v>
      </c>
      <c r="D401" s="46" t="s">
        <v>440</v>
      </c>
      <c r="E401" s="207">
        <v>112.63</v>
      </c>
      <c r="F401" s="141"/>
      <c r="G401" s="181" t="s">
        <v>1328</v>
      </c>
      <c r="H401" s="208">
        <v>23.65</v>
      </c>
      <c r="I401" s="46">
        <v>73089059</v>
      </c>
      <c r="J401" s="49"/>
    </row>
    <row r="402" spans="1:10" s="9" customFormat="1" x14ac:dyDescent="0.2">
      <c r="A402" s="211" t="s">
        <v>952</v>
      </c>
      <c r="B402" s="180" t="s">
        <v>302</v>
      </c>
      <c r="C402" s="181">
        <v>864205</v>
      </c>
      <c r="D402" s="46" t="s">
        <v>440</v>
      </c>
      <c r="E402" s="207">
        <v>1.22</v>
      </c>
      <c r="F402" s="141"/>
      <c r="G402" s="181" t="s">
        <v>803</v>
      </c>
      <c r="H402" s="208">
        <v>0.3</v>
      </c>
      <c r="I402" s="46">
        <v>73089059</v>
      </c>
      <c r="J402" s="49"/>
    </row>
    <row r="403" spans="1:10" s="9" customFormat="1" x14ac:dyDescent="0.2">
      <c r="A403" s="211" t="s">
        <v>953</v>
      </c>
      <c r="B403" s="180" t="s">
        <v>1537</v>
      </c>
      <c r="C403" s="181">
        <v>6506513</v>
      </c>
      <c r="D403" s="46" t="s">
        <v>440</v>
      </c>
      <c r="E403" s="207">
        <v>1.46</v>
      </c>
      <c r="F403" s="141"/>
      <c r="G403" s="181" t="s">
        <v>804</v>
      </c>
      <c r="H403" s="208">
        <v>0.06</v>
      </c>
      <c r="I403" s="46">
        <v>73181582</v>
      </c>
      <c r="J403" s="49"/>
    </row>
    <row r="404" spans="1:10" s="9" customFormat="1" x14ac:dyDescent="0.2">
      <c r="A404" s="211" t="s">
        <v>954</v>
      </c>
      <c r="B404" s="180" t="s">
        <v>151</v>
      </c>
      <c r="C404" s="181">
        <v>991020</v>
      </c>
      <c r="D404" s="46" t="s">
        <v>441</v>
      </c>
      <c r="E404" s="207">
        <v>24.13</v>
      </c>
      <c r="F404" s="141"/>
      <c r="G404" s="181" t="s">
        <v>805</v>
      </c>
      <c r="H404" s="208">
        <v>2.5</v>
      </c>
      <c r="I404" s="46">
        <v>73181575</v>
      </c>
      <c r="J404" s="49"/>
    </row>
    <row r="405" spans="1:10" s="9" customFormat="1" x14ac:dyDescent="0.2">
      <c r="A405" s="211" t="s">
        <v>954</v>
      </c>
      <c r="B405" s="180" t="s">
        <v>1538</v>
      </c>
      <c r="C405" s="181">
        <v>998121</v>
      </c>
      <c r="D405" s="46" t="s">
        <v>441</v>
      </c>
      <c r="E405" s="207">
        <v>8.6300000000000008</v>
      </c>
      <c r="F405" s="141"/>
      <c r="G405" s="181" t="s">
        <v>1022</v>
      </c>
      <c r="H405" s="208"/>
      <c r="I405" s="46">
        <v>73181582</v>
      </c>
      <c r="J405" s="49"/>
    </row>
    <row r="406" spans="1:10" s="9" customFormat="1" x14ac:dyDescent="0.2">
      <c r="A406" s="211" t="s">
        <v>954</v>
      </c>
      <c r="B406" s="180" t="s">
        <v>1539</v>
      </c>
      <c r="C406" s="181">
        <v>99998301</v>
      </c>
      <c r="D406" s="46" t="s">
        <v>441</v>
      </c>
      <c r="E406" s="207">
        <v>16.850000000000001</v>
      </c>
      <c r="F406" s="141"/>
      <c r="G406" s="181" t="s">
        <v>806</v>
      </c>
      <c r="H406" s="208"/>
      <c r="I406" s="46">
        <v>73181575</v>
      </c>
      <c r="J406" s="49"/>
    </row>
    <row r="407" spans="1:10" s="9" customFormat="1" x14ac:dyDescent="0.2">
      <c r="A407" s="211" t="s">
        <v>955</v>
      </c>
      <c r="B407" s="180" t="s">
        <v>1540</v>
      </c>
      <c r="C407" s="181">
        <v>898820</v>
      </c>
      <c r="D407" s="46" t="s">
        <v>440</v>
      </c>
      <c r="E407" s="207">
        <v>2.1800000000000002</v>
      </c>
      <c r="F407" s="141"/>
      <c r="G407" s="181">
        <v>5900993207224</v>
      </c>
      <c r="H407" s="208">
        <v>0.13</v>
      </c>
      <c r="I407" s="46">
        <v>73181575</v>
      </c>
      <c r="J407" s="49"/>
    </row>
    <row r="408" spans="1:10" s="9" customFormat="1" x14ac:dyDescent="0.2">
      <c r="A408" s="211" t="s">
        <v>955</v>
      </c>
      <c r="B408" s="180" t="s">
        <v>1541</v>
      </c>
      <c r="C408" s="181">
        <v>898825</v>
      </c>
      <c r="D408" s="46" t="s">
        <v>440</v>
      </c>
      <c r="E408" s="207">
        <v>2.42</v>
      </c>
      <c r="F408" s="141"/>
      <c r="G408" s="181">
        <v>5900993207231</v>
      </c>
      <c r="H408" s="208">
        <v>0.15</v>
      </c>
      <c r="I408" s="46">
        <v>73181575</v>
      </c>
      <c r="J408" s="49"/>
    </row>
    <row r="409" spans="1:10" s="9" customFormat="1" x14ac:dyDescent="0.2">
      <c r="A409" s="211" t="s">
        <v>955</v>
      </c>
      <c r="B409" s="180" t="s">
        <v>1542</v>
      </c>
      <c r="C409" s="181">
        <v>898830</v>
      </c>
      <c r="D409" s="46" t="s">
        <v>440</v>
      </c>
      <c r="E409" s="207">
        <v>2.89</v>
      </c>
      <c r="F409" s="141"/>
      <c r="G409" s="181">
        <v>5900993207248</v>
      </c>
      <c r="H409" s="208">
        <v>0.17</v>
      </c>
      <c r="I409" s="46">
        <v>73181575</v>
      </c>
      <c r="J409" s="49"/>
    </row>
    <row r="410" spans="1:10" s="9" customFormat="1" x14ac:dyDescent="0.2">
      <c r="A410" s="211" t="s">
        <v>955</v>
      </c>
      <c r="B410" s="180" t="s">
        <v>1543</v>
      </c>
      <c r="C410" s="181">
        <v>898831</v>
      </c>
      <c r="D410" s="46" t="s">
        <v>440</v>
      </c>
      <c r="E410" s="207" t="s">
        <v>979</v>
      </c>
      <c r="F410" s="141"/>
      <c r="G410" s="181" t="s">
        <v>807</v>
      </c>
      <c r="H410" s="208">
        <v>0.25</v>
      </c>
      <c r="I410" s="46">
        <v>73181575</v>
      </c>
      <c r="J410" s="49"/>
    </row>
    <row r="411" spans="1:10" s="9" customFormat="1" x14ac:dyDescent="0.2">
      <c r="A411" s="211" t="s">
        <v>1329</v>
      </c>
      <c r="B411" s="180" t="s">
        <v>1544</v>
      </c>
      <c r="C411" s="181">
        <v>860901</v>
      </c>
      <c r="D411" s="46" t="s">
        <v>440</v>
      </c>
      <c r="E411" s="207">
        <v>11.41</v>
      </c>
      <c r="F411" s="141"/>
      <c r="G411" s="181" t="s">
        <v>1330</v>
      </c>
      <c r="H411" s="208">
        <v>0.46</v>
      </c>
      <c r="I411" s="46">
        <v>73089059</v>
      </c>
      <c r="J411" s="49"/>
    </row>
    <row r="412" spans="1:10" s="9" customFormat="1" x14ac:dyDescent="0.2">
      <c r="A412" s="211" t="s">
        <v>1329</v>
      </c>
      <c r="B412" s="180" t="s">
        <v>1545</v>
      </c>
      <c r="C412" s="181">
        <v>864124</v>
      </c>
      <c r="D412" s="46" t="s">
        <v>440</v>
      </c>
      <c r="E412" s="207">
        <v>6.89</v>
      </c>
      <c r="F412" s="141"/>
      <c r="G412" s="181" t="s">
        <v>1331</v>
      </c>
      <c r="H412" s="208">
        <v>0.28999999999999998</v>
      </c>
      <c r="I412" s="46">
        <v>73089059</v>
      </c>
      <c r="J412" s="49"/>
    </row>
    <row r="413" spans="1:10" s="9" customFormat="1" x14ac:dyDescent="0.2">
      <c r="A413" s="211" t="s">
        <v>1332</v>
      </c>
      <c r="B413" s="180" t="s">
        <v>1546</v>
      </c>
      <c r="C413" s="181">
        <v>863526</v>
      </c>
      <c r="D413" s="46" t="s">
        <v>440</v>
      </c>
      <c r="E413" s="207">
        <v>12.79</v>
      </c>
      <c r="F413" s="141"/>
      <c r="G413" s="181" t="s">
        <v>1333</v>
      </c>
      <c r="H413" s="208">
        <v>0.44</v>
      </c>
      <c r="I413" s="46">
        <v>73089059</v>
      </c>
      <c r="J413" s="49"/>
    </row>
    <row r="414" spans="1:10" s="9" customFormat="1" x14ac:dyDescent="0.2">
      <c r="A414" s="211" t="s">
        <v>1332</v>
      </c>
      <c r="B414" s="180" t="s">
        <v>1547</v>
      </c>
      <c r="C414" s="181">
        <v>864826</v>
      </c>
      <c r="D414" s="46" t="s">
        <v>440</v>
      </c>
      <c r="E414" s="207">
        <v>9.33</v>
      </c>
      <c r="F414" s="141"/>
      <c r="G414" s="181" t="s">
        <v>1334</v>
      </c>
      <c r="H414" s="208">
        <v>0.32</v>
      </c>
      <c r="I414" s="46">
        <v>73089059</v>
      </c>
      <c r="J414" s="49"/>
    </row>
    <row r="415" spans="1:10" s="9" customFormat="1" x14ac:dyDescent="0.2">
      <c r="A415" s="211" t="s">
        <v>1335</v>
      </c>
      <c r="B415" s="180" t="s">
        <v>1548</v>
      </c>
      <c r="C415" s="181">
        <v>869711</v>
      </c>
      <c r="D415" s="46" t="s">
        <v>440</v>
      </c>
      <c r="E415" s="207">
        <v>12.79</v>
      </c>
      <c r="F415" s="141"/>
      <c r="G415" s="181" t="s">
        <v>1336</v>
      </c>
      <c r="H415" s="208">
        <v>0.44</v>
      </c>
      <c r="I415" s="46">
        <v>73089059</v>
      </c>
      <c r="J415" s="49"/>
    </row>
    <row r="416" spans="1:10" s="9" customFormat="1" x14ac:dyDescent="0.2">
      <c r="A416" s="211" t="s">
        <v>1335</v>
      </c>
      <c r="B416" s="180" t="s">
        <v>1549</v>
      </c>
      <c r="C416" s="181">
        <v>869705</v>
      </c>
      <c r="D416" s="46" t="s">
        <v>440</v>
      </c>
      <c r="E416" s="207">
        <v>9.33</v>
      </c>
      <c r="F416" s="141"/>
      <c r="G416" s="181" t="s">
        <v>1337</v>
      </c>
      <c r="H416" s="208">
        <v>0.32</v>
      </c>
      <c r="I416" s="46">
        <v>73089059</v>
      </c>
      <c r="J416" s="49"/>
    </row>
    <row r="417" spans="1:10" s="9" customFormat="1" x14ac:dyDescent="0.2">
      <c r="A417" s="211" t="s">
        <v>1338</v>
      </c>
      <c r="B417" s="180" t="s">
        <v>1550</v>
      </c>
      <c r="C417" s="181">
        <v>866262</v>
      </c>
      <c r="D417" s="46" t="s">
        <v>440</v>
      </c>
      <c r="E417" s="207">
        <v>13.44</v>
      </c>
      <c r="F417" s="141"/>
      <c r="G417" s="181" t="s">
        <v>1339</v>
      </c>
      <c r="H417" s="208">
        <v>0.47</v>
      </c>
      <c r="I417" s="46">
        <v>73089059</v>
      </c>
      <c r="J417" s="49"/>
    </row>
    <row r="418" spans="1:10" s="9" customFormat="1" x14ac:dyDescent="0.2">
      <c r="A418" s="211" t="s">
        <v>1338</v>
      </c>
      <c r="B418" s="180" t="s">
        <v>1551</v>
      </c>
      <c r="C418" s="181">
        <v>866261</v>
      </c>
      <c r="D418" s="46" t="s">
        <v>440</v>
      </c>
      <c r="E418" s="207">
        <v>8.11</v>
      </c>
      <c r="F418" s="141"/>
      <c r="G418" s="181" t="s">
        <v>1340</v>
      </c>
      <c r="H418" s="208">
        <v>0.31</v>
      </c>
      <c r="I418" s="46">
        <v>73089059</v>
      </c>
      <c r="J418" s="49"/>
    </row>
    <row r="419" spans="1:10" s="9" customFormat="1" x14ac:dyDescent="0.2">
      <c r="A419" s="211" t="s">
        <v>1341</v>
      </c>
      <c r="B419" s="180" t="s">
        <v>1342</v>
      </c>
      <c r="C419" s="181">
        <v>100882</v>
      </c>
      <c r="D419" s="46" t="s">
        <v>980</v>
      </c>
      <c r="E419" s="207">
        <v>4.5</v>
      </c>
      <c r="F419" s="141"/>
      <c r="G419" s="181" t="s">
        <v>1343</v>
      </c>
      <c r="H419" s="208">
        <v>0.1</v>
      </c>
      <c r="I419" s="46">
        <v>39269097</v>
      </c>
      <c r="J419" s="49"/>
    </row>
    <row r="420" spans="1:10" s="9" customFormat="1" x14ac:dyDescent="0.2">
      <c r="A420" s="211" t="s">
        <v>1341</v>
      </c>
      <c r="B420" s="180" t="s">
        <v>1344</v>
      </c>
      <c r="C420" s="181">
        <v>100884</v>
      </c>
      <c r="D420" s="46" t="s">
        <v>980</v>
      </c>
      <c r="E420" s="207">
        <v>4.5</v>
      </c>
      <c r="F420" s="141"/>
      <c r="G420" s="181" t="s">
        <v>1345</v>
      </c>
      <c r="H420" s="208">
        <v>0.1</v>
      </c>
      <c r="I420" s="46">
        <v>39269097</v>
      </c>
      <c r="J420" s="49"/>
    </row>
    <row r="421" spans="1:10" s="9" customFormat="1" x14ac:dyDescent="0.2">
      <c r="A421" s="211" t="s">
        <v>1341</v>
      </c>
      <c r="B421" s="180" t="s">
        <v>1346</v>
      </c>
      <c r="C421" s="181">
        <v>100883</v>
      </c>
      <c r="D421" s="46" t="s">
        <v>980</v>
      </c>
      <c r="E421" s="207">
        <v>4.5</v>
      </c>
      <c r="F421" s="141"/>
      <c r="G421" s="181" t="s">
        <v>1347</v>
      </c>
      <c r="H421" s="208">
        <v>0.1</v>
      </c>
      <c r="I421" s="46">
        <v>39269097</v>
      </c>
      <c r="J421" s="49"/>
    </row>
    <row r="422" spans="1:10" s="9" customFormat="1" x14ac:dyDescent="0.2">
      <c r="A422" s="211" t="s">
        <v>1341</v>
      </c>
      <c r="B422" s="180" t="s">
        <v>1348</v>
      </c>
      <c r="C422" s="181">
        <v>100881</v>
      </c>
      <c r="D422" s="46" t="s">
        <v>980</v>
      </c>
      <c r="E422" s="207">
        <v>3.46</v>
      </c>
      <c r="F422" s="141"/>
      <c r="G422" s="181" t="s">
        <v>1349</v>
      </c>
      <c r="H422" s="208">
        <v>0.08</v>
      </c>
      <c r="I422" s="46">
        <v>39269097</v>
      </c>
      <c r="J422" s="49"/>
    </row>
    <row r="423" spans="1:10" s="9" customFormat="1" x14ac:dyDescent="0.2">
      <c r="A423" s="211" t="s">
        <v>1350</v>
      </c>
      <c r="B423" s="180" t="s">
        <v>1552</v>
      </c>
      <c r="C423" s="181">
        <v>868610</v>
      </c>
      <c r="D423" s="46" t="s">
        <v>440</v>
      </c>
      <c r="E423" s="207">
        <v>38.9</v>
      </c>
      <c r="F423" s="141"/>
      <c r="G423" s="181" t="s">
        <v>1351</v>
      </c>
      <c r="H423" s="208">
        <v>0.95</v>
      </c>
      <c r="I423" s="46">
        <v>73089059</v>
      </c>
      <c r="J423" s="49"/>
    </row>
    <row r="424" spans="1:10" s="9" customFormat="1" x14ac:dyDescent="0.2">
      <c r="A424" s="211" t="s">
        <v>1350</v>
      </c>
      <c r="B424" s="180" t="s">
        <v>1553</v>
      </c>
      <c r="C424" s="181">
        <v>863323</v>
      </c>
      <c r="D424" s="46" t="s">
        <v>440</v>
      </c>
      <c r="E424" s="207">
        <v>33.75</v>
      </c>
      <c r="F424" s="141"/>
      <c r="G424" s="181" t="s">
        <v>1352</v>
      </c>
      <c r="H424" s="208">
        <v>0.62</v>
      </c>
      <c r="I424" s="46">
        <v>73089059</v>
      </c>
      <c r="J424" s="49"/>
    </row>
    <row r="425" spans="1:10" s="9" customFormat="1" x14ac:dyDescent="0.2">
      <c r="A425" s="211" t="s">
        <v>976</v>
      </c>
      <c r="B425" s="180" t="s">
        <v>1554</v>
      </c>
      <c r="C425" s="181">
        <v>809219</v>
      </c>
      <c r="D425" s="46" t="s">
        <v>440</v>
      </c>
      <c r="E425" s="207">
        <v>6.89</v>
      </c>
      <c r="F425" s="141"/>
      <c r="G425" s="181" t="s">
        <v>1020</v>
      </c>
      <c r="H425" s="208">
        <v>0.16</v>
      </c>
      <c r="I425" s="46">
        <v>73089059</v>
      </c>
      <c r="J425" s="49"/>
    </row>
    <row r="426" spans="1:10" s="9" customFormat="1" x14ac:dyDescent="0.2">
      <c r="A426" s="211" t="s">
        <v>956</v>
      </c>
      <c r="B426" s="180" t="s">
        <v>1555</v>
      </c>
      <c r="C426" s="181">
        <v>890110</v>
      </c>
      <c r="D426" s="46" t="s">
        <v>440</v>
      </c>
      <c r="E426" s="207">
        <v>12.19</v>
      </c>
      <c r="F426" s="141"/>
      <c r="G426" s="181" t="s">
        <v>808</v>
      </c>
      <c r="H426" s="208">
        <v>0.4</v>
      </c>
      <c r="I426" s="46">
        <v>73089059</v>
      </c>
      <c r="J426" s="49"/>
    </row>
    <row r="427" spans="1:10" s="9" customFormat="1" x14ac:dyDescent="0.2">
      <c r="A427" s="211" t="s">
        <v>956</v>
      </c>
      <c r="B427" s="180" t="s">
        <v>1556</v>
      </c>
      <c r="C427" s="181">
        <v>890120</v>
      </c>
      <c r="D427" s="46" t="s">
        <v>440</v>
      </c>
      <c r="E427" s="207">
        <v>15.76</v>
      </c>
      <c r="F427" s="141"/>
      <c r="G427" s="181" t="s">
        <v>809</v>
      </c>
      <c r="H427" s="208">
        <v>0.5</v>
      </c>
      <c r="I427" s="46">
        <v>73089059</v>
      </c>
      <c r="J427" s="49"/>
    </row>
    <row r="428" spans="1:10" s="9" customFormat="1" x14ac:dyDescent="0.2">
      <c r="A428" s="211" t="s">
        <v>957</v>
      </c>
      <c r="B428" s="180" t="s">
        <v>169</v>
      </c>
      <c r="C428" s="181">
        <v>897632</v>
      </c>
      <c r="D428" s="46" t="s">
        <v>440</v>
      </c>
      <c r="E428" s="207">
        <v>0.94</v>
      </c>
      <c r="F428" s="141"/>
      <c r="G428" s="181" t="s">
        <v>810</v>
      </c>
      <c r="H428" s="208">
        <v>0.02</v>
      </c>
      <c r="I428" s="46">
        <v>76042990</v>
      </c>
      <c r="J428" s="49"/>
    </row>
    <row r="429" spans="1:10" s="9" customFormat="1" x14ac:dyDescent="0.2">
      <c r="A429" s="211" t="s">
        <v>957</v>
      </c>
      <c r="B429" s="180" t="s">
        <v>170</v>
      </c>
      <c r="C429" s="181">
        <v>897633</v>
      </c>
      <c r="D429" s="46" t="s">
        <v>440</v>
      </c>
      <c r="E429" s="207">
        <v>1.25</v>
      </c>
      <c r="F429" s="141"/>
      <c r="G429" s="181" t="s">
        <v>811</v>
      </c>
      <c r="H429" s="208">
        <v>0.02</v>
      </c>
      <c r="I429" s="46">
        <v>76042990</v>
      </c>
      <c r="J429" s="49"/>
    </row>
    <row r="430" spans="1:10" s="9" customFormat="1" x14ac:dyDescent="0.2">
      <c r="A430" s="211" t="s">
        <v>957</v>
      </c>
      <c r="B430" s="180" t="s">
        <v>171</v>
      </c>
      <c r="C430" s="181">
        <v>897635</v>
      </c>
      <c r="D430" s="46" t="s">
        <v>440</v>
      </c>
      <c r="E430" s="207">
        <v>0.94</v>
      </c>
      <c r="F430" s="141"/>
      <c r="G430" s="181" t="s">
        <v>812</v>
      </c>
      <c r="H430" s="208">
        <v>0.02</v>
      </c>
      <c r="I430" s="46">
        <v>76042990</v>
      </c>
      <c r="J430" s="49"/>
    </row>
    <row r="431" spans="1:10" s="9" customFormat="1" x14ac:dyDescent="0.2">
      <c r="A431" s="211" t="s">
        <v>957</v>
      </c>
      <c r="B431" s="180" t="s">
        <v>172</v>
      </c>
      <c r="C431" s="181">
        <v>897638</v>
      </c>
      <c r="D431" s="46" t="s">
        <v>440</v>
      </c>
      <c r="E431" s="207">
        <v>1.25</v>
      </c>
      <c r="F431" s="141"/>
      <c r="G431" s="181" t="s">
        <v>813</v>
      </c>
      <c r="H431" s="208">
        <v>0.02</v>
      </c>
      <c r="I431" s="46">
        <v>76042990</v>
      </c>
      <c r="J431" s="49"/>
    </row>
    <row r="432" spans="1:10" s="9" customFormat="1" x14ac:dyDescent="0.2">
      <c r="A432" s="211" t="s">
        <v>957</v>
      </c>
      <c r="B432" s="180" t="s">
        <v>173</v>
      </c>
      <c r="C432" s="181">
        <v>897640</v>
      </c>
      <c r="D432" s="46" t="s">
        <v>440</v>
      </c>
      <c r="E432" s="207">
        <v>0.94</v>
      </c>
      <c r="F432" s="141"/>
      <c r="G432" s="181" t="s">
        <v>814</v>
      </c>
      <c r="H432" s="208">
        <v>0.02</v>
      </c>
      <c r="I432" s="46">
        <v>76042990</v>
      </c>
      <c r="J432" s="49"/>
    </row>
    <row r="433" spans="1:10" s="9" customFormat="1" x14ac:dyDescent="0.2">
      <c r="A433" s="211" t="s">
        <v>957</v>
      </c>
      <c r="B433" s="180" t="s">
        <v>174</v>
      </c>
      <c r="C433" s="181">
        <v>897642</v>
      </c>
      <c r="D433" s="46" t="s">
        <v>440</v>
      </c>
      <c r="E433" s="207">
        <v>1.25</v>
      </c>
      <c r="F433" s="141"/>
      <c r="G433" s="181" t="s">
        <v>815</v>
      </c>
      <c r="H433" s="208">
        <v>0.02</v>
      </c>
      <c r="I433" s="46">
        <v>76042990</v>
      </c>
      <c r="J433" s="49"/>
    </row>
    <row r="434" spans="1:10" s="9" customFormat="1" x14ac:dyDescent="0.2">
      <c r="A434" s="211" t="s">
        <v>957</v>
      </c>
      <c r="B434" s="180" t="s">
        <v>175</v>
      </c>
      <c r="C434" s="181">
        <v>897745</v>
      </c>
      <c r="D434" s="46" t="s">
        <v>440</v>
      </c>
      <c r="E434" s="207">
        <v>1.25</v>
      </c>
      <c r="F434" s="141"/>
      <c r="G434" s="181" t="s">
        <v>816</v>
      </c>
      <c r="H434" s="208">
        <v>0.02</v>
      </c>
      <c r="I434" s="46">
        <v>76042990</v>
      </c>
      <c r="J434" s="49"/>
    </row>
    <row r="435" spans="1:10" s="9" customFormat="1" x14ac:dyDescent="0.2">
      <c r="A435" s="211" t="s">
        <v>957</v>
      </c>
      <c r="B435" s="180" t="s">
        <v>176</v>
      </c>
      <c r="C435" s="181">
        <v>897650</v>
      </c>
      <c r="D435" s="46" t="s">
        <v>440</v>
      </c>
      <c r="E435" s="207">
        <v>1.25</v>
      </c>
      <c r="F435" s="141"/>
      <c r="G435" s="181" t="s">
        <v>817</v>
      </c>
      <c r="H435" s="208">
        <v>0.03</v>
      </c>
      <c r="I435" s="46">
        <v>76042990</v>
      </c>
      <c r="J435" s="49"/>
    </row>
    <row r="436" spans="1:10" s="9" customFormat="1" x14ac:dyDescent="0.2">
      <c r="A436" s="211" t="s">
        <v>958</v>
      </c>
      <c r="B436" s="180" t="s">
        <v>165</v>
      </c>
      <c r="C436" s="181">
        <v>890225</v>
      </c>
      <c r="D436" s="46" t="s">
        <v>440</v>
      </c>
      <c r="E436" s="207">
        <v>9.5399999999999991</v>
      </c>
      <c r="F436" s="141"/>
      <c r="G436" s="181" t="s">
        <v>818</v>
      </c>
      <c r="H436" s="208">
        <v>0.5</v>
      </c>
      <c r="I436" s="46">
        <v>73089059</v>
      </c>
      <c r="J436" s="49"/>
    </row>
    <row r="437" spans="1:10" s="9" customFormat="1" x14ac:dyDescent="0.2">
      <c r="A437" s="211" t="s">
        <v>958</v>
      </c>
      <c r="B437" s="180" t="s">
        <v>166</v>
      </c>
      <c r="C437" s="181">
        <v>890232</v>
      </c>
      <c r="D437" s="46" t="s">
        <v>440</v>
      </c>
      <c r="E437" s="207">
        <v>9.85</v>
      </c>
      <c r="F437" s="141"/>
      <c r="G437" s="181" t="s">
        <v>819</v>
      </c>
      <c r="H437" s="208">
        <v>0.53</v>
      </c>
      <c r="I437" s="46">
        <v>73089059</v>
      </c>
      <c r="J437" s="49"/>
    </row>
    <row r="438" spans="1:10" s="9" customFormat="1" x14ac:dyDescent="0.2">
      <c r="A438" s="211" t="s">
        <v>958</v>
      </c>
      <c r="B438" s="180" t="s">
        <v>167</v>
      </c>
      <c r="C438" s="181">
        <v>890125</v>
      </c>
      <c r="D438" s="46" t="s">
        <v>440</v>
      </c>
      <c r="E438" s="207">
        <v>9.7799999999999994</v>
      </c>
      <c r="F438" s="141"/>
      <c r="G438" s="181" t="s">
        <v>820</v>
      </c>
      <c r="H438" s="208">
        <v>0.43</v>
      </c>
      <c r="I438" s="46">
        <v>73089059</v>
      </c>
      <c r="J438" s="49"/>
    </row>
    <row r="439" spans="1:10" s="9" customFormat="1" x14ac:dyDescent="0.2">
      <c r="A439" s="211" t="s">
        <v>958</v>
      </c>
      <c r="B439" s="180" t="s">
        <v>168</v>
      </c>
      <c r="C439" s="181">
        <v>890132</v>
      </c>
      <c r="D439" s="46" t="s">
        <v>440</v>
      </c>
      <c r="E439" s="207">
        <v>10.56</v>
      </c>
      <c r="F439" s="141"/>
      <c r="G439" s="181" t="s">
        <v>821</v>
      </c>
      <c r="H439" s="208">
        <v>0.46</v>
      </c>
      <c r="I439" s="46">
        <v>73089059</v>
      </c>
      <c r="J439" s="49"/>
    </row>
    <row r="440" spans="1:10" s="9" customFormat="1" x14ac:dyDescent="0.2">
      <c r="A440" s="211" t="s">
        <v>1353</v>
      </c>
      <c r="B440" s="180" t="s">
        <v>1354</v>
      </c>
      <c r="C440" s="181">
        <v>991021</v>
      </c>
      <c r="D440" s="46" t="s">
        <v>440</v>
      </c>
      <c r="E440" s="207">
        <v>0.75</v>
      </c>
      <c r="F440" s="141"/>
      <c r="G440" s="181" t="s">
        <v>1355</v>
      </c>
      <c r="H440" s="208">
        <v>2E-3</v>
      </c>
      <c r="I440" s="46">
        <v>39269097</v>
      </c>
      <c r="J440" s="49"/>
    </row>
    <row r="441" spans="1:10" s="9" customFormat="1" x14ac:dyDescent="0.2">
      <c r="A441" s="211" t="s">
        <v>1353</v>
      </c>
      <c r="B441" s="180" t="s">
        <v>1356</v>
      </c>
      <c r="C441" s="181">
        <v>991022</v>
      </c>
      <c r="D441" s="46" t="s">
        <v>440</v>
      </c>
      <c r="E441" s="207">
        <v>0.44</v>
      </c>
      <c r="F441" s="141"/>
      <c r="G441" s="181" t="s">
        <v>1357</v>
      </c>
      <c r="H441" s="208">
        <v>1E-3</v>
      </c>
      <c r="I441" s="46">
        <v>39269097</v>
      </c>
      <c r="J441" s="49"/>
    </row>
    <row r="442" spans="1:10" s="9" customFormat="1" x14ac:dyDescent="0.2">
      <c r="A442" s="211" t="s">
        <v>1353</v>
      </c>
      <c r="B442" s="180" t="s">
        <v>1358</v>
      </c>
      <c r="C442" s="181">
        <v>991023</v>
      </c>
      <c r="D442" s="46" t="s">
        <v>440</v>
      </c>
      <c r="E442" s="207">
        <v>1.22</v>
      </c>
      <c r="F442" s="141"/>
      <c r="G442" s="181" t="s">
        <v>1359</v>
      </c>
      <c r="H442" s="208">
        <v>2E-3</v>
      </c>
      <c r="I442" s="46">
        <v>39269097</v>
      </c>
      <c r="J442" s="49"/>
    </row>
    <row r="443" spans="1:10" s="9" customFormat="1" x14ac:dyDescent="0.2">
      <c r="A443" s="211" t="s">
        <v>1360</v>
      </c>
      <c r="B443" s="180" t="s">
        <v>1361</v>
      </c>
      <c r="C443" s="181">
        <v>887656</v>
      </c>
      <c r="D443" s="46" t="s">
        <v>980</v>
      </c>
      <c r="E443" s="207">
        <v>6.58</v>
      </c>
      <c r="F443" s="141"/>
      <c r="G443" s="181" t="s">
        <v>1362</v>
      </c>
      <c r="H443" s="208">
        <v>0.37</v>
      </c>
      <c r="I443" s="46">
        <v>40082900</v>
      </c>
      <c r="J443" s="49"/>
    </row>
    <row r="444" spans="1:10" s="9" customFormat="1" x14ac:dyDescent="0.2">
      <c r="A444" s="211" t="s">
        <v>968</v>
      </c>
      <c r="B444" s="180" t="s">
        <v>435</v>
      </c>
      <c r="C444" s="181">
        <v>857016</v>
      </c>
      <c r="D444" s="46" t="s">
        <v>440</v>
      </c>
      <c r="E444" s="207">
        <v>6.68</v>
      </c>
      <c r="F444" s="141"/>
      <c r="G444" s="181" t="s">
        <v>1005</v>
      </c>
      <c r="H444" s="208">
        <v>0.25</v>
      </c>
      <c r="I444" s="46">
        <v>73089059</v>
      </c>
      <c r="J444" s="49"/>
    </row>
    <row r="445" spans="1:10" s="9" customFormat="1" x14ac:dyDescent="0.2">
      <c r="A445" s="211" t="s">
        <v>969</v>
      </c>
      <c r="B445" s="180" t="s">
        <v>1557</v>
      </c>
      <c r="C445" s="181">
        <v>878110</v>
      </c>
      <c r="D445" s="46" t="s">
        <v>440</v>
      </c>
      <c r="E445" s="207">
        <v>8.7100000000000009</v>
      </c>
      <c r="F445" s="141"/>
      <c r="G445" s="181" t="s">
        <v>1006</v>
      </c>
      <c r="H445" s="208">
        <v>0.41</v>
      </c>
      <c r="I445" s="46">
        <v>73089059</v>
      </c>
      <c r="J445" s="49"/>
    </row>
    <row r="446" spans="1:10" s="9" customFormat="1" x14ac:dyDescent="0.2">
      <c r="A446" s="211" t="s">
        <v>970</v>
      </c>
      <c r="B446" s="180" t="s">
        <v>1558</v>
      </c>
      <c r="C446" s="181">
        <v>878115</v>
      </c>
      <c r="D446" s="46" t="s">
        <v>440</v>
      </c>
      <c r="E446" s="207">
        <v>9.4600000000000009</v>
      </c>
      <c r="F446" s="141"/>
      <c r="G446" s="181" t="s">
        <v>1007</v>
      </c>
      <c r="H446" s="208">
        <v>0.5</v>
      </c>
      <c r="I446" s="46">
        <v>73089059</v>
      </c>
      <c r="J446" s="49"/>
    </row>
    <row r="447" spans="1:10" s="9" customFormat="1" x14ac:dyDescent="0.2">
      <c r="A447" s="211" t="s">
        <v>971</v>
      </c>
      <c r="B447" s="180" t="s">
        <v>1559</v>
      </c>
      <c r="C447" s="181">
        <v>878120</v>
      </c>
      <c r="D447" s="46" t="s">
        <v>440</v>
      </c>
      <c r="E447" s="207">
        <v>10.3</v>
      </c>
      <c r="F447" s="141"/>
      <c r="G447" s="181" t="s">
        <v>1008</v>
      </c>
      <c r="H447" s="208">
        <v>0.6</v>
      </c>
      <c r="I447" s="46">
        <v>73089059</v>
      </c>
      <c r="J447" s="49"/>
    </row>
    <row r="448" spans="1:10" s="9" customFormat="1" x14ac:dyDescent="0.2">
      <c r="A448" s="211" t="s">
        <v>959</v>
      </c>
      <c r="B448" s="180" t="s">
        <v>1560</v>
      </c>
      <c r="C448" s="181">
        <v>897301</v>
      </c>
      <c r="D448" s="46" t="s">
        <v>440</v>
      </c>
      <c r="E448" s="207">
        <v>1.56</v>
      </c>
      <c r="F448" s="141"/>
      <c r="G448" s="181" t="s">
        <v>823</v>
      </c>
      <c r="H448" s="208">
        <v>0.03</v>
      </c>
      <c r="I448" s="46">
        <v>73089059</v>
      </c>
      <c r="J448" s="49"/>
    </row>
    <row r="449" spans="1:10" s="9" customFormat="1" x14ac:dyDescent="0.2">
      <c r="A449" s="211" t="s">
        <v>959</v>
      </c>
      <c r="B449" s="180" t="s">
        <v>245</v>
      </c>
      <c r="C449" s="181">
        <v>897311</v>
      </c>
      <c r="D449" s="46" t="s">
        <v>440</v>
      </c>
      <c r="E449" s="207">
        <v>1.9</v>
      </c>
      <c r="F449" s="141"/>
      <c r="G449" s="181" t="s">
        <v>822</v>
      </c>
      <c r="H449" s="208">
        <v>0.03</v>
      </c>
      <c r="I449" s="46">
        <v>73089059</v>
      </c>
      <c r="J449" s="49"/>
    </row>
    <row r="450" spans="1:10" s="9" customFormat="1" x14ac:dyDescent="0.2">
      <c r="A450" s="211" t="s">
        <v>1363</v>
      </c>
      <c r="B450" s="180" t="s">
        <v>1561</v>
      </c>
      <c r="C450" s="181">
        <v>892055</v>
      </c>
      <c r="D450" s="46" t="s">
        <v>440</v>
      </c>
      <c r="E450" s="207">
        <v>0.96</v>
      </c>
      <c r="F450" s="141"/>
      <c r="G450" s="181" t="s">
        <v>1364</v>
      </c>
      <c r="H450" s="208">
        <v>0.04</v>
      </c>
      <c r="I450" s="46">
        <v>73089059</v>
      </c>
      <c r="J450" s="49"/>
    </row>
    <row r="451" spans="1:10" s="9" customFormat="1" x14ac:dyDescent="0.2">
      <c r="A451" s="211" t="s">
        <v>975</v>
      </c>
      <c r="B451" s="180" t="s">
        <v>1562</v>
      </c>
      <c r="C451" s="181">
        <v>890118</v>
      </c>
      <c r="D451" s="46" t="s">
        <v>440</v>
      </c>
      <c r="E451" s="207">
        <v>5.2</v>
      </c>
      <c r="F451" s="141"/>
      <c r="G451" s="181" t="s">
        <v>1018</v>
      </c>
      <c r="H451" s="208">
        <v>0.41</v>
      </c>
      <c r="I451" s="46">
        <v>73089059</v>
      </c>
      <c r="J451" s="49"/>
    </row>
    <row r="452" spans="1:10" s="9" customFormat="1" x14ac:dyDescent="0.2">
      <c r="A452" s="211" t="s">
        <v>960</v>
      </c>
      <c r="B452" s="180" t="s">
        <v>311</v>
      </c>
      <c r="C452" s="181">
        <v>731305</v>
      </c>
      <c r="D452" s="46" t="s">
        <v>440</v>
      </c>
      <c r="E452" s="207">
        <v>1.77</v>
      </c>
      <c r="F452" s="141"/>
      <c r="G452" s="181" t="s">
        <v>824</v>
      </c>
      <c r="H452" s="208">
        <v>0.11</v>
      </c>
      <c r="I452" s="46">
        <v>73089059</v>
      </c>
      <c r="J452" s="49"/>
    </row>
    <row r="453" spans="1:10" s="9" customFormat="1" x14ac:dyDescent="0.2">
      <c r="A453" s="211" t="s">
        <v>961</v>
      </c>
      <c r="B453" s="180" t="s">
        <v>1563</v>
      </c>
      <c r="C453" s="181">
        <v>801105</v>
      </c>
      <c r="D453" s="46" t="s">
        <v>440</v>
      </c>
      <c r="E453" s="207">
        <v>2.4700000000000002</v>
      </c>
      <c r="F453" s="141"/>
      <c r="G453" s="181" t="s">
        <v>825</v>
      </c>
      <c r="H453" s="208">
        <v>0.14000000000000001</v>
      </c>
      <c r="I453" s="46">
        <v>73089059</v>
      </c>
      <c r="J453" s="49"/>
    </row>
    <row r="454" spans="1:10" s="9" customFormat="1" x14ac:dyDescent="0.2">
      <c r="A454" s="211" t="s">
        <v>961</v>
      </c>
      <c r="B454" s="180" t="s">
        <v>1564</v>
      </c>
      <c r="C454" s="181">
        <v>801155</v>
      </c>
      <c r="D454" s="46" t="s">
        <v>440</v>
      </c>
      <c r="E454" s="207">
        <v>2.68</v>
      </c>
      <c r="F454" s="141"/>
      <c r="G454" s="181" t="s">
        <v>826</v>
      </c>
      <c r="H454" s="208">
        <v>0.21</v>
      </c>
      <c r="I454" s="46">
        <v>73089059</v>
      </c>
      <c r="J454" s="49"/>
    </row>
    <row r="455" spans="1:10" s="9" customFormat="1" x14ac:dyDescent="0.2">
      <c r="A455" s="211" t="s">
        <v>1365</v>
      </c>
      <c r="B455" s="180" t="s">
        <v>1565</v>
      </c>
      <c r="C455" s="181">
        <v>7105105</v>
      </c>
      <c r="D455" s="46" t="s">
        <v>440</v>
      </c>
      <c r="E455" s="207">
        <v>3.35</v>
      </c>
      <c r="F455" s="141"/>
      <c r="G455" s="181" t="s">
        <v>827</v>
      </c>
      <c r="H455" s="208">
        <v>0.19</v>
      </c>
      <c r="I455" s="46">
        <v>73089059</v>
      </c>
      <c r="J455" s="49"/>
    </row>
    <row r="456" spans="1:10" s="9" customFormat="1" x14ac:dyDescent="0.2">
      <c r="A456" s="211" t="s">
        <v>1365</v>
      </c>
      <c r="B456" s="180" t="s">
        <v>1566</v>
      </c>
      <c r="C456" s="181">
        <v>7105155</v>
      </c>
      <c r="D456" s="46" t="s">
        <v>440</v>
      </c>
      <c r="E456" s="207">
        <v>3.82</v>
      </c>
      <c r="F456" s="141"/>
      <c r="G456" s="181" t="s">
        <v>828</v>
      </c>
      <c r="H456" s="208">
        <v>0.21</v>
      </c>
      <c r="I456" s="46">
        <v>73089059</v>
      </c>
      <c r="J456" s="49"/>
    </row>
    <row r="457" spans="1:10" s="9" customFormat="1" x14ac:dyDescent="0.2">
      <c r="A457" s="211" t="s">
        <v>1365</v>
      </c>
      <c r="B457" s="180" t="s">
        <v>1567</v>
      </c>
      <c r="C457" s="181">
        <v>7518105</v>
      </c>
      <c r="D457" s="46" t="s">
        <v>440</v>
      </c>
      <c r="E457" s="207">
        <v>3.17</v>
      </c>
      <c r="F457" s="141"/>
      <c r="G457" s="181" t="s">
        <v>829</v>
      </c>
      <c r="H457" s="208">
        <v>0.2</v>
      </c>
      <c r="I457" s="46">
        <v>73089059</v>
      </c>
      <c r="J457" s="49"/>
    </row>
    <row r="458" spans="1:10" s="9" customFormat="1" x14ac:dyDescent="0.2">
      <c r="A458" s="211" t="s">
        <v>1366</v>
      </c>
      <c r="B458" s="180" t="s">
        <v>1568</v>
      </c>
      <c r="C458" s="181">
        <v>876520</v>
      </c>
      <c r="D458" s="46" t="s">
        <v>440</v>
      </c>
      <c r="E458" s="207">
        <v>2.0299999999999998</v>
      </c>
      <c r="F458" s="141"/>
      <c r="G458" s="181" t="s">
        <v>1367</v>
      </c>
      <c r="H458" s="208">
        <v>85.39</v>
      </c>
      <c r="I458" s="46">
        <v>73089059</v>
      </c>
      <c r="J458" s="49"/>
    </row>
    <row r="459" spans="1:10" s="9" customFormat="1" x14ac:dyDescent="0.2">
      <c r="A459" s="211" t="s">
        <v>1368</v>
      </c>
      <c r="B459" s="180" t="s">
        <v>1569</v>
      </c>
      <c r="C459" s="181">
        <v>876521</v>
      </c>
      <c r="D459" s="46" t="s">
        <v>440</v>
      </c>
      <c r="E459" s="207">
        <v>2.0299999999999998</v>
      </c>
      <c r="F459" s="141"/>
      <c r="G459" s="181" t="s">
        <v>1369</v>
      </c>
      <c r="H459" s="208">
        <v>85.39</v>
      </c>
      <c r="I459" s="46">
        <v>73089059</v>
      </c>
      <c r="J459" s="49"/>
    </row>
    <row r="460" spans="1:10" hidden="1" x14ac:dyDescent="0.2">
      <c r="A460" s="153"/>
      <c r="B460" s="209"/>
      <c r="C460" s="205"/>
      <c r="D460" s="102"/>
      <c r="E460" s="210"/>
      <c r="F460" s="200"/>
      <c r="G460" s="205"/>
      <c r="H460" s="206"/>
      <c r="I460" s="102"/>
      <c r="J460" s="157"/>
    </row>
    <row r="461" spans="1:10" hidden="1" x14ac:dyDescent="0.2">
      <c r="A461" s="153"/>
      <c r="B461" s="209"/>
      <c r="C461" s="205"/>
      <c r="D461" s="102"/>
      <c r="E461" s="210"/>
      <c r="F461" s="200"/>
      <c r="G461" s="205"/>
      <c r="H461" s="206"/>
      <c r="I461" s="102"/>
      <c r="J461" s="157"/>
    </row>
    <row r="462" spans="1:10" hidden="1" x14ac:dyDescent="0.2">
      <c r="A462" s="153"/>
      <c r="B462" s="209"/>
      <c r="C462" s="205"/>
      <c r="D462" s="102"/>
      <c r="E462" s="210"/>
      <c r="F462" s="200"/>
      <c r="G462" s="205"/>
      <c r="H462" s="206"/>
      <c r="I462" s="102"/>
      <c r="J462" s="157"/>
    </row>
    <row r="463" spans="1:10" hidden="1" x14ac:dyDescent="0.2">
      <c r="A463" s="153"/>
      <c r="B463" s="209"/>
      <c r="C463" s="205"/>
      <c r="D463" s="102"/>
      <c r="E463" s="210"/>
      <c r="F463" s="200"/>
      <c r="G463" s="205"/>
      <c r="H463" s="206"/>
      <c r="I463" s="102"/>
      <c r="J463" s="157"/>
    </row>
    <row r="464" spans="1:10" hidden="1" x14ac:dyDescent="0.2">
      <c r="A464" s="153" t="s">
        <v>989</v>
      </c>
      <c r="B464" s="209" t="s">
        <v>129</v>
      </c>
      <c r="C464" s="205">
        <v>890101</v>
      </c>
      <c r="D464" s="102" t="s">
        <v>440</v>
      </c>
      <c r="E464" s="210">
        <v>0.78</v>
      </c>
      <c r="F464" s="200"/>
      <c r="G464" s="205"/>
      <c r="H464" s="206">
        <v>0.03</v>
      </c>
      <c r="I464" s="102" t="s">
        <v>1028</v>
      </c>
      <c r="J464" s="157"/>
    </row>
    <row r="465" spans="1:10" hidden="1" x14ac:dyDescent="0.2">
      <c r="A465" s="153" t="s">
        <v>934</v>
      </c>
      <c r="B465" s="209" t="s">
        <v>982</v>
      </c>
      <c r="C465" s="205">
        <v>650093</v>
      </c>
      <c r="D465" s="102" t="s">
        <v>440</v>
      </c>
      <c r="E465" s="210">
        <v>1.53</v>
      </c>
      <c r="F465" s="200"/>
      <c r="G465" s="205"/>
      <c r="H465" s="206">
        <v>0.06</v>
      </c>
      <c r="I465" s="102" t="s">
        <v>1029</v>
      </c>
      <c r="J465" s="157"/>
    </row>
    <row r="466" spans="1:10" hidden="1" x14ac:dyDescent="0.2">
      <c r="A466" s="153" t="s">
        <v>944</v>
      </c>
      <c r="B466" s="209" t="s">
        <v>990</v>
      </c>
      <c r="C466" s="205">
        <v>651542</v>
      </c>
      <c r="D466" s="102" t="s">
        <v>991</v>
      </c>
      <c r="E466" s="210">
        <v>33.51</v>
      </c>
      <c r="F466" s="200"/>
      <c r="G466" s="205"/>
      <c r="H466" s="206">
        <v>1.66</v>
      </c>
      <c r="I466" s="102" t="s">
        <v>1030</v>
      </c>
      <c r="J466" s="157"/>
    </row>
    <row r="467" spans="1:10" hidden="1" x14ac:dyDescent="0.2">
      <c r="A467" s="153" t="s">
        <v>992</v>
      </c>
      <c r="B467" s="209" t="s">
        <v>993</v>
      </c>
      <c r="C467" s="205">
        <v>853725</v>
      </c>
      <c r="D467" s="102" t="s">
        <v>440</v>
      </c>
      <c r="E467" s="210">
        <v>33.54</v>
      </c>
      <c r="F467" s="200"/>
      <c r="G467" s="205"/>
      <c r="H467" s="206">
        <v>8.58</v>
      </c>
      <c r="I467" s="102" t="s">
        <v>1031</v>
      </c>
      <c r="J467" s="157"/>
    </row>
    <row r="468" spans="1:10" hidden="1" x14ac:dyDescent="0.2">
      <c r="A468" s="153" t="s">
        <v>994</v>
      </c>
      <c r="B468" s="209" t="s">
        <v>365</v>
      </c>
      <c r="C468" s="205">
        <v>652300</v>
      </c>
      <c r="D468" s="102" t="s">
        <v>991</v>
      </c>
      <c r="E468" s="210">
        <v>6.86</v>
      </c>
      <c r="F468" s="200"/>
      <c r="G468" s="205"/>
      <c r="H468" s="206">
        <v>0.32</v>
      </c>
      <c r="I468" s="102" t="s">
        <v>1029</v>
      </c>
      <c r="J468" s="157"/>
    </row>
    <row r="469" spans="1:10" hidden="1" x14ac:dyDescent="0.2">
      <c r="A469" s="153" t="s">
        <v>995</v>
      </c>
      <c r="B469" s="209" t="s">
        <v>996</v>
      </c>
      <c r="C469" s="205">
        <v>894660</v>
      </c>
      <c r="D469" s="102" t="s">
        <v>440</v>
      </c>
      <c r="E469" s="210">
        <v>66.56</v>
      </c>
      <c r="F469" s="200"/>
      <c r="G469" s="205"/>
      <c r="H469" s="206">
        <v>5.3205539999999996</v>
      </c>
      <c r="I469" s="102" t="s">
        <v>1032</v>
      </c>
      <c r="J469" s="157"/>
    </row>
    <row r="470" spans="1:10" hidden="1" x14ac:dyDescent="0.2">
      <c r="A470" s="153" t="s">
        <v>994</v>
      </c>
      <c r="B470" s="209" t="s">
        <v>315</v>
      </c>
      <c r="C470" s="205">
        <v>660944</v>
      </c>
      <c r="D470" s="102" t="s">
        <v>991</v>
      </c>
      <c r="E470" s="210">
        <v>8.24</v>
      </c>
      <c r="F470" s="200"/>
      <c r="G470" s="205"/>
      <c r="H470" s="206">
        <v>0.54</v>
      </c>
      <c r="I470" s="102" t="s">
        <v>1029</v>
      </c>
      <c r="J470" s="157"/>
    </row>
    <row r="471" spans="1:10" hidden="1" x14ac:dyDescent="0.2">
      <c r="A471" s="153" t="s">
        <v>954</v>
      </c>
      <c r="B471" s="209" t="s">
        <v>401</v>
      </c>
      <c r="C471" s="205">
        <v>99998121</v>
      </c>
      <c r="D471" s="102" t="s">
        <v>991</v>
      </c>
      <c r="E471" s="210">
        <v>12.82</v>
      </c>
      <c r="F471" s="200"/>
      <c r="G471" s="205"/>
      <c r="H471" s="206">
        <v>1</v>
      </c>
      <c r="I471" s="102" t="s">
        <v>1033</v>
      </c>
      <c r="J471" s="157"/>
    </row>
    <row r="472" spans="1:10" hidden="1" x14ac:dyDescent="0.2">
      <c r="A472" s="153" t="s">
        <v>1034</v>
      </c>
      <c r="B472" s="209" t="s">
        <v>981</v>
      </c>
      <c r="C472" s="205">
        <v>760401</v>
      </c>
      <c r="D472" s="102" t="s">
        <v>440</v>
      </c>
      <c r="E472" s="210">
        <v>0.44</v>
      </c>
      <c r="F472" s="200"/>
      <c r="G472" s="205"/>
      <c r="H472" s="206">
        <v>1E-3</v>
      </c>
      <c r="I472" s="102"/>
      <c r="J472" s="157"/>
    </row>
    <row r="473" spans="1:10" hidden="1" x14ac:dyDescent="0.2">
      <c r="A473" s="153"/>
      <c r="B473" s="209" t="s">
        <v>84</v>
      </c>
      <c r="C473" s="205" t="s">
        <v>84</v>
      </c>
      <c r="D473" s="102">
        <v>0</v>
      </c>
      <c r="E473" s="210">
        <v>0</v>
      </c>
      <c r="F473" s="200"/>
      <c r="G473" s="205"/>
      <c r="H473" s="206">
        <v>0</v>
      </c>
      <c r="I473" s="102"/>
      <c r="J473" s="157"/>
    </row>
    <row r="474" spans="1:10" hidden="1" x14ac:dyDescent="0.2">
      <c r="A474" s="153"/>
      <c r="B474" s="209" t="s">
        <v>319</v>
      </c>
      <c r="C474" s="205">
        <v>650400</v>
      </c>
      <c r="D474" s="102" t="s">
        <v>440</v>
      </c>
      <c r="E474" s="210">
        <v>5.7777777777777777</v>
      </c>
      <c r="F474" s="200"/>
      <c r="G474" s="205"/>
      <c r="H474" s="206">
        <v>0.48</v>
      </c>
      <c r="I474" s="102"/>
      <c r="J474" s="157"/>
    </row>
    <row r="475" spans="1:10" hidden="1" x14ac:dyDescent="0.2">
      <c r="A475" s="153"/>
      <c r="B475" s="209"/>
      <c r="C475" s="205"/>
      <c r="D475" s="102"/>
      <c r="E475" s="210"/>
      <c r="F475" s="200"/>
      <c r="G475" s="205"/>
      <c r="H475" s="206"/>
      <c r="I475" s="102"/>
      <c r="J475" s="157"/>
    </row>
    <row r="476" spans="1:10" hidden="1" x14ac:dyDescent="0.2">
      <c r="A476" s="153"/>
      <c r="B476" s="209"/>
      <c r="C476" s="205"/>
      <c r="D476" s="102"/>
      <c r="E476" s="210"/>
      <c r="F476" s="200"/>
      <c r="G476" s="205"/>
      <c r="H476" s="206"/>
      <c r="I476" s="102"/>
      <c r="J476" s="157"/>
    </row>
    <row r="477" spans="1:10" hidden="1" x14ac:dyDescent="0.2">
      <c r="A477" s="153"/>
      <c r="B477" s="128"/>
      <c r="C477" s="129"/>
      <c r="D477" s="102"/>
      <c r="E477" s="204"/>
      <c r="F477" s="200"/>
      <c r="G477" s="205"/>
      <c r="H477" s="206"/>
      <c r="I477" s="102"/>
      <c r="J477" s="157"/>
    </row>
    <row r="478" spans="1:10" hidden="1" x14ac:dyDescent="0.2">
      <c r="A478" s="153"/>
      <c r="B478" s="128"/>
      <c r="C478" s="129"/>
      <c r="D478" s="102"/>
      <c r="E478" s="204"/>
      <c r="F478" s="200"/>
      <c r="G478" s="205"/>
      <c r="H478" s="206"/>
      <c r="I478" s="102"/>
      <c r="J478" s="157"/>
    </row>
    <row r="479" spans="1:10" hidden="1" x14ac:dyDescent="0.2">
      <c r="A479" s="153"/>
      <c r="B479" s="128"/>
      <c r="C479" s="129"/>
      <c r="D479" s="129"/>
      <c r="E479" s="129"/>
      <c r="F479" s="200"/>
      <c r="G479" s="201"/>
      <c r="H479" s="129"/>
      <c r="I479" s="129"/>
      <c r="J479" s="157"/>
    </row>
    <row r="480" spans="1:10" hidden="1" x14ac:dyDescent="0.2">
      <c r="A480" s="153"/>
      <c r="B480" s="128"/>
      <c r="C480" s="129"/>
      <c r="D480" s="129"/>
      <c r="E480" s="129"/>
      <c r="F480" s="200"/>
      <c r="G480" s="129"/>
      <c r="H480" s="129"/>
      <c r="I480" s="129"/>
      <c r="J480" s="157"/>
    </row>
    <row r="481" spans="1:10" hidden="1" x14ac:dyDescent="0.2">
      <c r="A481" s="153"/>
      <c r="B481" s="128"/>
      <c r="C481" s="129"/>
      <c r="D481" s="129"/>
      <c r="E481" s="154"/>
      <c r="F481" s="155"/>
      <c r="G481" s="129"/>
      <c r="H481" s="129"/>
      <c r="I481" s="98"/>
      <c r="J481" s="157"/>
    </row>
    <row r="482" spans="1:10" hidden="1" x14ac:dyDescent="0.2">
      <c r="A482" s="153"/>
      <c r="B482" s="202"/>
      <c r="C482" s="203"/>
      <c r="D482" s="129"/>
      <c r="E482" s="154"/>
      <c r="F482" s="155"/>
      <c r="G482" s="203"/>
      <c r="H482" s="156"/>
      <c r="I482" s="98"/>
      <c r="J482" s="157"/>
    </row>
    <row r="483" spans="1:10" hidden="1" x14ac:dyDescent="0.2">
      <c r="A483" s="153"/>
      <c r="B483" s="153"/>
      <c r="C483" s="154"/>
      <c r="D483" s="129"/>
      <c r="E483" s="154"/>
      <c r="F483" s="155"/>
      <c r="G483" s="154"/>
      <c r="H483" s="129"/>
      <c r="I483" s="98"/>
      <c r="J483" s="157"/>
    </row>
    <row r="484" spans="1:10" hidden="1" x14ac:dyDescent="0.2">
      <c r="A484" s="153"/>
      <c r="B484" s="153"/>
      <c r="C484" s="154"/>
      <c r="D484" s="129"/>
      <c r="E484" s="154"/>
      <c r="F484" s="155"/>
      <c r="G484" s="154"/>
      <c r="H484" s="129"/>
      <c r="I484" s="98"/>
      <c r="J484" s="157"/>
    </row>
    <row r="485" spans="1:10" hidden="1" x14ac:dyDescent="0.2">
      <c r="A485" s="153"/>
      <c r="B485" s="153"/>
      <c r="C485" s="154"/>
      <c r="D485" s="152"/>
      <c r="E485" s="154"/>
      <c r="F485" s="155"/>
      <c r="G485" s="154"/>
      <c r="H485" s="156"/>
      <c r="I485" s="98"/>
      <c r="J485" s="157"/>
    </row>
    <row r="486" spans="1:10" hidden="1" x14ac:dyDescent="0.2">
      <c r="A486" s="153"/>
      <c r="B486" s="153"/>
      <c r="C486" s="154"/>
      <c r="D486" s="152"/>
      <c r="E486" s="154"/>
      <c r="F486" s="155"/>
      <c r="G486" s="154"/>
      <c r="H486" s="156"/>
      <c r="I486" s="98"/>
      <c r="J486" s="157"/>
    </row>
    <row r="487" spans="1:10" ht="15" hidden="1" x14ac:dyDescent="0.25">
      <c r="A487" s="97"/>
      <c r="B487" s="97"/>
      <c r="C487" s="98"/>
      <c r="D487" s="152"/>
      <c r="E487" s="99"/>
      <c r="F487" s="103"/>
      <c r="G487" s="103"/>
      <c r="H487" s="98"/>
      <c r="I487" s="100"/>
    </row>
    <row r="488" spans="1:10" hidden="1" x14ac:dyDescent="0.2">
      <c r="A488" s="97"/>
      <c r="B488" s="105"/>
      <c r="C488" s="106"/>
      <c r="D488" s="152"/>
      <c r="E488" s="106"/>
      <c r="F488" s="106"/>
      <c r="G488" s="106"/>
      <c r="H488" s="106"/>
      <c r="I488" s="106"/>
    </row>
    <row r="489" spans="1:10" ht="15" hidden="1" customHeight="1" x14ac:dyDescent="0.2">
      <c r="B489" s="128"/>
      <c r="C489" s="129"/>
      <c r="D489" s="152"/>
      <c r="E489" s="130"/>
      <c r="F489" s="129"/>
      <c r="G489" s="129"/>
      <c r="H489" s="129"/>
      <c r="I489" s="129"/>
      <c r="J489" s="104"/>
    </row>
    <row r="490" spans="1:10" ht="15" hidden="1" customHeight="1" x14ac:dyDescent="0.2">
      <c r="B490" s="131"/>
      <c r="C490" s="132"/>
      <c r="D490" s="129"/>
      <c r="E490" s="132"/>
      <c r="F490" s="132"/>
      <c r="G490" s="132"/>
      <c r="H490" s="132"/>
      <c r="I490" s="132"/>
      <c r="J490" s="104"/>
    </row>
    <row r="491" spans="1:10" ht="15" hidden="1" customHeight="1" x14ac:dyDescent="0.2">
      <c r="B491" s="131"/>
      <c r="C491" s="132"/>
      <c r="D491" s="129"/>
      <c r="E491" s="132"/>
      <c r="F491" s="131"/>
      <c r="G491" s="131"/>
      <c r="H491" s="132"/>
      <c r="I491" s="132"/>
      <c r="J491" s="104"/>
    </row>
    <row r="492" spans="1:10" hidden="1" x14ac:dyDescent="0.2">
      <c r="B492" s="133"/>
      <c r="C492" s="134"/>
      <c r="D492" s="152"/>
      <c r="E492" s="102"/>
      <c r="F492" s="135"/>
      <c r="G492" s="102"/>
      <c r="H492" s="136"/>
      <c r="I492" s="136"/>
      <c r="J492" s="104"/>
    </row>
    <row r="493" spans="1:10" hidden="1" x14ac:dyDescent="0.2">
      <c r="A493" s="108"/>
      <c r="B493" s="137"/>
      <c r="C493" s="138"/>
      <c r="D493" s="152"/>
      <c r="E493" s="102"/>
      <c r="F493" s="135"/>
      <c r="G493" s="102"/>
      <c r="H493" s="136"/>
      <c r="I493" s="136"/>
      <c r="J493" s="104"/>
    </row>
    <row r="494" spans="1:10" hidden="1" x14ac:dyDescent="0.2">
      <c r="B494" s="137"/>
      <c r="C494" s="138"/>
      <c r="D494" s="152"/>
      <c r="E494" s="102"/>
      <c r="F494" s="135"/>
      <c r="G494" s="102"/>
      <c r="H494" s="136"/>
      <c r="I494" s="136"/>
      <c r="J494" s="104"/>
    </row>
    <row r="495" spans="1:10" hidden="1" x14ac:dyDescent="0.2">
      <c r="B495" s="137"/>
      <c r="C495" s="138"/>
      <c r="D495" s="152"/>
      <c r="E495" s="102"/>
      <c r="F495" s="135"/>
      <c r="G495" s="102"/>
      <c r="H495" s="136"/>
      <c r="I495" s="136"/>
      <c r="J495" s="104"/>
    </row>
    <row r="496" spans="1:10" hidden="1" x14ac:dyDescent="0.2">
      <c r="B496" s="109"/>
      <c r="C496" s="98"/>
      <c r="D496" s="98"/>
      <c r="E496" s="110"/>
      <c r="F496" s="98"/>
      <c r="G496" s="98"/>
      <c r="H496" s="98"/>
      <c r="I496" s="111"/>
      <c r="J496" s="104"/>
    </row>
    <row r="497" spans="1:10" hidden="1" x14ac:dyDescent="0.2">
      <c r="B497" s="109"/>
      <c r="C497" s="104"/>
      <c r="D497" s="98"/>
      <c r="E497" s="113"/>
      <c r="F497" s="104"/>
      <c r="G497" s="98"/>
      <c r="H497" s="98"/>
      <c r="I497" s="114"/>
      <c r="J497" s="104"/>
    </row>
    <row r="498" spans="1:10" hidden="1" x14ac:dyDescent="0.2">
      <c r="B498" s="109"/>
      <c r="C498" s="98"/>
      <c r="D498" s="98"/>
      <c r="E498" s="110"/>
      <c r="F498" s="98"/>
      <c r="G498" s="98"/>
      <c r="H498" s="98"/>
      <c r="I498" s="111"/>
    </row>
    <row r="499" spans="1:10" hidden="1" x14ac:dyDescent="0.2">
      <c r="A499" s="109"/>
      <c r="B499" s="109"/>
      <c r="C499" s="98"/>
      <c r="D499" s="98"/>
      <c r="E499" s="110"/>
      <c r="F499" s="98"/>
      <c r="G499" s="98"/>
      <c r="H499" s="98"/>
      <c r="I499" s="98"/>
    </row>
    <row r="500" spans="1:10" hidden="1" x14ac:dyDescent="0.2">
      <c r="A500" s="109"/>
      <c r="B500" s="109"/>
      <c r="C500" s="98"/>
      <c r="D500" s="112"/>
      <c r="E500" s="110"/>
      <c r="F500" s="111"/>
      <c r="G500" s="111"/>
      <c r="H500" s="98"/>
      <c r="I500" s="111"/>
    </row>
    <row r="501" spans="1:10" hidden="1" x14ac:dyDescent="0.2">
      <c r="A501" s="109"/>
      <c r="B501" s="115"/>
      <c r="C501" s="98"/>
      <c r="D501" s="112"/>
      <c r="E501" s="110"/>
      <c r="F501" s="110"/>
      <c r="G501" s="110"/>
      <c r="H501" s="98"/>
      <c r="I501" s="110"/>
    </row>
    <row r="502" spans="1:10" hidden="1" x14ac:dyDescent="0.2">
      <c r="A502" s="109"/>
      <c r="B502" s="115"/>
      <c r="C502" s="98"/>
      <c r="D502" s="112"/>
      <c r="E502" s="110"/>
      <c r="F502" s="111"/>
      <c r="G502" s="112"/>
      <c r="H502" s="106"/>
      <c r="I502" s="111"/>
    </row>
    <row r="503" spans="1:10" hidden="1" x14ac:dyDescent="0.2">
      <c r="A503" s="109"/>
      <c r="C503" s="98"/>
      <c r="D503" s="112"/>
      <c r="E503" s="110"/>
      <c r="F503" s="111"/>
      <c r="G503" s="112"/>
      <c r="H503" s="98"/>
      <c r="I503" s="111"/>
    </row>
    <row r="504" spans="1:10" hidden="1" x14ac:dyDescent="0.2">
      <c r="A504" s="109"/>
      <c r="B504" s="105"/>
      <c r="C504" s="98"/>
      <c r="D504" s="112"/>
      <c r="E504" s="110"/>
      <c r="F504" s="111"/>
      <c r="G504" s="112"/>
      <c r="H504" s="98"/>
      <c r="I504" s="111"/>
    </row>
    <row r="505" spans="1:10" hidden="1" x14ac:dyDescent="0.2">
      <c r="A505" s="109"/>
      <c r="B505" s="105"/>
      <c r="C505" s="116"/>
      <c r="D505" s="116"/>
      <c r="E505" s="99"/>
      <c r="F505" s="117"/>
      <c r="G505" s="116"/>
      <c r="H505" s="106"/>
      <c r="I505" s="117"/>
    </row>
    <row r="506" spans="1:10" hidden="1" x14ac:dyDescent="0.2">
      <c r="A506" s="109"/>
      <c r="B506" s="118"/>
      <c r="C506" s="116"/>
      <c r="D506" s="116"/>
      <c r="E506" s="99"/>
      <c r="F506" s="117"/>
      <c r="G506" s="116"/>
      <c r="H506" s="106"/>
      <c r="I506" s="117"/>
    </row>
    <row r="507" spans="1:10" hidden="1" x14ac:dyDescent="0.2">
      <c r="A507" s="109"/>
      <c r="B507" s="105"/>
    </row>
    <row r="508" spans="1:10" hidden="1" x14ac:dyDescent="0.2">
      <c r="A508" s="109"/>
      <c r="B508" s="120"/>
      <c r="C508" s="106"/>
      <c r="D508" s="106"/>
      <c r="E508" s="107"/>
      <c r="F508" s="106"/>
      <c r="G508" s="106"/>
      <c r="H508" s="116"/>
      <c r="I508" s="106"/>
    </row>
    <row r="509" spans="1:10" hidden="1" x14ac:dyDescent="0.2">
      <c r="B509" s="120"/>
      <c r="C509" s="106"/>
      <c r="D509" s="106"/>
      <c r="E509" s="107"/>
      <c r="F509" s="106"/>
      <c r="G509" s="106"/>
      <c r="H509" s="106"/>
      <c r="I509" s="106"/>
    </row>
    <row r="510" spans="1:10" hidden="1" x14ac:dyDescent="0.2">
      <c r="A510" s="109"/>
      <c r="B510" s="120"/>
      <c r="C510" s="106"/>
      <c r="D510" s="106"/>
      <c r="E510" s="107"/>
      <c r="F510" s="106"/>
      <c r="G510" s="119"/>
      <c r="H510" s="106"/>
      <c r="I510" s="106"/>
    </row>
    <row r="511" spans="1:10" hidden="1" x14ac:dyDescent="0.2">
      <c r="A511" s="109"/>
      <c r="B511" s="105"/>
      <c r="C511" s="106"/>
      <c r="D511" s="106"/>
      <c r="E511" s="107"/>
      <c r="F511" s="106"/>
      <c r="G511" s="106"/>
      <c r="H511" s="106"/>
      <c r="I511" s="106"/>
    </row>
    <row r="512" spans="1:10" hidden="1" x14ac:dyDescent="0.2">
      <c r="A512" s="115"/>
      <c r="B512" s="105"/>
      <c r="C512" s="212"/>
      <c r="D512" s="212"/>
      <c r="E512" s="213"/>
      <c r="F512" s="212"/>
      <c r="G512" s="212"/>
      <c r="H512" s="106"/>
      <c r="I512" s="212"/>
    </row>
    <row r="513" spans="1:9" hidden="1" x14ac:dyDescent="0.2">
      <c r="A513" s="115"/>
      <c r="C513" s="212"/>
      <c r="D513" s="212"/>
      <c r="E513" s="213"/>
      <c r="F513" s="212"/>
      <c r="G513" s="212"/>
      <c r="H513" s="106"/>
      <c r="I513" s="212"/>
    </row>
    <row r="514" spans="1:9" hidden="1" x14ac:dyDescent="0.2">
      <c r="A514" s="72"/>
      <c r="C514" s="214"/>
      <c r="D514" s="212"/>
      <c r="E514" s="213"/>
      <c r="F514" s="212"/>
      <c r="G514" s="212"/>
      <c r="H514" s="106"/>
      <c r="I514" s="212"/>
    </row>
    <row r="515" spans="1:9" hidden="1" x14ac:dyDescent="0.2">
      <c r="A515" s="105"/>
      <c r="C515" s="106"/>
      <c r="D515" s="106"/>
      <c r="E515" s="107"/>
      <c r="F515" s="106"/>
      <c r="G515" s="106"/>
      <c r="H515" s="106"/>
      <c r="I515" s="106"/>
    </row>
    <row r="516" spans="1:9" hidden="1" x14ac:dyDescent="0.2">
      <c r="A516" s="105"/>
      <c r="C516" s="106"/>
      <c r="D516" s="106"/>
      <c r="E516" s="107"/>
      <c r="F516" s="106"/>
      <c r="G516" s="106"/>
      <c r="H516" s="106"/>
      <c r="I516" s="106"/>
    </row>
    <row r="517" spans="1:9" hidden="1" x14ac:dyDescent="0.2">
      <c r="A517" s="105"/>
    </row>
    <row r="518" spans="1:9" hidden="1" x14ac:dyDescent="0.2">
      <c r="A518" s="105"/>
    </row>
    <row r="519" spans="1:9" hidden="1" x14ac:dyDescent="0.2">
      <c r="A519" s="120"/>
    </row>
    <row r="520" spans="1:9" hidden="1" x14ac:dyDescent="0.2">
      <c r="A520" s="120"/>
    </row>
    <row r="521" spans="1:9" hidden="1" x14ac:dyDescent="0.2">
      <c r="A521" s="120"/>
    </row>
    <row r="522" spans="1:9" hidden="1" x14ac:dyDescent="0.2">
      <c r="A522" s="105"/>
    </row>
    <row r="523" spans="1:9" hidden="1" x14ac:dyDescent="0.2">
      <c r="A523" s="105"/>
    </row>
    <row r="540" spans="2:9" hidden="1" x14ac:dyDescent="0.2">
      <c r="B540" s="215"/>
    </row>
    <row r="541" spans="2:9" hidden="1" x14ac:dyDescent="0.2">
      <c r="B541" s="215"/>
    </row>
    <row r="542" spans="2:9" hidden="1" x14ac:dyDescent="0.2">
      <c r="B542" s="215"/>
    </row>
    <row r="543" spans="2:9" hidden="1" x14ac:dyDescent="0.2">
      <c r="B543" s="105"/>
    </row>
    <row r="544" spans="2:9" hidden="1" x14ac:dyDescent="0.2">
      <c r="B544" s="115"/>
      <c r="C544" s="112"/>
      <c r="D544" s="112"/>
      <c r="E544" s="216"/>
      <c r="F544" s="217"/>
      <c r="G544" s="112"/>
      <c r="H544" s="112"/>
      <c r="I544" s="218"/>
    </row>
    <row r="545" spans="1:9" hidden="1" x14ac:dyDescent="0.2">
      <c r="B545" s="97"/>
      <c r="C545" s="112"/>
      <c r="D545" s="112"/>
      <c r="E545" s="216"/>
      <c r="F545" s="217"/>
      <c r="G545" s="112"/>
      <c r="H545" s="112"/>
      <c r="I545" s="218"/>
    </row>
    <row r="546" spans="1:9" hidden="1" x14ac:dyDescent="0.2">
      <c r="B546" s="115"/>
      <c r="C546" s="112"/>
      <c r="D546" s="112"/>
      <c r="E546" s="216"/>
      <c r="F546" s="217"/>
      <c r="G546" s="112"/>
      <c r="H546" s="112"/>
      <c r="I546" s="218"/>
    </row>
    <row r="547" spans="1:9" hidden="1" x14ac:dyDescent="0.2">
      <c r="B547" s="115"/>
      <c r="C547" s="98"/>
      <c r="D547" s="98"/>
      <c r="E547" s="110"/>
      <c r="F547" s="98"/>
      <c r="G547" s="218"/>
      <c r="H547" s="112"/>
      <c r="I547" s="218"/>
    </row>
    <row r="548" spans="1:9" hidden="1" x14ac:dyDescent="0.2">
      <c r="B548" s="115"/>
      <c r="C548" s="116"/>
      <c r="D548" s="116"/>
      <c r="E548" s="116"/>
      <c r="F548" s="117"/>
      <c r="G548" s="116"/>
      <c r="H548" s="106"/>
      <c r="I548" s="117"/>
    </row>
    <row r="549" spans="1:9" hidden="1" x14ac:dyDescent="0.2">
      <c r="B549" s="72"/>
      <c r="C549" s="98"/>
      <c r="D549" s="98"/>
      <c r="E549" s="110"/>
      <c r="G549" s="98"/>
      <c r="H549" s="106"/>
      <c r="I549" s="218"/>
    </row>
    <row r="550" spans="1:9" hidden="1" x14ac:dyDescent="0.2">
      <c r="B550" s="105"/>
      <c r="C550" s="116"/>
      <c r="D550" s="116"/>
      <c r="E550" s="116"/>
      <c r="F550" s="117"/>
      <c r="G550" s="116"/>
      <c r="H550" s="106"/>
      <c r="I550" s="117"/>
    </row>
    <row r="551" spans="1:9" hidden="1" x14ac:dyDescent="0.2">
      <c r="A551" s="97"/>
      <c r="B551" s="105"/>
      <c r="C551" s="116"/>
      <c r="D551" s="116"/>
      <c r="E551" s="116"/>
      <c r="F551" s="117"/>
      <c r="G551" s="116"/>
      <c r="H551" s="106"/>
      <c r="I551" s="117"/>
    </row>
    <row r="552" spans="1:9" hidden="1" x14ac:dyDescent="0.2">
      <c r="A552" s="97"/>
      <c r="B552" s="118"/>
      <c r="C552" s="116"/>
      <c r="D552" s="116"/>
      <c r="E552" s="116"/>
      <c r="F552" s="72"/>
      <c r="G552" s="117"/>
      <c r="H552" s="98"/>
      <c r="I552" s="117"/>
    </row>
    <row r="553" spans="1:9" hidden="1" x14ac:dyDescent="0.2">
      <c r="A553" s="97"/>
      <c r="B553" s="105"/>
      <c r="C553" s="72"/>
      <c r="D553" s="106"/>
      <c r="E553" s="106"/>
      <c r="F553" s="106"/>
      <c r="G553" s="106"/>
      <c r="H553" s="106"/>
      <c r="I553" s="106"/>
    </row>
    <row r="554" spans="1:9" hidden="1" x14ac:dyDescent="0.2">
      <c r="A554" s="97"/>
      <c r="B554" s="120"/>
      <c r="C554" s="106"/>
      <c r="D554" s="106"/>
      <c r="E554" s="106"/>
      <c r="F554" s="106"/>
      <c r="G554" s="106"/>
      <c r="H554" s="116"/>
      <c r="I554" s="106"/>
    </row>
    <row r="555" spans="1:9" hidden="1" x14ac:dyDescent="0.2">
      <c r="A555" s="115"/>
      <c r="B555" s="105"/>
      <c r="C555" s="106"/>
      <c r="D555" s="106"/>
      <c r="E555" s="106"/>
      <c r="F555" s="106"/>
      <c r="G555" s="106"/>
      <c r="H555" s="106"/>
      <c r="I555" s="106"/>
    </row>
    <row r="556" spans="1:9" hidden="1" x14ac:dyDescent="0.2">
      <c r="A556" s="97"/>
      <c r="B556" s="105"/>
      <c r="C556" s="106"/>
      <c r="D556" s="106"/>
      <c r="E556" s="106"/>
      <c r="F556" s="106"/>
      <c r="G556" s="119"/>
      <c r="H556" s="106"/>
      <c r="I556" s="106"/>
    </row>
    <row r="557" spans="1:9" s="72" customFormat="1" hidden="1" x14ac:dyDescent="0.2">
      <c r="A557" s="115"/>
      <c r="B557" s="105"/>
      <c r="C557" s="106"/>
      <c r="D557" s="106"/>
      <c r="E557" s="106"/>
      <c r="F557" s="106"/>
      <c r="G557" s="106"/>
      <c r="H557" s="106"/>
      <c r="I557" s="106"/>
    </row>
    <row r="558" spans="1:9" s="72" customFormat="1" hidden="1" x14ac:dyDescent="0.2">
      <c r="A558" s="115"/>
      <c r="C558" s="212"/>
      <c r="D558" s="212"/>
      <c r="E558" s="212"/>
      <c r="F558" s="212"/>
      <c r="G558" s="212"/>
      <c r="H558" s="106"/>
      <c r="I558" s="212"/>
    </row>
    <row r="559" spans="1:9" s="72" customFormat="1" hidden="1" x14ac:dyDescent="0.2">
      <c r="A559" s="115"/>
      <c r="B559" s="105"/>
      <c r="C559" s="106"/>
      <c r="D559" s="106"/>
      <c r="E559" s="106"/>
      <c r="F559" s="106"/>
      <c r="G559" s="106"/>
      <c r="H559" s="106"/>
      <c r="I559" s="106"/>
    </row>
    <row r="560" spans="1:9" s="72" customFormat="1" hidden="1" x14ac:dyDescent="0.2">
      <c r="B560" s="105"/>
      <c r="C560" s="106"/>
      <c r="D560" s="106"/>
      <c r="E560" s="106"/>
      <c r="F560" s="106"/>
      <c r="G560" s="106"/>
      <c r="H560" s="106"/>
      <c r="I560" s="106"/>
    </row>
    <row r="561" spans="1:9" s="72" customFormat="1" hidden="1" x14ac:dyDescent="0.2">
      <c r="A561" s="105"/>
      <c r="B561" s="105"/>
      <c r="C561" s="106"/>
      <c r="D561" s="106"/>
      <c r="E561" s="106"/>
      <c r="F561" s="106"/>
      <c r="G561" s="106"/>
      <c r="H561" s="106"/>
      <c r="I561" s="106"/>
    </row>
    <row r="562" spans="1:9" s="72" customFormat="1" hidden="1" x14ac:dyDescent="0.2">
      <c r="A562" s="105"/>
      <c r="B562" s="105"/>
      <c r="C562" s="85"/>
      <c r="H562" s="106"/>
      <c r="I562" s="85"/>
    </row>
    <row r="563" spans="1:9" s="72" customFormat="1" hidden="1" x14ac:dyDescent="0.2">
      <c r="A563" s="105"/>
      <c r="B563" s="105"/>
      <c r="C563" s="105"/>
      <c r="D563" s="105"/>
      <c r="E563" s="105"/>
      <c r="F563" s="105"/>
      <c r="G563" s="105"/>
      <c r="H563" s="106"/>
      <c r="I563" s="106"/>
    </row>
    <row r="564" spans="1:9" s="72" customFormat="1" hidden="1" x14ac:dyDescent="0.2">
      <c r="A564" s="105"/>
      <c r="C564" s="105"/>
      <c r="D564" s="105"/>
      <c r="E564" s="105"/>
      <c r="F564" s="105"/>
      <c r="G564" s="105"/>
      <c r="H564" s="105"/>
      <c r="I564" s="105"/>
    </row>
    <row r="565" spans="1:9" s="72" customFormat="1" hidden="1" x14ac:dyDescent="0.2">
      <c r="A565" s="120"/>
      <c r="C565" s="105"/>
      <c r="D565" s="105"/>
      <c r="E565" s="105"/>
      <c r="F565" s="105"/>
      <c r="G565" s="105"/>
      <c r="H565" s="105"/>
      <c r="I565" s="105"/>
    </row>
    <row r="566" spans="1:9" s="72" customFormat="1" hidden="1" x14ac:dyDescent="0.2">
      <c r="A566" s="105"/>
      <c r="C566" s="105"/>
      <c r="D566" s="105"/>
      <c r="E566" s="105"/>
      <c r="F566" s="105"/>
      <c r="G566" s="105"/>
      <c r="H566" s="105"/>
      <c r="I566" s="105"/>
    </row>
    <row r="567" spans="1:9" s="72" customFormat="1" hidden="1" x14ac:dyDescent="0.2">
      <c r="A567" s="105"/>
      <c r="C567" s="105"/>
      <c r="D567" s="105"/>
      <c r="E567" s="105"/>
      <c r="F567" s="105"/>
      <c r="G567" s="105"/>
      <c r="H567" s="105"/>
      <c r="I567" s="105"/>
    </row>
    <row r="568" spans="1:9" s="72" customFormat="1" hidden="1" x14ac:dyDescent="0.2">
      <c r="A568" s="108"/>
    </row>
    <row r="569" spans="1:9" s="72" customFormat="1" hidden="1" x14ac:dyDescent="0.2"/>
    <row r="570" spans="1:9" s="72" customFormat="1" hidden="1" x14ac:dyDescent="0.2"/>
    <row r="571" spans="1:9" s="72" customFormat="1" hidden="1" x14ac:dyDescent="0.2">
      <c r="A571" s="105"/>
    </row>
    <row r="572" spans="1:9" s="72" customFormat="1" hidden="1" x14ac:dyDescent="0.2">
      <c r="A572" s="105"/>
    </row>
    <row r="573" spans="1:9" s="72" customFormat="1" hidden="1" x14ac:dyDescent="0.2">
      <c r="A573" s="105"/>
    </row>
    <row r="574" spans="1:9" s="72" customFormat="1" hidden="1" x14ac:dyDescent="0.2">
      <c r="A574" s="105"/>
    </row>
    <row r="575" spans="1:9" s="72" customFormat="1" hidden="1" x14ac:dyDescent="0.2"/>
    <row r="576" spans="1:9" s="72" customFormat="1" hidden="1" x14ac:dyDescent="0.2"/>
    <row r="577" spans="10:16377" s="72" customFormat="1" hidden="1" x14ac:dyDescent="0.2"/>
    <row r="578" spans="10:16377" s="72" customFormat="1" hidden="1" x14ac:dyDescent="0.2"/>
    <row r="579" spans="10:16377" s="72" customFormat="1" hidden="1" x14ac:dyDescent="0.2"/>
    <row r="580" spans="10:16377" s="72" customFormat="1" hidden="1" x14ac:dyDescent="0.2"/>
    <row r="581" spans="10:16377" s="72" customFormat="1" hidden="1" x14ac:dyDescent="0.2"/>
    <row r="582" spans="10:16377" s="72" customFormat="1" hidden="1" x14ac:dyDescent="0.2"/>
    <row r="583" spans="10:16377" s="72" customFormat="1" hidden="1" x14ac:dyDescent="0.2"/>
    <row r="584" spans="10:16377" s="72" customFormat="1" hidden="1" x14ac:dyDescent="0.2"/>
    <row r="585" spans="10:16377" s="72" customFormat="1" hidden="1" x14ac:dyDescent="0.2"/>
    <row r="586" spans="10:16377" s="72" customFormat="1" hidden="1" x14ac:dyDescent="0.2"/>
    <row r="587" spans="10:16377" s="72" customFormat="1" hidden="1" x14ac:dyDescent="0.2"/>
    <row r="588" spans="10:16377" s="72" customFormat="1" hidden="1" x14ac:dyDescent="0.2"/>
    <row r="589" spans="10:16377" s="72" customFormat="1" hidden="1" x14ac:dyDescent="0.2">
      <c r="J589" s="219"/>
      <c r="K589" s="219"/>
      <c r="L589" s="219"/>
      <c r="M589" s="219"/>
      <c r="N589" s="219"/>
      <c r="O589" s="219"/>
      <c r="P589" s="219"/>
      <c r="Q589" s="219"/>
      <c r="R589" s="219"/>
      <c r="S589" s="219"/>
      <c r="T589" s="219"/>
      <c r="U589" s="219"/>
      <c r="V589" s="219"/>
      <c r="W589" s="219"/>
      <c r="X589" s="219"/>
      <c r="Y589" s="219"/>
      <c r="Z589" s="219"/>
      <c r="AA589" s="219"/>
      <c r="AB589" s="219"/>
      <c r="AC589" s="219"/>
      <c r="AD589" s="219"/>
      <c r="AE589" s="219"/>
      <c r="AF589" s="219"/>
      <c r="AG589" s="219"/>
      <c r="AH589" s="219"/>
      <c r="AI589" s="219"/>
      <c r="AJ589" s="219"/>
      <c r="AK589" s="219"/>
      <c r="AL589" s="219"/>
      <c r="AM589" s="219"/>
      <c r="AN589" s="219"/>
      <c r="AO589" s="219"/>
      <c r="AP589" s="219"/>
      <c r="AQ589" s="219"/>
      <c r="AR589" s="219"/>
      <c r="AS589" s="219"/>
      <c r="AT589" s="219"/>
      <c r="AU589" s="219"/>
      <c r="AV589" s="219"/>
      <c r="AW589" s="219"/>
      <c r="AX589" s="219"/>
      <c r="AY589" s="219"/>
      <c r="AZ589" s="219"/>
      <c r="BA589" s="219"/>
      <c r="BB589" s="219"/>
      <c r="BC589" s="219"/>
      <c r="BD589" s="219"/>
      <c r="BE589" s="219"/>
      <c r="BF589" s="219"/>
      <c r="BG589" s="219"/>
      <c r="BH589" s="219"/>
      <c r="BI589" s="219"/>
      <c r="BJ589" s="219"/>
      <c r="BK589" s="219"/>
      <c r="BL589" s="219"/>
      <c r="BM589" s="219"/>
      <c r="BN589" s="219"/>
      <c r="BO589" s="219"/>
      <c r="BP589" s="219"/>
      <c r="BQ589" s="219"/>
      <c r="BR589" s="219"/>
      <c r="BS589" s="219"/>
      <c r="BT589" s="219"/>
      <c r="BU589" s="219"/>
      <c r="BV589" s="219"/>
      <c r="BW589" s="219"/>
      <c r="BX589" s="219"/>
      <c r="BY589" s="219"/>
      <c r="BZ589" s="219"/>
      <c r="CA589" s="219"/>
      <c r="CB589" s="219"/>
      <c r="CC589" s="219"/>
      <c r="CD589" s="219"/>
      <c r="CE589" s="219"/>
      <c r="CF589" s="219"/>
      <c r="CG589" s="219"/>
      <c r="CH589" s="219"/>
      <c r="CI589" s="219"/>
      <c r="CJ589" s="219"/>
      <c r="CK589" s="219"/>
      <c r="CL589" s="219"/>
      <c r="CM589" s="219"/>
      <c r="CN589" s="219"/>
      <c r="CO589" s="219"/>
      <c r="CP589" s="219"/>
      <c r="CQ589" s="219"/>
      <c r="CR589" s="219"/>
      <c r="CS589" s="219"/>
      <c r="CT589" s="219"/>
      <c r="CU589" s="219"/>
      <c r="CV589" s="219"/>
      <c r="CW589" s="219"/>
      <c r="CX589" s="219"/>
      <c r="CY589" s="219"/>
      <c r="CZ589" s="219"/>
      <c r="DA589" s="219"/>
      <c r="DB589" s="219"/>
      <c r="DC589" s="219"/>
      <c r="DD589" s="219"/>
      <c r="DE589" s="219"/>
      <c r="DF589" s="219"/>
      <c r="DG589" s="219"/>
      <c r="DH589" s="219"/>
      <c r="DI589" s="219"/>
      <c r="DJ589" s="219"/>
      <c r="DK589" s="219"/>
      <c r="DL589" s="219"/>
      <c r="DM589" s="219"/>
      <c r="DN589" s="219"/>
      <c r="DO589" s="219"/>
      <c r="DP589" s="219"/>
      <c r="DQ589" s="219"/>
      <c r="DR589" s="219"/>
      <c r="DS589" s="219"/>
      <c r="DT589" s="219"/>
      <c r="DU589" s="219"/>
      <c r="DV589" s="219"/>
      <c r="DW589" s="219"/>
      <c r="DX589" s="219"/>
      <c r="DY589" s="219"/>
      <c r="DZ589" s="219"/>
      <c r="EA589" s="219"/>
      <c r="EB589" s="219"/>
      <c r="EC589" s="219"/>
      <c r="ED589" s="219"/>
      <c r="EE589" s="219"/>
      <c r="EF589" s="219"/>
      <c r="EG589" s="219"/>
      <c r="EH589" s="219"/>
      <c r="EI589" s="219"/>
      <c r="EJ589" s="219"/>
      <c r="EK589" s="219"/>
      <c r="EL589" s="219"/>
      <c r="EM589" s="219"/>
      <c r="EN589" s="219"/>
      <c r="EO589" s="219"/>
      <c r="EP589" s="219"/>
      <c r="EQ589" s="219"/>
      <c r="ER589" s="219"/>
      <c r="ES589" s="219"/>
      <c r="ET589" s="219"/>
      <c r="EU589" s="219"/>
      <c r="EV589" s="219"/>
      <c r="EW589" s="219"/>
      <c r="EX589" s="219"/>
      <c r="EY589" s="219"/>
      <c r="EZ589" s="219"/>
      <c r="FA589" s="219"/>
      <c r="FB589" s="219"/>
      <c r="FC589" s="219"/>
      <c r="FD589" s="219"/>
      <c r="FE589" s="219"/>
      <c r="FF589" s="219"/>
      <c r="FG589" s="219"/>
      <c r="FH589" s="219"/>
      <c r="FI589" s="219"/>
      <c r="FJ589" s="219"/>
      <c r="FK589" s="219"/>
      <c r="FL589" s="219"/>
      <c r="FM589" s="219"/>
      <c r="FN589" s="219"/>
      <c r="FO589" s="219"/>
      <c r="FP589" s="219"/>
      <c r="FQ589" s="219"/>
      <c r="FR589" s="219"/>
      <c r="FS589" s="219"/>
      <c r="FT589" s="219"/>
      <c r="FU589" s="219"/>
      <c r="FV589" s="219"/>
      <c r="FW589" s="219"/>
      <c r="FX589" s="219"/>
      <c r="FY589" s="219"/>
      <c r="FZ589" s="219"/>
      <c r="GA589" s="219"/>
      <c r="GB589" s="219"/>
      <c r="GC589" s="219"/>
      <c r="GD589" s="219"/>
      <c r="GE589" s="219"/>
      <c r="GF589" s="219"/>
      <c r="GG589" s="219"/>
      <c r="GH589" s="219"/>
      <c r="GI589" s="219"/>
      <c r="GJ589" s="219"/>
      <c r="GK589" s="219"/>
      <c r="GL589" s="219"/>
      <c r="GM589" s="219"/>
      <c r="GN589" s="219"/>
      <c r="GO589" s="219"/>
      <c r="GP589" s="219"/>
      <c r="GQ589" s="219"/>
      <c r="GR589" s="219"/>
      <c r="GS589" s="219"/>
      <c r="GT589" s="219"/>
      <c r="GU589" s="219"/>
      <c r="GV589" s="219"/>
      <c r="GW589" s="219"/>
      <c r="GX589" s="219"/>
      <c r="GY589" s="219"/>
      <c r="GZ589" s="219"/>
      <c r="HA589" s="219"/>
      <c r="HB589" s="219"/>
      <c r="HC589" s="219"/>
      <c r="HD589" s="219"/>
      <c r="HE589" s="219"/>
      <c r="HF589" s="219"/>
      <c r="HG589" s="219"/>
      <c r="HH589" s="219"/>
      <c r="HI589" s="219"/>
      <c r="HJ589" s="219"/>
      <c r="HK589" s="219"/>
      <c r="HL589" s="219"/>
      <c r="HM589" s="219"/>
      <c r="HN589" s="219"/>
      <c r="HO589" s="219"/>
      <c r="HP589" s="219"/>
      <c r="HQ589" s="219"/>
      <c r="HR589" s="219"/>
      <c r="HS589" s="219"/>
      <c r="HT589" s="219"/>
      <c r="HU589" s="219"/>
      <c r="HV589" s="219"/>
      <c r="HW589" s="219"/>
      <c r="HX589" s="219"/>
      <c r="HY589" s="219"/>
      <c r="HZ589" s="219"/>
      <c r="IA589" s="219"/>
      <c r="IB589" s="219"/>
      <c r="IC589" s="219"/>
      <c r="ID589" s="219"/>
      <c r="IE589" s="219"/>
      <c r="IF589" s="219"/>
      <c r="IG589" s="219"/>
      <c r="IH589" s="219"/>
      <c r="II589" s="219"/>
      <c r="IJ589" s="219"/>
      <c r="IK589" s="219"/>
      <c r="IL589" s="219"/>
      <c r="IM589" s="219"/>
      <c r="IN589" s="219"/>
      <c r="IO589" s="219"/>
      <c r="IP589" s="219"/>
      <c r="IQ589" s="219"/>
      <c r="IR589" s="219"/>
      <c r="IS589" s="219"/>
      <c r="IT589" s="219"/>
      <c r="IU589" s="219"/>
      <c r="IV589" s="219"/>
      <c r="IW589" s="219"/>
      <c r="IX589" s="219"/>
      <c r="IY589" s="219"/>
      <c r="IZ589" s="219"/>
      <c r="JA589" s="219"/>
      <c r="JB589" s="219"/>
      <c r="JC589" s="219"/>
      <c r="JD589" s="219"/>
      <c r="JE589" s="219"/>
      <c r="JF589" s="219"/>
      <c r="JG589" s="219"/>
      <c r="JH589" s="219"/>
      <c r="JI589" s="219"/>
      <c r="JJ589" s="219"/>
      <c r="JK589" s="219"/>
      <c r="JL589" s="219"/>
      <c r="JM589" s="219"/>
      <c r="JN589" s="219"/>
      <c r="JO589" s="219"/>
      <c r="JP589" s="219"/>
      <c r="JQ589" s="219"/>
      <c r="JR589" s="219"/>
      <c r="JS589" s="219"/>
      <c r="JT589" s="219"/>
      <c r="JU589" s="219"/>
      <c r="JV589" s="219"/>
      <c r="JW589" s="219"/>
      <c r="JX589" s="219"/>
      <c r="JY589" s="219"/>
      <c r="JZ589" s="219"/>
      <c r="KA589" s="219"/>
      <c r="KB589" s="219"/>
      <c r="KC589" s="219"/>
      <c r="KD589" s="219"/>
      <c r="KE589" s="219"/>
      <c r="KF589" s="219"/>
      <c r="KG589" s="219"/>
      <c r="KH589" s="219"/>
      <c r="KI589" s="219"/>
      <c r="KJ589" s="219"/>
      <c r="KK589" s="219"/>
      <c r="KL589" s="219"/>
      <c r="KM589" s="219"/>
      <c r="KN589" s="219"/>
      <c r="KO589" s="219"/>
      <c r="KP589" s="219"/>
      <c r="KQ589" s="219"/>
      <c r="KR589" s="219"/>
      <c r="KS589" s="219"/>
      <c r="KT589" s="219"/>
      <c r="KU589" s="219"/>
      <c r="KV589" s="219"/>
      <c r="KW589" s="219"/>
      <c r="KX589" s="219"/>
      <c r="KY589" s="219"/>
      <c r="KZ589" s="219"/>
      <c r="LA589" s="219"/>
      <c r="LB589" s="219"/>
      <c r="LC589" s="219"/>
      <c r="LD589" s="219"/>
      <c r="LE589" s="219"/>
      <c r="LF589" s="219"/>
      <c r="LG589" s="219"/>
      <c r="LH589" s="219"/>
      <c r="LI589" s="219"/>
      <c r="LJ589" s="219"/>
      <c r="LK589" s="219"/>
      <c r="LL589" s="219"/>
      <c r="LM589" s="219"/>
      <c r="LN589" s="219"/>
      <c r="LO589" s="219"/>
      <c r="LP589" s="219"/>
      <c r="LQ589" s="219"/>
      <c r="LR589" s="219"/>
      <c r="LS589" s="219"/>
      <c r="LT589" s="219"/>
      <c r="LU589" s="219"/>
      <c r="LV589" s="219"/>
      <c r="LW589" s="219"/>
      <c r="LX589" s="219"/>
      <c r="LY589" s="219"/>
      <c r="LZ589" s="219"/>
      <c r="MA589" s="219"/>
      <c r="MB589" s="219"/>
      <c r="MC589" s="219"/>
      <c r="MD589" s="219"/>
      <c r="ME589" s="219"/>
      <c r="MF589" s="219"/>
      <c r="MG589" s="219"/>
      <c r="MH589" s="219"/>
      <c r="MI589" s="219"/>
      <c r="MJ589" s="219"/>
      <c r="MK589" s="219"/>
      <c r="ML589" s="219"/>
      <c r="MM589" s="219"/>
      <c r="MN589" s="219"/>
      <c r="MO589" s="219"/>
      <c r="MP589" s="219"/>
      <c r="MQ589" s="219"/>
      <c r="MR589" s="219"/>
      <c r="MS589" s="219"/>
      <c r="MT589" s="219"/>
      <c r="MU589" s="219"/>
      <c r="MV589" s="219"/>
      <c r="MW589" s="219"/>
      <c r="MX589" s="219"/>
      <c r="MY589" s="219"/>
      <c r="MZ589" s="219"/>
      <c r="NA589" s="219"/>
      <c r="NB589" s="219"/>
      <c r="NC589" s="219"/>
      <c r="ND589" s="219"/>
      <c r="NE589" s="219"/>
      <c r="NF589" s="219"/>
      <c r="NG589" s="219"/>
      <c r="NH589" s="219"/>
      <c r="NI589" s="219"/>
      <c r="NJ589" s="219"/>
      <c r="NK589" s="219"/>
      <c r="NL589" s="219"/>
      <c r="NM589" s="219"/>
      <c r="NN589" s="219"/>
      <c r="NO589" s="219"/>
      <c r="NP589" s="219"/>
      <c r="NQ589" s="219"/>
      <c r="NR589" s="219"/>
      <c r="NS589" s="219"/>
      <c r="NT589" s="219"/>
      <c r="NU589" s="219"/>
      <c r="NV589" s="219"/>
      <c r="NW589" s="219"/>
      <c r="NX589" s="219"/>
      <c r="NY589" s="219"/>
      <c r="NZ589" s="219"/>
      <c r="OA589" s="219"/>
      <c r="OB589" s="219"/>
      <c r="OC589" s="219"/>
      <c r="OD589" s="219"/>
      <c r="OE589" s="219"/>
      <c r="OF589" s="219"/>
      <c r="OG589" s="219"/>
      <c r="OH589" s="219"/>
      <c r="OI589" s="219"/>
      <c r="OJ589" s="219"/>
      <c r="OK589" s="219"/>
      <c r="OL589" s="219"/>
      <c r="OM589" s="219"/>
      <c r="ON589" s="219"/>
      <c r="OO589" s="219"/>
      <c r="OP589" s="219"/>
      <c r="OQ589" s="219"/>
      <c r="OR589" s="219"/>
      <c r="OS589" s="219"/>
      <c r="OT589" s="219"/>
      <c r="OU589" s="219"/>
      <c r="OV589" s="219"/>
      <c r="OW589" s="219"/>
      <c r="OX589" s="219"/>
      <c r="OY589" s="219"/>
      <c r="OZ589" s="219"/>
      <c r="PA589" s="219"/>
      <c r="PB589" s="219"/>
      <c r="PC589" s="219"/>
      <c r="PD589" s="219"/>
      <c r="PE589" s="219"/>
      <c r="PF589" s="219"/>
      <c r="PG589" s="219"/>
      <c r="PH589" s="219"/>
      <c r="PI589" s="219"/>
      <c r="PJ589" s="219"/>
      <c r="PK589" s="219"/>
      <c r="PL589" s="219"/>
      <c r="PM589" s="219"/>
      <c r="PN589" s="219"/>
      <c r="PO589" s="219"/>
      <c r="PP589" s="219"/>
      <c r="PQ589" s="219"/>
      <c r="PR589" s="219"/>
      <c r="PS589" s="219"/>
      <c r="PT589" s="219"/>
      <c r="PU589" s="219"/>
      <c r="PV589" s="219"/>
      <c r="PW589" s="219"/>
      <c r="PX589" s="219"/>
      <c r="PY589" s="219"/>
      <c r="PZ589" s="219"/>
      <c r="QA589" s="219"/>
      <c r="QB589" s="219"/>
      <c r="QC589" s="219"/>
      <c r="QD589" s="219"/>
      <c r="QE589" s="219"/>
      <c r="QF589" s="219"/>
      <c r="QG589" s="219"/>
      <c r="QH589" s="219"/>
      <c r="QI589" s="219"/>
      <c r="QJ589" s="219"/>
      <c r="QK589" s="219"/>
      <c r="QL589" s="219"/>
      <c r="QM589" s="219"/>
      <c r="QN589" s="219"/>
      <c r="QO589" s="219"/>
      <c r="QP589" s="219"/>
      <c r="QQ589" s="219"/>
      <c r="QR589" s="219"/>
      <c r="QS589" s="219"/>
      <c r="QT589" s="219"/>
      <c r="QU589" s="219"/>
      <c r="QV589" s="219"/>
      <c r="QW589" s="219"/>
      <c r="QX589" s="219"/>
      <c r="QY589" s="219"/>
      <c r="QZ589" s="219"/>
      <c r="RA589" s="219"/>
      <c r="RB589" s="219"/>
      <c r="RC589" s="219"/>
      <c r="RD589" s="219"/>
      <c r="RE589" s="219"/>
      <c r="RF589" s="219"/>
      <c r="RG589" s="219"/>
      <c r="RH589" s="219"/>
      <c r="RI589" s="219"/>
      <c r="RJ589" s="219"/>
      <c r="RK589" s="219"/>
      <c r="RL589" s="219"/>
      <c r="RM589" s="219"/>
      <c r="RN589" s="219"/>
      <c r="RO589" s="219"/>
      <c r="RP589" s="219"/>
      <c r="RQ589" s="219"/>
      <c r="RR589" s="219"/>
      <c r="RS589" s="219"/>
      <c r="RT589" s="219"/>
      <c r="RU589" s="219"/>
      <c r="RV589" s="219"/>
      <c r="RW589" s="219"/>
      <c r="RX589" s="219"/>
      <c r="RY589" s="219"/>
      <c r="RZ589" s="219"/>
      <c r="SA589" s="219"/>
      <c r="SB589" s="219"/>
      <c r="SC589" s="219"/>
      <c r="SD589" s="219"/>
      <c r="SE589" s="219"/>
      <c r="SF589" s="219"/>
      <c r="SG589" s="219"/>
      <c r="SH589" s="219"/>
      <c r="SI589" s="219"/>
      <c r="SJ589" s="219"/>
      <c r="SK589" s="219"/>
      <c r="SL589" s="219"/>
      <c r="SM589" s="219"/>
      <c r="SN589" s="219"/>
      <c r="SO589" s="219"/>
      <c r="SP589" s="219"/>
      <c r="SQ589" s="219"/>
      <c r="SR589" s="219"/>
      <c r="SS589" s="219"/>
      <c r="ST589" s="219"/>
      <c r="SU589" s="219"/>
      <c r="SV589" s="219"/>
      <c r="SW589" s="219"/>
      <c r="SX589" s="219"/>
      <c r="SY589" s="219"/>
      <c r="SZ589" s="219"/>
      <c r="TA589" s="219"/>
      <c r="TB589" s="219"/>
      <c r="TC589" s="219"/>
      <c r="TD589" s="219"/>
      <c r="TE589" s="219"/>
      <c r="TF589" s="219"/>
      <c r="TG589" s="219"/>
      <c r="TH589" s="219"/>
      <c r="TI589" s="219"/>
      <c r="TJ589" s="219"/>
      <c r="TK589" s="219"/>
      <c r="TL589" s="219"/>
      <c r="TM589" s="219"/>
      <c r="TN589" s="219"/>
      <c r="TO589" s="219"/>
      <c r="TP589" s="219"/>
      <c r="TQ589" s="219"/>
      <c r="TR589" s="219"/>
      <c r="TS589" s="219"/>
      <c r="TT589" s="219"/>
      <c r="TU589" s="219"/>
      <c r="TV589" s="219"/>
      <c r="TW589" s="219"/>
      <c r="TX589" s="219"/>
      <c r="TY589" s="219"/>
      <c r="TZ589" s="219"/>
      <c r="UA589" s="219"/>
      <c r="UB589" s="219"/>
      <c r="UC589" s="219"/>
      <c r="UD589" s="219"/>
      <c r="UE589" s="219"/>
      <c r="UF589" s="219"/>
      <c r="UG589" s="219"/>
      <c r="UH589" s="219"/>
      <c r="UI589" s="219"/>
      <c r="UJ589" s="219"/>
      <c r="UK589" s="219"/>
      <c r="UL589" s="219"/>
      <c r="UM589" s="219"/>
      <c r="UN589" s="219"/>
      <c r="UO589" s="219"/>
      <c r="UP589" s="219"/>
      <c r="UQ589" s="219"/>
      <c r="UR589" s="219"/>
      <c r="US589" s="219"/>
      <c r="UT589" s="219"/>
      <c r="UU589" s="219"/>
      <c r="UV589" s="219"/>
      <c r="UW589" s="219"/>
      <c r="UX589" s="219"/>
      <c r="UY589" s="219"/>
      <c r="UZ589" s="219"/>
      <c r="VA589" s="219"/>
      <c r="VB589" s="219"/>
      <c r="VC589" s="219"/>
      <c r="VD589" s="219"/>
      <c r="VE589" s="219"/>
      <c r="VF589" s="219"/>
      <c r="VG589" s="219"/>
      <c r="VH589" s="219"/>
      <c r="VI589" s="219"/>
      <c r="VJ589" s="219"/>
      <c r="VK589" s="219"/>
      <c r="VL589" s="219"/>
      <c r="VM589" s="219"/>
      <c r="VN589" s="219"/>
      <c r="VO589" s="219"/>
      <c r="VP589" s="219"/>
      <c r="VQ589" s="219"/>
      <c r="VR589" s="219"/>
      <c r="VS589" s="219"/>
      <c r="VT589" s="219"/>
      <c r="VU589" s="219"/>
      <c r="VV589" s="219"/>
      <c r="VW589" s="219"/>
      <c r="VX589" s="219"/>
      <c r="VY589" s="219"/>
      <c r="VZ589" s="219"/>
      <c r="WA589" s="219"/>
      <c r="WB589" s="219"/>
      <c r="WC589" s="219"/>
      <c r="WD589" s="219"/>
      <c r="WE589" s="219"/>
      <c r="WF589" s="219"/>
      <c r="WG589" s="219"/>
      <c r="WH589" s="219"/>
      <c r="WI589" s="219"/>
      <c r="WJ589" s="219"/>
      <c r="WK589" s="219"/>
      <c r="WL589" s="219"/>
      <c r="WM589" s="219"/>
      <c r="WN589" s="219"/>
      <c r="WO589" s="219"/>
      <c r="WP589" s="219"/>
      <c r="WQ589" s="219"/>
      <c r="WR589" s="219"/>
      <c r="WS589" s="219"/>
      <c r="WT589" s="219"/>
      <c r="WU589" s="219"/>
      <c r="WV589" s="219"/>
      <c r="WW589" s="219"/>
      <c r="WX589" s="219"/>
      <c r="WY589" s="219"/>
      <c r="WZ589" s="219"/>
      <c r="XA589" s="219"/>
      <c r="XB589" s="219"/>
      <c r="XC589" s="219"/>
      <c r="XD589" s="219"/>
      <c r="XE589" s="219"/>
      <c r="XF589" s="219"/>
      <c r="XG589" s="219"/>
      <c r="XH589" s="219"/>
      <c r="XI589" s="219"/>
      <c r="XJ589" s="219"/>
      <c r="XK589" s="219"/>
      <c r="XL589" s="219"/>
      <c r="XM589" s="219"/>
      <c r="XN589" s="219"/>
      <c r="XO589" s="219"/>
      <c r="XP589" s="219"/>
      <c r="XQ589" s="219"/>
      <c r="XR589" s="219"/>
      <c r="XS589" s="219"/>
      <c r="XT589" s="219"/>
      <c r="XU589" s="219"/>
      <c r="XV589" s="219"/>
      <c r="XW589" s="219"/>
      <c r="XX589" s="219"/>
      <c r="XY589" s="219"/>
      <c r="XZ589" s="219"/>
      <c r="YA589" s="219"/>
      <c r="YB589" s="219"/>
      <c r="YC589" s="219"/>
      <c r="YD589" s="219"/>
      <c r="YE589" s="219"/>
      <c r="YF589" s="219"/>
      <c r="YG589" s="219"/>
      <c r="YH589" s="219"/>
      <c r="YI589" s="219"/>
      <c r="YJ589" s="219"/>
      <c r="YK589" s="219"/>
      <c r="YL589" s="219"/>
      <c r="YM589" s="219"/>
      <c r="YN589" s="219"/>
      <c r="YO589" s="219"/>
      <c r="YP589" s="219"/>
      <c r="YQ589" s="219"/>
      <c r="YR589" s="219"/>
      <c r="YS589" s="219"/>
      <c r="YT589" s="219"/>
      <c r="YU589" s="219"/>
      <c r="YV589" s="219"/>
      <c r="YW589" s="219"/>
      <c r="YX589" s="219"/>
      <c r="YY589" s="219"/>
      <c r="YZ589" s="219"/>
      <c r="ZA589" s="219"/>
      <c r="ZB589" s="219"/>
      <c r="ZC589" s="219"/>
      <c r="ZD589" s="219"/>
      <c r="ZE589" s="219"/>
      <c r="ZF589" s="219"/>
      <c r="ZG589" s="219"/>
      <c r="ZH589" s="219"/>
      <c r="ZI589" s="219"/>
      <c r="ZJ589" s="219"/>
      <c r="ZK589" s="219"/>
      <c r="ZL589" s="219"/>
      <c r="ZM589" s="219"/>
      <c r="ZN589" s="219"/>
      <c r="ZO589" s="219"/>
      <c r="ZP589" s="219"/>
      <c r="ZQ589" s="219"/>
      <c r="ZR589" s="219"/>
      <c r="ZS589" s="219"/>
      <c r="ZT589" s="219"/>
      <c r="ZU589" s="219"/>
      <c r="ZV589" s="219"/>
      <c r="ZW589" s="219"/>
      <c r="ZX589" s="219"/>
      <c r="ZY589" s="219"/>
      <c r="ZZ589" s="219"/>
      <c r="AAA589" s="219"/>
      <c r="AAB589" s="219"/>
      <c r="AAC589" s="219"/>
      <c r="AAD589" s="219"/>
      <c r="AAE589" s="219"/>
      <c r="AAF589" s="219"/>
      <c r="AAG589" s="219"/>
      <c r="AAH589" s="219"/>
      <c r="AAI589" s="219"/>
      <c r="AAJ589" s="219"/>
      <c r="AAK589" s="219"/>
      <c r="AAL589" s="219"/>
      <c r="AAM589" s="219"/>
      <c r="AAN589" s="219"/>
      <c r="AAO589" s="219"/>
      <c r="AAP589" s="219"/>
      <c r="AAQ589" s="219"/>
      <c r="AAR589" s="219"/>
      <c r="AAS589" s="219"/>
      <c r="AAT589" s="219"/>
      <c r="AAU589" s="219"/>
      <c r="AAV589" s="219"/>
      <c r="AAW589" s="219"/>
      <c r="AAX589" s="219"/>
      <c r="AAY589" s="219"/>
      <c r="AAZ589" s="219"/>
      <c r="ABA589" s="219"/>
      <c r="ABB589" s="219"/>
      <c r="ABC589" s="219"/>
      <c r="ABD589" s="219"/>
      <c r="ABE589" s="219"/>
      <c r="ABF589" s="219"/>
      <c r="ABG589" s="219"/>
      <c r="ABH589" s="219"/>
      <c r="ABI589" s="219"/>
      <c r="ABJ589" s="219"/>
      <c r="ABK589" s="219"/>
      <c r="ABL589" s="219"/>
      <c r="ABM589" s="219"/>
      <c r="ABN589" s="219"/>
      <c r="ABO589" s="219"/>
      <c r="ABP589" s="219"/>
      <c r="ABQ589" s="219"/>
      <c r="ABR589" s="219"/>
      <c r="ABS589" s="219"/>
      <c r="ABT589" s="219"/>
      <c r="ABU589" s="219"/>
      <c r="ABV589" s="219"/>
      <c r="ABW589" s="219"/>
      <c r="ABX589" s="219"/>
      <c r="ABY589" s="219"/>
      <c r="ABZ589" s="219"/>
      <c r="ACA589" s="219"/>
      <c r="ACB589" s="219"/>
      <c r="ACC589" s="219"/>
      <c r="ACD589" s="219"/>
      <c r="ACE589" s="219"/>
      <c r="ACF589" s="219"/>
      <c r="ACG589" s="219"/>
      <c r="ACH589" s="219"/>
      <c r="ACI589" s="219"/>
      <c r="ACJ589" s="219"/>
      <c r="ACK589" s="219"/>
      <c r="ACL589" s="219"/>
      <c r="ACM589" s="219"/>
      <c r="ACN589" s="219"/>
      <c r="ACO589" s="219"/>
      <c r="ACP589" s="219"/>
      <c r="ACQ589" s="219"/>
      <c r="ACR589" s="219"/>
      <c r="ACS589" s="219"/>
      <c r="ACT589" s="219"/>
      <c r="ACU589" s="219"/>
      <c r="ACV589" s="219"/>
      <c r="ACW589" s="219"/>
      <c r="ACX589" s="219"/>
      <c r="ACY589" s="219"/>
      <c r="ACZ589" s="219"/>
      <c r="ADA589" s="219"/>
      <c r="ADB589" s="219"/>
      <c r="ADC589" s="219"/>
      <c r="ADD589" s="219"/>
      <c r="ADE589" s="219"/>
      <c r="ADF589" s="219"/>
      <c r="ADG589" s="219"/>
      <c r="ADH589" s="219"/>
      <c r="ADI589" s="219"/>
      <c r="ADJ589" s="219"/>
      <c r="ADK589" s="219"/>
      <c r="ADL589" s="219"/>
      <c r="ADM589" s="219"/>
      <c r="ADN589" s="219"/>
      <c r="ADO589" s="219"/>
      <c r="ADP589" s="219"/>
      <c r="ADQ589" s="219"/>
      <c r="ADR589" s="219"/>
      <c r="ADS589" s="219"/>
      <c r="ADT589" s="219"/>
      <c r="ADU589" s="219"/>
      <c r="ADV589" s="219"/>
      <c r="ADW589" s="219"/>
      <c r="ADX589" s="219"/>
      <c r="ADY589" s="219"/>
      <c r="ADZ589" s="219"/>
      <c r="AEA589" s="219"/>
      <c r="AEB589" s="219"/>
      <c r="AEC589" s="219"/>
      <c r="AED589" s="219"/>
      <c r="AEE589" s="219"/>
      <c r="AEF589" s="219"/>
      <c r="AEG589" s="219"/>
      <c r="AEH589" s="219"/>
      <c r="AEI589" s="219"/>
      <c r="AEJ589" s="219"/>
      <c r="AEK589" s="219"/>
      <c r="AEL589" s="219"/>
      <c r="AEM589" s="219"/>
      <c r="AEN589" s="219"/>
      <c r="AEO589" s="219"/>
      <c r="AEP589" s="219"/>
      <c r="AEQ589" s="219"/>
      <c r="AER589" s="219"/>
      <c r="AES589" s="219"/>
      <c r="AET589" s="219"/>
      <c r="AEU589" s="219"/>
      <c r="AEV589" s="219"/>
      <c r="AEW589" s="219"/>
      <c r="AEX589" s="219"/>
      <c r="AEY589" s="219"/>
      <c r="AEZ589" s="219"/>
      <c r="AFA589" s="219"/>
      <c r="AFB589" s="219"/>
      <c r="AFC589" s="219"/>
      <c r="AFD589" s="219"/>
      <c r="AFE589" s="219"/>
      <c r="AFF589" s="219"/>
      <c r="AFG589" s="219"/>
      <c r="AFH589" s="219"/>
      <c r="AFI589" s="219"/>
      <c r="AFJ589" s="219"/>
      <c r="AFK589" s="219"/>
      <c r="AFL589" s="219"/>
      <c r="AFM589" s="219"/>
      <c r="AFN589" s="219"/>
      <c r="AFO589" s="219"/>
      <c r="AFP589" s="219"/>
      <c r="AFQ589" s="219"/>
      <c r="AFR589" s="219"/>
      <c r="AFS589" s="219"/>
      <c r="AFT589" s="219"/>
      <c r="AFU589" s="219"/>
      <c r="AFV589" s="219"/>
      <c r="AFW589" s="219"/>
      <c r="AFX589" s="219"/>
      <c r="AFY589" s="219"/>
      <c r="AFZ589" s="219"/>
      <c r="AGA589" s="219"/>
      <c r="AGB589" s="219"/>
      <c r="AGC589" s="219"/>
      <c r="AGD589" s="219"/>
      <c r="AGE589" s="219"/>
      <c r="AGF589" s="219"/>
      <c r="AGG589" s="219"/>
      <c r="AGH589" s="219"/>
      <c r="AGI589" s="219"/>
      <c r="AGJ589" s="219"/>
      <c r="AGK589" s="219"/>
      <c r="AGL589" s="219"/>
      <c r="AGM589" s="219"/>
      <c r="AGN589" s="219"/>
      <c r="AGO589" s="219"/>
      <c r="AGP589" s="219"/>
      <c r="AGQ589" s="219"/>
      <c r="AGR589" s="219"/>
      <c r="AGS589" s="219"/>
      <c r="AGT589" s="219"/>
      <c r="AGU589" s="219"/>
      <c r="AGV589" s="219"/>
      <c r="AGW589" s="219"/>
      <c r="AGX589" s="219"/>
      <c r="AGY589" s="219"/>
      <c r="AGZ589" s="219"/>
      <c r="AHA589" s="219"/>
      <c r="AHB589" s="219"/>
      <c r="AHC589" s="219"/>
      <c r="AHD589" s="219"/>
      <c r="AHE589" s="219"/>
      <c r="AHF589" s="219"/>
      <c r="AHG589" s="219"/>
      <c r="AHH589" s="219"/>
      <c r="AHI589" s="219"/>
      <c r="AHJ589" s="219"/>
      <c r="AHK589" s="219"/>
      <c r="AHL589" s="219"/>
      <c r="AHM589" s="219"/>
      <c r="AHN589" s="219"/>
      <c r="AHO589" s="219"/>
      <c r="AHP589" s="219"/>
      <c r="AHQ589" s="219"/>
      <c r="AHR589" s="219"/>
      <c r="AHS589" s="219"/>
      <c r="AHT589" s="219"/>
      <c r="AHU589" s="219"/>
      <c r="AHV589" s="219"/>
      <c r="AHW589" s="219"/>
      <c r="AHX589" s="219"/>
      <c r="AHY589" s="219"/>
      <c r="AHZ589" s="219"/>
      <c r="AIA589" s="219"/>
      <c r="AIB589" s="219"/>
      <c r="AIC589" s="219"/>
      <c r="AID589" s="219"/>
      <c r="AIE589" s="219"/>
      <c r="AIF589" s="219"/>
      <c r="AIG589" s="219"/>
      <c r="AIH589" s="219"/>
      <c r="AII589" s="219"/>
      <c r="AIJ589" s="219"/>
      <c r="AIK589" s="219"/>
      <c r="AIL589" s="219"/>
      <c r="AIM589" s="219"/>
      <c r="AIN589" s="219"/>
      <c r="AIO589" s="219"/>
      <c r="AIP589" s="219"/>
      <c r="AIQ589" s="219"/>
      <c r="AIR589" s="219"/>
      <c r="AIS589" s="219"/>
      <c r="AIT589" s="219"/>
      <c r="AIU589" s="219"/>
      <c r="AIV589" s="219"/>
      <c r="AIW589" s="219"/>
      <c r="AIX589" s="219"/>
      <c r="AIY589" s="219"/>
      <c r="AIZ589" s="219"/>
      <c r="AJA589" s="219"/>
      <c r="AJB589" s="219"/>
      <c r="AJC589" s="219"/>
      <c r="AJD589" s="219"/>
      <c r="AJE589" s="219"/>
      <c r="AJF589" s="219"/>
      <c r="AJG589" s="219"/>
      <c r="AJH589" s="219"/>
      <c r="AJI589" s="219"/>
      <c r="AJJ589" s="219"/>
      <c r="AJK589" s="219"/>
      <c r="AJL589" s="219"/>
      <c r="AJM589" s="219"/>
      <c r="AJN589" s="219"/>
      <c r="AJO589" s="219"/>
      <c r="AJP589" s="219"/>
      <c r="AJQ589" s="219"/>
      <c r="AJR589" s="219"/>
      <c r="AJS589" s="219"/>
      <c r="AJT589" s="219"/>
      <c r="AJU589" s="219"/>
      <c r="AJV589" s="219"/>
      <c r="AJW589" s="219"/>
      <c r="AJX589" s="219"/>
      <c r="AJY589" s="219"/>
      <c r="AJZ589" s="219"/>
      <c r="AKA589" s="219"/>
      <c r="AKB589" s="219"/>
      <c r="AKC589" s="219"/>
      <c r="AKD589" s="219"/>
      <c r="AKE589" s="219"/>
      <c r="AKF589" s="219"/>
      <c r="AKG589" s="219"/>
      <c r="AKH589" s="219"/>
      <c r="AKI589" s="219"/>
      <c r="AKJ589" s="219"/>
      <c r="AKK589" s="219"/>
      <c r="AKL589" s="219"/>
      <c r="AKM589" s="219"/>
      <c r="AKN589" s="219"/>
      <c r="AKO589" s="219"/>
      <c r="AKP589" s="219"/>
      <c r="AKQ589" s="219"/>
      <c r="AKR589" s="219"/>
      <c r="AKS589" s="219"/>
      <c r="AKT589" s="219"/>
      <c r="AKU589" s="219"/>
      <c r="AKV589" s="219"/>
      <c r="AKW589" s="219"/>
      <c r="AKX589" s="219"/>
      <c r="AKY589" s="219"/>
      <c r="AKZ589" s="219"/>
      <c r="ALA589" s="219"/>
      <c r="ALB589" s="219"/>
      <c r="ALC589" s="219"/>
      <c r="ALD589" s="219"/>
      <c r="ALE589" s="219"/>
      <c r="ALF589" s="219"/>
      <c r="ALG589" s="219"/>
      <c r="ALH589" s="219"/>
      <c r="ALI589" s="219"/>
      <c r="ALJ589" s="219"/>
      <c r="ALK589" s="219"/>
      <c r="ALL589" s="219"/>
      <c r="ALM589" s="219"/>
      <c r="ALN589" s="219"/>
      <c r="ALO589" s="219"/>
      <c r="ALP589" s="219"/>
      <c r="ALQ589" s="219"/>
      <c r="ALR589" s="219"/>
      <c r="ALS589" s="219"/>
      <c r="ALT589" s="219"/>
      <c r="ALU589" s="219"/>
      <c r="ALV589" s="219"/>
      <c r="ALW589" s="219"/>
      <c r="ALX589" s="219"/>
      <c r="ALY589" s="219"/>
      <c r="ALZ589" s="219"/>
      <c r="AMA589" s="219"/>
      <c r="AMB589" s="219"/>
      <c r="AMC589" s="219"/>
      <c r="AMD589" s="219"/>
      <c r="AME589" s="219"/>
      <c r="AMF589" s="219"/>
      <c r="AMG589" s="219"/>
      <c r="AMH589" s="219"/>
      <c r="AMI589" s="219"/>
      <c r="AMJ589" s="219"/>
      <c r="AMK589" s="219"/>
      <c r="AML589" s="219"/>
      <c r="AMM589" s="219"/>
      <c r="AMN589" s="219"/>
      <c r="AMO589" s="219"/>
      <c r="AMP589" s="219"/>
      <c r="AMQ589" s="219"/>
      <c r="AMR589" s="219"/>
      <c r="AMS589" s="219"/>
      <c r="AMT589" s="219"/>
      <c r="AMU589" s="219"/>
      <c r="AMV589" s="219"/>
      <c r="AMW589" s="219"/>
      <c r="AMX589" s="219"/>
      <c r="AMY589" s="219"/>
      <c r="AMZ589" s="219"/>
      <c r="ANA589" s="219"/>
      <c r="ANB589" s="219"/>
      <c r="ANC589" s="219"/>
      <c r="AND589" s="219"/>
      <c r="ANE589" s="219"/>
      <c r="ANF589" s="219"/>
      <c r="ANG589" s="219"/>
      <c r="ANH589" s="219"/>
      <c r="ANI589" s="219"/>
      <c r="ANJ589" s="219"/>
      <c r="ANK589" s="219"/>
      <c r="ANL589" s="219"/>
      <c r="ANM589" s="219"/>
      <c r="ANN589" s="219"/>
      <c r="ANO589" s="219"/>
      <c r="ANP589" s="219"/>
      <c r="ANQ589" s="219"/>
      <c r="ANR589" s="219"/>
      <c r="ANS589" s="219"/>
      <c r="ANT589" s="219"/>
      <c r="ANU589" s="219"/>
      <c r="ANV589" s="219"/>
      <c r="ANW589" s="219"/>
      <c r="ANX589" s="219"/>
      <c r="ANY589" s="219"/>
      <c r="ANZ589" s="219"/>
      <c r="AOA589" s="219"/>
      <c r="AOB589" s="219"/>
      <c r="AOC589" s="219"/>
      <c r="AOD589" s="219"/>
      <c r="AOE589" s="219"/>
      <c r="AOF589" s="219"/>
      <c r="AOG589" s="219"/>
      <c r="AOH589" s="219"/>
      <c r="AOI589" s="219"/>
      <c r="AOJ589" s="219"/>
      <c r="AOK589" s="219"/>
      <c r="AOL589" s="219"/>
      <c r="AOM589" s="219"/>
      <c r="AON589" s="219"/>
      <c r="AOO589" s="219"/>
      <c r="AOP589" s="219"/>
      <c r="AOQ589" s="219"/>
      <c r="AOR589" s="219"/>
      <c r="AOS589" s="219"/>
      <c r="AOT589" s="219"/>
      <c r="AOU589" s="219"/>
      <c r="AOV589" s="219"/>
      <c r="AOW589" s="219"/>
      <c r="AOX589" s="219"/>
      <c r="AOY589" s="219"/>
      <c r="AOZ589" s="219"/>
      <c r="APA589" s="219"/>
      <c r="APB589" s="219"/>
      <c r="APC589" s="219"/>
      <c r="APD589" s="219"/>
      <c r="APE589" s="219"/>
      <c r="APF589" s="219"/>
      <c r="APG589" s="219"/>
      <c r="APH589" s="219"/>
      <c r="API589" s="219"/>
      <c r="APJ589" s="219"/>
      <c r="APK589" s="219"/>
      <c r="APL589" s="219"/>
      <c r="APM589" s="219"/>
      <c r="APN589" s="219"/>
      <c r="APO589" s="219"/>
      <c r="APP589" s="219"/>
      <c r="APQ589" s="219"/>
      <c r="APR589" s="219"/>
      <c r="APS589" s="219"/>
      <c r="APT589" s="219"/>
      <c r="APU589" s="219"/>
      <c r="APV589" s="219"/>
      <c r="APW589" s="219"/>
      <c r="APX589" s="219"/>
      <c r="APY589" s="219"/>
      <c r="APZ589" s="219"/>
      <c r="AQA589" s="219"/>
      <c r="AQB589" s="219"/>
      <c r="AQC589" s="219"/>
      <c r="AQD589" s="219"/>
      <c r="AQE589" s="219"/>
      <c r="AQF589" s="219"/>
      <c r="AQG589" s="219"/>
      <c r="AQH589" s="219"/>
      <c r="AQI589" s="219"/>
      <c r="AQJ589" s="219"/>
      <c r="AQK589" s="219"/>
      <c r="AQL589" s="219"/>
      <c r="AQM589" s="219"/>
      <c r="AQN589" s="219"/>
      <c r="AQO589" s="219"/>
      <c r="AQP589" s="219"/>
      <c r="AQQ589" s="219"/>
      <c r="AQR589" s="219"/>
      <c r="AQS589" s="219"/>
      <c r="AQT589" s="219"/>
      <c r="AQU589" s="219"/>
      <c r="AQV589" s="219"/>
      <c r="AQW589" s="219"/>
      <c r="AQX589" s="219"/>
      <c r="AQY589" s="219"/>
      <c r="AQZ589" s="219"/>
      <c r="ARA589" s="219"/>
      <c r="ARB589" s="219"/>
      <c r="ARC589" s="219"/>
      <c r="ARD589" s="219"/>
      <c r="ARE589" s="219"/>
      <c r="ARF589" s="219"/>
      <c r="ARG589" s="219"/>
      <c r="ARH589" s="219"/>
      <c r="ARI589" s="219"/>
      <c r="ARJ589" s="219"/>
      <c r="ARK589" s="219"/>
      <c r="ARL589" s="219"/>
      <c r="ARM589" s="219"/>
      <c r="ARN589" s="219"/>
      <c r="ARO589" s="219"/>
      <c r="ARP589" s="219"/>
      <c r="ARQ589" s="219"/>
      <c r="ARR589" s="219"/>
      <c r="ARS589" s="219"/>
      <c r="ART589" s="219"/>
      <c r="ARU589" s="219"/>
      <c r="ARV589" s="219"/>
      <c r="ARW589" s="219"/>
      <c r="ARX589" s="219"/>
      <c r="ARY589" s="219"/>
      <c r="ARZ589" s="219"/>
      <c r="ASA589" s="219"/>
      <c r="ASB589" s="219"/>
      <c r="ASC589" s="219"/>
      <c r="ASD589" s="219"/>
      <c r="ASE589" s="219"/>
      <c r="ASF589" s="219"/>
      <c r="ASG589" s="219"/>
      <c r="ASH589" s="219"/>
      <c r="ASI589" s="219"/>
      <c r="ASJ589" s="219"/>
      <c r="ASK589" s="219"/>
      <c r="ASL589" s="219"/>
      <c r="ASM589" s="219"/>
      <c r="ASN589" s="219"/>
      <c r="ASO589" s="219"/>
      <c r="ASP589" s="219"/>
      <c r="ASQ589" s="219"/>
      <c r="ASR589" s="219"/>
      <c r="ASS589" s="219"/>
      <c r="AST589" s="219"/>
      <c r="ASU589" s="219"/>
      <c r="ASV589" s="219"/>
      <c r="ASW589" s="219"/>
      <c r="ASX589" s="219"/>
      <c r="ASY589" s="219"/>
      <c r="ASZ589" s="219"/>
      <c r="ATA589" s="219"/>
      <c r="ATB589" s="219"/>
      <c r="ATC589" s="219"/>
      <c r="ATD589" s="219"/>
      <c r="ATE589" s="219"/>
      <c r="ATF589" s="219"/>
      <c r="ATG589" s="219"/>
      <c r="ATH589" s="219"/>
      <c r="ATI589" s="219"/>
      <c r="ATJ589" s="219"/>
      <c r="ATK589" s="219"/>
      <c r="ATL589" s="219"/>
      <c r="ATM589" s="219"/>
      <c r="ATN589" s="219"/>
      <c r="ATO589" s="219"/>
      <c r="ATP589" s="219"/>
      <c r="ATQ589" s="219"/>
      <c r="ATR589" s="219"/>
      <c r="ATS589" s="219"/>
      <c r="ATT589" s="219"/>
      <c r="ATU589" s="219"/>
      <c r="ATV589" s="219"/>
      <c r="ATW589" s="219"/>
      <c r="ATX589" s="219"/>
      <c r="ATY589" s="219"/>
      <c r="ATZ589" s="219"/>
      <c r="AUA589" s="219"/>
      <c r="AUB589" s="219"/>
      <c r="AUC589" s="219"/>
      <c r="AUD589" s="219"/>
      <c r="AUE589" s="219"/>
      <c r="AUF589" s="219"/>
      <c r="AUG589" s="219"/>
      <c r="AUH589" s="219"/>
      <c r="AUI589" s="219"/>
      <c r="AUJ589" s="219"/>
      <c r="AUK589" s="219"/>
      <c r="AUL589" s="219"/>
      <c r="AUM589" s="219"/>
      <c r="AUN589" s="219"/>
      <c r="AUO589" s="219"/>
      <c r="AUP589" s="219"/>
      <c r="AUQ589" s="219"/>
      <c r="AUR589" s="219"/>
      <c r="AUS589" s="219"/>
      <c r="AUT589" s="219"/>
      <c r="AUU589" s="219"/>
      <c r="AUV589" s="219"/>
      <c r="AUW589" s="219"/>
      <c r="AUX589" s="219"/>
      <c r="AUY589" s="219"/>
      <c r="AUZ589" s="219"/>
      <c r="AVA589" s="219"/>
      <c r="AVB589" s="219"/>
      <c r="AVC589" s="219"/>
      <c r="AVD589" s="219"/>
      <c r="AVE589" s="219"/>
      <c r="AVF589" s="219"/>
      <c r="AVG589" s="219"/>
      <c r="AVH589" s="219"/>
      <c r="AVI589" s="219"/>
      <c r="AVJ589" s="219"/>
      <c r="AVK589" s="219"/>
      <c r="AVL589" s="219"/>
      <c r="AVM589" s="219"/>
      <c r="AVN589" s="219"/>
      <c r="AVO589" s="219"/>
      <c r="AVP589" s="219"/>
      <c r="AVQ589" s="219"/>
      <c r="AVR589" s="219"/>
      <c r="AVS589" s="219"/>
      <c r="AVT589" s="219"/>
      <c r="AVU589" s="219"/>
      <c r="AVV589" s="219"/>
      <c r="AVW589" s="219"/>
      <c r="AVX589" s="219"/>
      <c r="AVY589" s="219"/>
      <c r="AVZ589" s="219"/>
      <c r="AWA589" s="219"/>
      <c r="AWB589" s="219"/>
      <c r="AWC589" s="219"/>
      <c r="AWD589" s="219"/>
      <c r="AWE589" s="219"/>
      <c r="AWF589" s="219"/>
      <c r="AWG589" s="219"/>
      <c r="AWH589" s="219"/>
      <c r="AWI589" s="219"/>
      <c r="AWJ589" s="219"/>
      <c r="AWK589" s="219"/>
      <c r="AWL589" s="219"/>
      <c r="AWM589" s="219"/>
      <c r="AWN589" s="219"/>
      <c r="AWO589" s="219"/>
      <c r="AWP589" s="219"/>
      <c r="AWQ589" s="219"/>
      <c r="AWR589" s="219"/>
      <c r="AWS589" s="219"/>
      <c r="AWT589" s="219"/>
      <c r="AWU589" s="219"/>
      <c r="AWV589" s="219"/>
      <c r="AWW589" s="219"/>
      <c r="AWX589" s="219"/>
      <c r="AWY589" s="219"/>
      <c r="AWZ589" s="219"/>
      <c r="AXA589" s="219"/>
      <c r="AXB589" s="219"/>
      <c r="AXC589" s="219"/>
      <c r="AXD589" s="219"/>
      <c r="AXE589" s="219"/>
      <c r="AXF589" s="219"/>
      <c r="AXG589" s="219"/>
      <c r="AXH589" s="219"/>
      <c r="AXI589" s="219"/>
      <c r="AXJ589" s="219"/>
      <c r="AXK589" s="219"/>
      <c r="AXL589" s="219"/>
      <c r="AXM589" s="219"/>
      <c r="AXN589" s="219"/>
      <c r="AXO589" s="219"/>
      <c r="AXP589" s="219"/>
      <c r="AXQ589" s="219"/>
      <c r="AXR589" s="219"/>
      <c r="AXS589" s="219"/>
      <c r="AXT589" s="219"/>
      <c r="AXU589" s="219"/>
      <c r="AXV589" s="219"/>
      <c r="AXW589" s="219"/>
      <c r="AXX589" s="219"/>
      <c r="AXY589" s="219"/>
      <c r="AXZ589" s="219"/>
      <c r="AYA589" s="219"/>
      <c r="AYB589" s="219"/>
      <c r="AYC589" s="219"/>
      <c r="AYD589" s="219"/>
      <c r="AYE589" s="219"/>
      <c r="AYF589" s="219"/>
      <c r="AYG589" s="219"/>
      <c r="AYH589" s="219"/>
      <c r="AYI589" s="219"/>
      <c r="AYJ589" s="219"/>
      <c r="AYK589" s="219"/>
      <c r="AYL589" s="219"/>
      <c r="AYM589" s="219"/>
      <c r="AYN589" s="219"/>
      <c r="AYO589" s="219"/>
      <c r="AYP589" s="219"/>
      <c r="AYQ589" s="219"/>
      <c r="AYR589" s="219"/>
      <c r="AYS589" s="219"/>
      <c r="AYT589" s="219"/>
      <c r="AYU589" s="219"/>
      <c r="AYV589" s="219"/>
      <c r="AYW589" s="219"/>
      <c r="AYX589" s="219"/>
      <c r="AYY589" s="219"/>
      <c r="AYZ589" s="219"/>
      <c r="AZA589" s="219"/>
      <c r="AZB589" s="219"/>
      <c r="AZC589" s="219"/>
      <c r="AZD589" s="219"/>
      <c r="AZE589" s="219"/>
      <c r="AZF589" s="219"/>
      <c r="AZG589" s="219"/>
      <c r="AZH589" s="219"/>
      <c r="AZI589" s="219"/>
      <c r="AZJ589" s="219"/>
      <c r="AZK589" s="219"/>
      <c r="AZL589" s="219"/>
      <c r="AZM589" s="219"/>
      <c r="AZN589" s="219"/>
      <c r="AZO589" s="219"/>
      <c r="AZP589" s="219"/>
      <c r="AZQ589" s="219"/>
      <c r="AZR589" s="219"/>
      <c r="AZS589" s="219"/>
      <c r="AZT589" s="219"/>
      <c r="AZU589" s="219"/>
      <c r="AZV589" s="219"/>
      <c r="AZW589" s="219"/>
      <c r="AZX589" s="219"/>
      <c r="AZY589" s="219"/>
      <c r="AZZ589" s="219"/>
      <c r="BAA589" s="219"/>
      <c r="BAB589" s="219"/>
      <c r="BAC589" s="219"/>
      <c r="BAD589" s="219"/>
      <c r="BAE589" s="219"/>
      <c r="BAF589" s="219"/>
      <c r="BAG589" s="219"/>
      <c r="BAH589" s="219"/>
      <c r="BAI589" s="219"/>
      <c r="BAJ589" s="219"/>
      <c r="BAK589" s="219"/>
      <c r="BAL589" s="219"/>
      <c r="BAM589" s="219"/>
      <c r="BAN589" s="219"/>
      <c r="BAO589" s="219"/>
      <c r="BAP589" s="219"/>
      <c r="BAQ589" s="219"/>
      <c r="BAR589" s="219"/>
      <c r="BAS589" s="219"/>
      <c r="BAT589" s="219"/>
      <c r="BAU589" s="219"/>
      <c r="BAV589" s="219"/>
      <c r="BAW589" s="219"/>
      <c r="BAX589" s="219"/>
      <c r="BAY589" s="219"/>
      <c r="BAZ589" s="219"/>
      <c r="BBA589" s="219"/>
      <c r="BBB589" s="219"/>
      <c r="BBC589" s="219"/>
      <c r="BBD589" s="219"/>
      <c r="BBE589" s="219"/>
      <c r="BBF589" s="219"/>
      <c r="BBG589" s="219"/>
      <c r="BBH589" s="219"/>
      <c r="BBI589" s="219"/>
      <c r="BBJ589" s="219"/>
      <c r="BBK589" s="219"/>
      <c r="BBL589" s="219"/>
      <c r="BBM589" s="219"/>
      <c r="BBN589" s="219"/>
      <c r="BBO589" s="219"/>
      <c r="BBP589" s="219"/>
      <c r="BBQ589" s="219"/>
      <c r="BBR589" s="219"/>
      <c r="BBS589" s="219"/>
      <c r="BBT589" s="219"/>
      <c r="BBU589" s="219"/>
      <c r="BBV589" s="219"/>
      <c r="BBW589" s="219"/>
      <c r="BBX589" s="219"/>
      <c r="BBY589" s="219"/>
      <c r="BBZ589" s="219"/>
      <c r="BCA589" s="219"/>
      <c r="BCB589" s="219"/>
      <c r="BCC589" s="219"/>
      <c r="BCD589" s="219"/>
      <c r="BCE589" s="219"/>
      <c r="BCF589" s="219"/>
      <c r="BCG589" s="219"/>
      <c r="BCH589" s="219"/>
      <c r="BCI589" s="219"/>
      <c r="BCJ589" s="219"/>
      <c r="BCK589" s="219"/>
      <c r="BCL589" s="219"/>
      <c r="BCM589" s="219"/>
      <c r="BCN589" s="219"/>
      <c r="BCO589" s="219"/>
      <c r="BCP589" s="219"/>
      <c r="BCQ589" s="219"/>
      <c r="BCR589" s="219"/>
      <c r="BCS589" s="219"/>
      <c r="BCT589" s="219"/>
      <c r="BCU589" s="219"/>
      <c r="BCV589" s="219"/>
      <c r="BCW589" s="219"/>
      <c r="BCX589" s="219"/>
      <c r="BCY589" s="219"/>
      <c r="BCZ589" s="219"/>
      <c r="BDA589" s="219"/>
      <c r="BDB589" s="219"/>
      <c r="BDC589" s="219"/>
      <c r="BDD589" s="219"/>
      <c r="BDE589" s="219"/>
      <c r="BDF589" s="219"/>
      <c r="BDG589" s="219"/>
      <c r="BDH589" s="219"/>
      <c r="BDI589" s="219"/>
      <c r="BDJ589" s="219"/>
      <c r="BDK589" s="219"/>
      <c r="BDL589" s="219"/>
      <c r="BDM589" s="219"/>
      <c r="BDN589" s="219"/>
      <c r="BDO589" s="219"/>
      <c r="BDP589" s="219"/>
      <c r="BDQ589" s="219"/>
      <c r="BDR589" s="219"/>
      <c r="BDS589" s="219"/>
      <c r="BDT589" s="219"/>
      <c r="BDU589" s="219"/>
      <c r="BDV589" s="219"/>
      <c r="BDW589" s="219"/>
      <c r="BDX589" s="219"/>
      <c r="BDY589" s="219"/>
      <c r="BDZ589" s="219"/>
      <c r="BEA589" s="219"/>
      <c r="BEB589" s="219"/>
      <c r="BEC589" s="219"/>
      <c r="BED589" s="219"/>
      <c r="BEE589" s="219"/>
      <c r="BEF589" s="219"/>
      <c r="BEG589" s="219"/>
      <c r="BEH589" s="219"/>
      <c r="BEI589" s="219"/>
      <c r="BEJ589" s="219"/>
      <c r="BEK589" s="219"/>
      <c r="BEL589" s="219"/>
      <c r="BEM589" s="219"/>
      <c r="BEN589" s="219"/>
      <c r="BEO589" s="219"/>
      <c r="BEP589" s="219"/>
      <c r="BEQ589" s="219"/>
      <c r="BER589" s="219"/>
      <c r="BES589" s="219"/>
      <c r="BET589" s="219"/>
      <c r="BEU589" s="219"/>
      <c r="BEV589" s="219"/>
      <c r="BEW589" s="219"/>
      <c r="BEX589" s="219"/>
      <c r="BEY589" s="219"/>
      <c r="BEZ589" s="219"/>
      <c r="BFA589" s="219"/>
      <c r="BFB589" s="219"/>
      <c r="BFC589" s="219"/>
      <c r="BFD589" s="219"/>
      <c r="BFE589" s="219"/>
      <c r="BFF589" s="219"/>
      <c r="BFG589" s="219"/>
      <c r="BFH589" s="219"/>
      <c r="BFI589" s="219"/>
      <c r="BFJ589" s="219"/>
      <c r="BFK589" s="219"/>
      <c r="BFL589" s="219"/>
      <c r="BFM589" s="219"/>
      <c r="BFN589" s="219"/>
      <c r="BFO589" s="219"/>
      <c r="BFP589" s="219"/>
      <c r="BFQ589" s="219"/>
      <c r="BFR589" s="219"/>
      <c r="BFS589" s="219"/>
      <c r="BFT589" s="219"/>
      <c r="BFU589" s="219"/>
      <c r="BFV589" s="219"/>
      <c r="BFW589" s="219"/>
      <c r="BFX589" s="219"/>
      <c r="BFY589" s="219"/>
      <c r="BFZ589" s="219"/>
      <c r="BGA589" s="219"/>
      <c r="BGB589" s="219"/>
      <c r="BGC589" s="219"/>
      <c r="BGD589" s="219"/>
      <c r="BGE589" s="219"/>
      <c r="BGF589" s="219"/>
      <c r="BGG589" s="219"/>
      <c r="BGH589" s="219"/>
      <c r="BGI589" s="219"/>
      <c r="BGJ589" s="219"/>
      <c r="BGK589" s="219"/>
      <c r="BGL589" s="219"/>
      <c r="BGM589" s="219"/>
      <c r="BGN589" s="219"/>
      <c r="BGO589" s="219"/>
      <c r="BGP589" s="219"/>
      <c r="BGQ589" s="219"/>
      <c r="BGR589" s="219"/>
      <c r="BGS589" s="219"/>
      <c r="BGT589" s="219"/>
      <c r="BGU589" s="219"/>
      <c r="BGV589" s="219"/>
      <c r="BGW589" s="219"/>
      <c r="BGX589" s="219"/>
      <c r="BGY589" s="219"/>
      <c r="BGZ589" s="219"/>
      <c r="BHA589" s="219"/>
      <c r="BHB589" s="219"/>
      <c r="BHC589" s="219"/>
      <c r="BHD589" s="219"/>
      <c r="BHE589" s="219"/>
      <c r="BHF589" s="219"/>
      <c r="BHG589" s="219"/>
      <c r="BHH589" s="219"/>
      <c r="BHI589" s="219"/>
      <c r="BHJ589" s="219"/>
      <c r="BHK589" s="219"/>
      <c r="BHL589" s="219"/>
      <c r="BHM589" s="219"/>
      <c r="BHN589" s="219"/>
      <c r="BHO589" s="219"/>
      <c r="BHP589" s="219"/>
      <c r="BHQ589" s="219"/>
      <c r="BHR589" s="219"/>
      <c r="BHS589" s="219"/>
      <c r="BHT589" s="219"/>
      <c r="BHU589" s="219"/>
      <c r="BHV589" s="219"/>
      <c r="BHW589" s="219"/>
      <c r="BHX589" s="219"/>
      <c r="BHY589" s="219"/>
      <c r="BHZ589" s="219"/>
      <c r="BIA589" s="219"/>
      <c r="BIB589" s="219"/>
      <c r="BIC589" s="219"/>
      <c r="BID589" s="219"/>
      <c r="BIE589" s="219"/>
      <c r="BIF589" s="219"/>
      <c r="BIG589" s="219"/>
      <c r="BIH589" s="219"/>
      <c r="BII589" s="219"/>
      <c r="BIJ589" s="219"/>
      <c r="BIK589" s="219"/>
      <c r="BIL589" s="219"/>
      <c r="BIM589" s="219"/>
      <c r="BIN589" s="219"/>
      <c r="BIO589" s="219"/>
      <c r="BIP589" s="219"/>
      <c r="BIQ589" s="219"/>
      <c r="BIR589" s="219"/>
      <c r="BIS589" s="219"/>
      <c r="BIT589" s="219"/>
      <c r="BIU589" s="219"/>
      <c r="BIV589" s="219"/>
      <c r="BIW589" s="219"/>
      <c r="BIX589" s="219"/>
      <c r="BIY589" s="219"/>
      <c r="BIZ589" s="219"/>
      <c r="BJA589" s="219"/>
      <c r="BJB589" s="219"/>
      <c r="BJC589" s="219"/>
      <c r="BJD589" s="219"/>
      <c r="BJE589" s="219"/>
      <c r="BJF589" s="219"/>
      <c r="BJG589" s="219"/>
      <c r="BJH589" s="219"/>
      <c r="BJI589" s="219"/>
      <c r="BJJ589" s="219"/>
      <c r="BJK589" s="219"/>
      <c r="BJL589" s="219"/>
      <c r="BJM589" s="219"/>
      <c r="BJN589" s="219"/>
      <c r="BJO589" s="219"/>
      <c r="BJP589" s="219"/>
      <c r="BJQ589" s="219"/>
      <c r="BJR589" s="219"/>
      <c r="BJS589" s="219"/>
      <c r="BJT589" s="219"/>
      <c r="BJU589" s="219"/>
      <c r="BJV589" s="219"/>
      <c r="BJW589" s="219"/>
      <c r="BJX589" s="219"/>
      <c r="BJY589" s="219"/>
      <c r="BJZ589" s="219"/>
      <c r="BKA589" s="219"/>
      <c r="BKB589" s="219"/>
      <c r="BKC589" s="219"/>
      <c r="BKD589" s="219"/>
      <c r="BKE589" s="219"/>
      <c r="BKF589" s="219"/>
      <c r="BKG589" s="219"/>
      <c r="BKH589" s="219"/>
      <c r="BKI589" s="219"/>
      <c r="BKJ589" s="219"/>
      <c r="BKK589" s="219"/>
      <c r="BKL589" s="219"/>
      <c r="BKM589" s="219"/>
      <c r="BKN589" s="219"/>
      <c r="BKO589" s="219"/>
      <c r="BKP589" s="219"/>
      <c r="BKQ589" s="219"/>
      <c r="BKR589" s="219"/>
      <c r="BKS589" s="219"/>
      <c r="BKT589" s="219"/>
      <c r="BKU589" s="219"/>
      <c r="BKV589" s="219"/>
      <c r="BKW589" s="219"/>
      <c r="BKX589" s="219"/>
      <c r="BKY589" s="219"/>
      <c r="BKZ589" s="219"/>
      <c r="BLA589" s="219"/>
      <c r="BLB589" s="219"/>
      <c r="BLC589" s="219"/>
      <c r="BLD589" s="219"/>
      <c r="BLE589" s="219"/>
      <c r="BLF589" s="219"/>
      <c r="BLG589" s="219"/>
      <c r="BLH589" s="219"/>
      <c r="BLI589" s="219"/>
      <c r="BLJ589" s="219"/>
      <c r="BLK589" s="219"/>
      <c r="BLL589" s="219"/>
      <c r="BLM589" s="219"/>
      <c r="BLN589" s="219"/>
      <c r="BLO589" s="219"/>
      <c r="BLP589" s="219"/>
      <c r="BLQ589" s="219"/>
      <c r="BLR589" s="219"/>
      <c r="BLS589" s="219"/>
      <c r="BLT589" s="219"/>
      <c r="BLU589" s="219"/>
      <c r="BLV589" s="219"/>
      <c r="BLW589" s="219"/>
      <c r="BLX589" s="219"/>
      <c r="BLY589" s="219"/>
      <c r="BLZ589" s="219"/>
      <c r="BMA589" s="219"/>
      <c r="BMB589" s="219"/>
      <c r="BMC589" s="219"/>
      <c r="BMD589" s="219"/>
      <c r="BME589" s="219"/>
      <c r="BMF589" s="219"/>
      <c r="BMG589" s="219"/>
      <c r="BMH589" s="219"/>
      <c r="BMI589" s="219"/>
      <c r="BMJ589" s="219"/>
      <c r="BMK589" s="219"/>
      <c r="BML589" s="219"/>
      <c r="BMM589" s="219"/>
      <c r="BMN589" s="219"/>
      <c r="BMO589" s="219"/>
      <c r="BMP589" s="219"/>
      <c r="BMQ589" s="219"/>
      <c r="BMR589" s="219"/>
      <c r="BMS589" s="219"/>
      <c r="BMT589" s="219"/>
      <c r="BMU589" s="219"/>
      <c r="BMV589" s="219"/>
      <c r="BMW589" s="219"/>
      <c r="BMX589" s="219"/>
      <c r="BMY589" s="219"/>
      <c r="BMZ589" s="219"/>
      <c r="BNA589" s="219"/>
      <c r="BNB589" s="219"/>
      <c r="BNC589" s="219"/>
      <c r="BND589" s="219"/>
      <c r="BNE589" s="219"/>
      <c r="BNF589" s="219"/>
      <c r="BNG589" s="219"/>
      <c r="BNH589" s="219"/>
      <c r="BNI589" s="219"/>
      <c r="BNJ589" s="219"/>
      <c r="BNK589" s="219"/>
      <c r="BNL589" s="219"/>
      <c r="BNM589" s="219"/>
      <c r="BNN589" s="219"/>
      <c r="BNO589" s="219"/>
      <c r="BNP589" s="219"/>
      <c r="BNQ589" s="219"/>
      <c r="BNR589" s="219"/>
      <c r="BNS589" s="219"/>
      <c r="BNT589" s="219"/>
      <c r="BNU589" s="219"/>
      <c r="BNV589" s="219"/>
      <c r="BNW589" s="219"/>
      <c r="BNX589" s="219"/>
      <c r="BNY589" s="219"/>
      <c r="BNZ589" s="219"/>
      <c r="BOA589" s="219"/>
      <c r="BOB589" s="219"/>
      <c r="BOC589" s="219"/>
      <c r="BOD589" s="219"/>
      <c r="BOE589" s="219"/>
      <c r="BOF589" s="219"/>
      <c r="BOG589" s="219"/>
      <c r="BOH589" s="219"/>
      <c r="BOI589" s="219"/>
      <c r="BOJ589" s="219"/>
      <c r="BOK589" s="219"/>
      <c r="BOL589" s="219"/>
      <c r="BOM589" s="219"/>
      <c r="BON589" s="219"/>
      <c r="BOO589" s="219"/>
      <c r="BOP589" s="219"/>
      <c r="BOQ589" s="219"/>
      <c r="BOR589" s="219"/>
      <c r="BOS589" s="219"/>
      <c r="BOT589" s="219"/>
      <c r="BOU589" s="219"/>
      <c r="BOV589" s="219"/>
      <c r="BOW589" s="219"/>
      <c r="BOX589" s="219"/>
      <c r="BOY589" s="219"/>
      <c r="BOZ589" s="219"/>
      <c r="BPA589" s="219"/>
      <c r="BPB589" s="219"/>
      <c r="BPC589" s="219"/>
      <c r="BPD589" s="219"/>
      <c r="BPE589" s="219"/>
      <c r="BPF589" s="219"/>
      <c r="BPG589" s="219"/>
      <c r="BPH589" s="219"/>
      <c r="BPI589" s="219"/>
      <c r="BPJ589" s="219"/>
      <c r="BPK589" s="219"/>
      <c r="BPL589" s="219"/>
      <c r="BPM589" s="219"/>
      <c r="BPN589" s="219"/>
      <c r="BPO589" s="219"/>
      <c r="BPP589" s="219"/>
      <c r="BPQ589" s="219"/>
      <c r="BPR589" s="219"/>
      <c r="BPS589" s="219"/>
      <c r="BPT589" s="219"/>
      <c r="BPU589" s="219"/>
      <c r="BPV589" s="219"/>
      <c r="BPW589" s="219"/>
      <c r="BPX589" s="219"/>
      <c r="BPY589" s="219"/>
      <c r="BPZ589" s="219"/>
      <c r="BQA589" s="219"/>
      <c r="BQB589" s="219"/>
      <c r="BQC589" s="219"/>
      <c r="BQD589" s="219"/>
      <c r="BQE589" s="219"/>
      <c r="BQF589" s="219"/>
      <c r="BQG589" s="219"/>
      <c r="BQH589" s="219"/>
      <c r="BQI589" s="219"/>
      <c r="BQJ589" s="219"/>
      <c r="BQK589" s="219"/>
      <c r="BQL589" s="219"/>
      <c r="BQM589" s="219"/>
      <c r="BQN589" s="219"/>
      <c r="BQO589" s="219"/>
      <c r="BQP589" s="219"/>
      <c r="BQQ589" s="219"/>
      <c r="BQR589" s="219"/>
      <c r="BQS589" s="219"/>
      <c r="BQT589" s="219"/>
      <c r="BQU589" s="219"/>
      <c r="BQV589" s="219"/>
      <c r="BQW589" s="219"/>
      <c r="BQX589" s="219"/>
      <c r="BQY589" s="219"/>
      <c r="BQZ589" s="219"/>
      <c r="BRA589" s="219"/>
      <c r="BRB589" s="219"/>
      <c r="BRC589" s="219"/>
      <c r="BRD589" s="219"/>
      <c r="BRE589" s="219"/>
      <c r="BRF589" s="219"/>
      <c r="BRG589" s="219"/>
      <c r="BRH589" s="219"/>
      <c r="BRI589" s="219"/>
      <c r="BRJ589" s="219"/>
      <c r="BRK589" s="219"/>
      <c r="BRL589" s="219"/>
      <c r="BRM589" s="219"/>
      <c r="BRN589" s="219"/>
      <c r="BRO589" s="219"/>
      <c r="BRP589" s="219"/>
      <c r="BRQ589" s="219"/>
      <c r="BRR589" s="219"/>
      <c r="BRS589" s="219"/>
      <c r="BRT589" s="219"/>
      <c r="BRU589" s="219"/>
      <c r="BRV589" s="219"/>
      <c r="BRW589" s="219"/>
      <c r="BRX589" s="219"/>
      <c r="BRY589" s="219"/>
      <c r="BRZ589" s="219"/>
      <c r="BSA589" s="219"/>
      <c r="BSB589" s="219"/>
      <c r="BSC589" s="219"/>
      <c r="BSD589" s="219"/>
      <c r="BSE589" s="219"/>
      <c r="BSF589" s="219"/>
      <c r="BSG589" s="219"/>
      <c r="BSH589" s="219"/>
      <c r="BSI589" s="219"/>
      <c r="BSJ589" s="219"/>
      <c r="BSK589" s="219"/>
      <c r="BSL589" s="219"/>
      <c r="BSM589" s="219"/>
      <c r="BSN589" s="219"/>
      <c r="BSO589" s="219"/>
      <c r="BSP589" s="219"/>
      <c r="BSQ589" s="219"/>
      <c r="BSR589" s="219"/>
      <c r="BSS589" s="219"/>
      <c r="BST589" s="219"/>
      <c r="BSU589" s="219"/>
      <c r="BSV589" s="219"/>
      <c r="BSW589" s="219"/>
      <c r="BSX589" s="219"/>
      <c r="BSY589" s="219"/>
      <c r="BSZ589" s="219"/>
      <c r="BTA589" s="219"/>
      <c r="BTB589" s="219"/>
      <c r="BTC589" s="219"/>
      <c r="BTD589" s="219"/>
      <c r="BTE589" s="219"/>
      <c r="BTF589" s="219"/>
      <c r="BTG589" s="219"/>
      <c r="BTH589" s="219"/>
      <c r="BTI589" s="219"/>
      <c r="BTJ589" s="219"/>
      <c r="BTK589" s="219"/>
      <c r="BTL589" s="219"/>
      <c r="BTM589" s="219"/>
      <c r="BTN589" s="219"/>
      <c r="BTO589" s="219"/>
      <c r="BTP589" s="219"/>
      <c r="BTQ589" s="219"/>
      <c r="BTR589" s="219"/>
      <c r="BTS589" s="219"/>
      <c r="BTT589" s="219"/>
      <c r="BTU589" s="219"/>
      <c r="BTV589" s="219"/>
      <c r="BTW589" s="219"/>
      <c r="BTX589" s="219"/>
      <c r="BTY589" s="219"/>
      <c r="BTZ589" s="219"/>
      <c r="BUA589" s="219"/>
      <c r="BUB589" s="219"/>
      <c r="BUC589" s="219"/>
      <c r="BUD589" s="219"/>
      <c r="BUE589" s="219"/>
      <c r="BUF589" s="219"/>
      <c r="BUG589" s="219"/>
      <c r="BUH589" s="219"/>
      <c r="BUI589" s="219"/>
      <c r="BUJ589" s="219"/>
      <c r="BUK589" s="219"/>
      <c r="BUL589" s="219"/>
      <c r="BUM589" s="219"/>
      <c r="BUN589" s="219"/>
      <c r="BUO589" s="219"/>
      <c r="BUP589" s="219"/>
      <c r="BUQ589" s="219"/>
      <c r="BUR589" s="219"/>
      <c r="BUS589" s="219"/>
      <c r="BUT589" s="219"/>
      <c r="BUU589" s="219"/>
      <c r="BUV589" s="219"/>
      <c r="BUW589" s="219"/>
      <c r="BUX589" s="219"/>
      <c r="BUY589" s="219"/>
      <c r="BUZ589" s="219"/>
      <c r="BVA589" s="219"/>
      <c r="BVB589" s="219"/>
      <c r="BVC589" s="219"/>
      <c r="BVD589" s="219"/>
      <c r="BVE589" s="219"/>
      <c r="BVF589" s="219"/>
      <c r="BVG589" s="219"/>
      <c r="BVH589" s="219"/>
      <c r="BVI589" s="219"/>
      <c r="BVJ589" s="219"/>
      <c r="BVK589" s="219"/>
      <c r="BVL589" s="219"/>
      <c r="BVM589" s="219"/>
      <c r="BVN589" s="219"/>
      <c r="BVO589" s="219"/>
      <c r="BVP589" s="219"/>
      <c r="BVQ589" s="219"/>
      <c r="BVR589" s="219"/>
      <c r="BVS589" s="219"/>
      <c r="BVT589" s="219"/>
      <c r="BVU589" s="219"/>
      <c r="BVV589" s="219"/>
      <c r="BVW589" s="219"/>
      <c r="BVX589" s="219"/>
      <c r="BVY589" s="219"/>
      <c r="BVZ589" s="219"/>
      <c r="BWA589" s="219"/>
      <c r="BWB589" s="219"/>
      <c r="BWC589" s="219"/>
      <c r="BWD589" s="219"/>
      <c r="BWE589" s="219"/>
      <c r="BWF589" s="219"/>
      <c r="BWG589" s="219"/>
      <c r="BWH589" s="219"/>
      <c r="BWI589" s="219"/>
      <c r="BWJ589" s="219"/>
      <c r="BWK589" s="219"/>
      <c r="BWL589" s="219"/>
      <c r="BWM589" s="219"/>
      <c r="BWN589" s="219"/>
      <c r="BWO589" s="219"/>
      <c r="BWP589" s="219"/>
      <c r="BWQ589" s="219"/>
      <c r="BWR589" s="219"/>
      <c r="BWS589" s="219"/>
      <c r="BWT589" s="219"/>
      <c r="BWU589" s="219"/>
      <c r="BWV589" s="219"/>
      <c r="BWW589" s="219"/>
      <c r="BWX589" s="219"/>
      <c r="BWY589" s="219"/>
      <c r="BWZ589" s="219"/>
      <c r="BXA589" s="219"/>
      <c r="BXB589" s="219"/>
      <c r="BXC589" s="219"/>
      <c r="BXD589" s="219"/>
      <c r="BXE589" s="219"/>
      <c r="BXF589" s="219"/>
      <c r="BXG589" s="219"/>
      <c r="BXH589" s="219"/>
      <c r="BXI589" s="219"/>
      <c r="BXJ589" s="219"/>
      <c r="BXK589" s="219"/>
      <c r="BXL589" s="219"/>
      <c r="BXM589" s="219"/>
      <c r="BXN589" s="219"/>
      <c r="BXO589" s="219"/>
      <c r="BXP589" s="219"/>
      <c r="BXQ589" s="219"/>
      <c r="BXR589" s="219"/>
      <c r="BXS589" s="219"/>
      <c r="BXT589" s="219"/>
      <c r="BXU589" s="219"/>
      <c r="BXV589" s="219"/>
      <c r="BXW589" s="219"/>
      <c r="BXX589" s="219"/>
      <c r="BXY589" s="219"/>
      <c r="BXZ589" s="219"/>
      <c r="BYA589" s="219"/>
      <c r="BYB589" s="219"/>
      <c r="BYC589" s="219"/>
      <c r="BYD589" s="219"/>
      <c r="BYE589" s="219"/>
      <c r="BYF589" s="219"/>
      <c r="BYG589" s="219"/>
      <c r="BYH589" s="219"/>
      <c r="BYI589" s="219"/>
      <c r="BYJ589" s="219"/>
      <c r="BYK589" s="219"/>
      <c r="BYL589" s="219"/>
      <c r="BYM589" s="219"/>
      <c r="BYN589" s="219"/>
      <c r="BYO589" s="219"/>
      <c r="BYP589" s="219"/>
      <c r="BYQ589" s="219"/>
      <c r="BYR589" s="219"/>
      <c r="BYS589" s="219"/>
      <c r="BYT589" s="219"/>
      <c r="BYU589" s="219"/>
      <c r="BYV589" s="219"/>
      <c r="BYW589" s="219"/>
      <c r="BYX589" s="219"/>
      <c r="BYY589" s="219"/>
      <c r="BYZ589" s="219"/>
      <c r="BZA589" s="219"/>
      <c r="BZB589" s="219"/>
      <c r="BZC589" s="219"/>
      <c r="BZD589" s="219"/>
      <c r="BZE589" s="219"/>
      <c r="BZF589" s="219"/>
      <c r="BZG589" s="219"/>
      <c r="BZH589" s="219"/>
      <c r="BZI589" s="219"/>
      <c r="BZJ589" s="219"/>
      <c r="BZK589" s="219"/>
      <c r="BZL589" s="219"/>
      <c r="BZM589" s="219"/>
      <c r="BZN589" s="219"/>
      <c r="BZO589" s="219"/>
      <c r="BZP589" s="219"/>
      <c r="BZQ589" s="219"/>
      <c r="BZR589" s="219"/>
      <c r="BZS589" s="219"/>
      <c r="BZT589" s="219"/>
      <c r="BZU589" s="219"/>
      <c r="BZV589" s="219"/>
      <c r="BZW589" s="219"/>
      <c r="BZX589" s="219"/>
      <c r="BZY589" s="219"/>
      <c r="BZZ589" s="219"/>
      <c r="CAA589" s="219"/>
      <c r="CAB589" s="219"/>
      <c r="CAC589" s="219"/>
      <c r="CAD589" s="219"/>
      <c r="CAE589" s="219"/>
      <c r="CAF589" s="219"/>
      <c r="CAG589" s="219"/>
      <c r="CAH589" s="219"/>
      <c r="CAI589" s="219"/>
      <c r="CAJ589" s="219"/>
      <c r="CAK589" s="219"/>
      <c r="CAL589" s="219"/>
      <c r="CAM589" s="219"/>
      <c r="CAN589" s="219"/>
      <c r="CAO589" s="219"/>
      <c r="CAP589" s="219"/>
      <c r="CAQ589" s="219"/>
      <c r="CAR589" s="219"/>
      <c r="CAS589" s="219"/>
      <c r="CAT589" s="219"/>
      <c r="CAU589" s="219"/>
      <c r="CAV589" s="219"/>
      <c r="CAW589" s="219"/>
      <c r="CAX589" s="219"/>
      <c r="CAY589" s="219"/>
      <c r="CAZ589" s="219"/>
      <c r="CBA589" s="219"/>
      <c r="CBB589" s="219"/>
      <c r="CBC589" s="219"/>
      <c r="CBD589" s="219"/>
      <c r="CBE589" s="219"/>
      <c r="CBF589" s="219"/>
      <c r="CBG589" s="219"/>
      <c r="CBH589" s="219"/>
      <c r="CBI589" s="219"/>
      <c r="CBJ589" s="219"/>
      <c r="CBK589" s="219"/>
      <c r="CBL589" s="219"/>
      <c r="CBM589" s="219"/>
      <c r="CBN589" s="219"/>
      <c r="CBO589" s="219"/>
      <c r="CBP589" s="219"/>
      <c r="CBQ589" s="219"/>
      <c r="CBR589" s="219"/>
      <c r="CBS589" s="219"/>
      <c r="CBT589" s="219"/>
      <c r="CBU589" s="219"/>
      <c r="CBV589" s="219"/>
      <c r="CBW589" s="219"/>
      <c r="CBX589" s="219"/>
      <c r="CBY589" s="219"/>
      <c r="CBZ589" s="219"/>
      <c r="CCA589" s="219"/>
      <c r="CCB589" s="219"/>
      <c r="CCC589" s="219"/>
      <c r="CCD589" s="219"/>
      <c r="CCE589" s="219"/>
      <c r="CCF589" s="219"/>
      <c r="CCG589" s="219"/>
      <c r="CCH589" s="219"/>
      <c r="CCI589" s="219"/>
      <c r="CCJ589" s="219"/>
      <c r="CCK589" s="219"/>
      <c r="CCL589" s="219"/>
      <c r="CCM589" s="219"/>
      <c r="CCN589" s="219"/>
      <c r="CCO589" s="219"/>
      <c r="CCP589" s="219"/>
      <c r="CCQ589" s="219"/>
      <c r="CCR589" s="219"/>
      <c r="CCS589" s="219"/>
      <c r="CCT589" s="219"/>
      <c r="CCU589" s="219"/>
      <c r="CCV589" s="219"/>
      <c r="CCW589" s="219"/>
      <c r="CCX589" s="219"/>
      <c r="CCY589" s="219"/>
      <c r="CCZ589" s="219"/>
      <c r="CDA589" s="219"/>
      <c r="CDB589" s="219"/>
      <c r="CDC589" s="219"/>
      <c r="CDD589" s="219"/>
      <c r="CDE589" s="219"/>
      <c r="CDF589" s="219"/>
      <c r="CDG589" s="219"/>
      <c r="CDH589" s="219"/>
      <c r="CDI589" s="219"/>
      <c r="CDJ589" s="219"/>
      <c r="CDK589" s="219"/>
      <c r="CDL589" s="219"/>
      <c r="CDM589" s="219"/>
      <c r="CDN589" s="219"/>
      <c r="CDO589" s="219"/>
      <c r="CDP589" s="219"/>
      <c r="CDQ589" s="219"/>
      <c r="CDR589" s="219"/>
      <c r="CDS589" s="219"/>
      <c r="CDT589" s="219"/>
      <c r="CDU589" s="219"/>
      <c r="CDV589" s="219"/>
      <c r="CDW589" s="219"/>
      <c r="CDX589" s="219"/>
      <c r="CDY589" s="219"/>
      <c r="CDZ589" s="219"/>
      <c r="CEA589" s="219"/>
      <c r="CEB589" s="219"/>
      <c r="CEC589" s="219"/>
      <c r="CED589" s="219"/>
      <c r="CEE589" s="219"/>
      <c r="CEF589" s="219"/>
      <c r="CEG589" s="219"/>
      <c r="CEH589" s="219"/>
      <c r="CEI589" s="219"/>
      <c r="CEJ589" s="219"/>
      <c r="CEK589" s="219"/>
      <c r="CEL589" s="219"/>
      <c r="CEM589" s="219"/>
      <c r="CEN589" s="219"/>
      <c r="CEO589" s="219"/>
      <c r="CEP589" s="219"/>
      <c r="CEQ589" s="219"/>
      <c r="CER589" s="219"/>
      <c r="CES589" s="219"/>
      <c r="CET589" s="219"/>
      <c r="CEU589" s="219"/>
      <c r="CEV589" s="219"/>
      <c r="CEW589" s="219"/>
      <c r="CEX589" s="219"/>
      <c r="CEY589" s="219"/>
      <c r="CEZ589" s="219"/>
      <c r="CFA589" s="219"/>
      <c r="CFB589" s="219"/>
      <c r="CFC589" s="219"/>
      <c r="CFD589" s="219"/>
      <c r="CFE589" s="219"/>
      <c r="CFF589" s="219"/>
      <c r="CFG589" s="219"/>
      <c r="CFH589" s="219"/>
      <c r="CFI589" s="219"/>
      <c r="CFJ589" s="219"/>
      <c r="CFK589" s="219"/>
      <c r="CFL589" s="219"/>
      <c r="CFM589" s="219"/>
      <c r="CFN589" s="219"/>
      <c r="CFO589" s="219"/>
      <c r="CFP589" s="219"/>
      <c r="CFQ589" s="219"/>
      <c r="CFR589" s="219"/>
      <c r="CFS589" s="219"/>
      <c r="CFT589" s="219"/>
      <c r="CFU589" s="219"/>
      <c r="CFV589" s="219"/>
      <c r="CFW589" s="219"/>
      <c r="CFX589" s="219"/>
      <c r="CFY589" s="219"/>
      <c r="CFZ589" s="219"/>
      <c r="CGA589" s="219"/>
      <c r="CGB589" s="219"/>
      <c r="CGC589" s="219"/>
      <c r="CGD589" s="219"/>
      <c r="CGE589" s="219"/>
      <c r="CGF589" s="219"/>
      <c r="CGG589" s="219"/>
      <c r="CGH589" s="219"/>
      <c r="CGI589" s="219"/>
      <c r="CGJ589" s="219"/>
      <c r="CGK589" s="219"/>
      <c r="CGL589" s="219"/>
      <c r="CGM589" s="219"/>
      <c r="CGN589" s="219"/>
      <c r="CGO589" s="219"/>
      <c r="CGP589" s="219"/>
      <c r="CGQ589" s="219"/>
      <c r="CGR589" s="219"/>
      <c r="CGS589" s="219"/>
      <c r="CGT589" s="219"/>
      <c r="CGU589" s="219"/>
      <c r="CGV589" s="219"/>
      <c r="CGW589" s="219"/>
      <c r="CGX589" s="219"/>
      <c r="CGY589" s="219"/>
      <c r="CGZ589" s="219"/>
      <c r="CHA589" s="219"/>
      <c r="CHB589" s="219"/>
      <c r="CHC589" s="219"/>
      <c r="CHD589" s="219"/>
      <c r="CHE589" s="219"/>
      <c r="CHF589" s="219"/>
      <c r="CHG589" s="219"/>
      <c r="CHH589" s="219"/>
      <c r="CHI589" s="219"/>
      <c r="CHJ589" s="219"/>
      <c r="CHK589" s="219"/>
      <c r="CHL589" s="219"/>
      <c r="CHM589" s="219"/>
      <c r="CHN589" s="219"/>
      <c r="CHO589" s="219"/>
      <c r="CHP589" s="219"/>
      <c r="CHQ589" s="219"/>
      <c r="CHR589" s="219"/>
      <c r="CHS589" s="219"/>
      <c r="CHT589" s="219"/>
      <c r="CHU589" s="219"/>
      <c r="CHV589" s="219"/>
      <c r="CHW589" s="219"/>
      <c r="CHX589" s="219"/>
      <c r="CHY589" s="219"/>
      <c r="CHZ589" s="219"/>
      <c r="CIA589" s="219"/>
      <c r="CIB589" s="219"/>
      <c r="CIC589" s="219"/>
      <c r="CID589" s="219"/>
      <c r="CIE589" s="219"/>
      <c r="CIF589" s="219"/>
      <c r="CIG589" s="219"/>
      <c r="CIH589" s="219"/>
      <c r="CII589" s="219"/>
      <c r="CIJ589" s="219"/>
      <c r="CIK589" s="219"/>
      <c r="CIL589" s="219"/>
      <c r="CIM589" s="219"/>
      <c r="CIN589" s="219"/>
      <c r="CIO589" s="219"/>
      <c r="CIP589" s="219"/>
      <c r="CIQ589" s="219"/>
      <c r="CIR589" s="219"/>
      <c r="CIS589" s="219"/>
      <c r="CIT589" s="219"/>
      <c r="CIU589" s="219"/>
      <c r="CIV589" s="219"/>
      <c r="CIW589" s="219"/>
      <c r="CIX589" s="219"/>
      <c r="CIY589" s="219"/>
      <c r="CIZ589" s="219"/>
      <c r="CJA589" s="219"/>
      <c r="CJB589" s="219"/>
      <c r="CJC589" s="219"/>
      <c r="CJD589" s="219"/>
      <c r="CJE589" s="219"/>
      <c r="CJF589" s="219"/>
      <c r="CJG589" s="219"/>
      <c r="CJH589" s="219"/>
      <c r="CJI589" s="219"/>
      <c r="CJJ589" s="219"/>
      <c r="CJK589" s="219"/>
      <c r="CJL589" s="219"/>
      <c r="CJM589" s="219"/>
      <c r="CJN589" s="219"/>
      <c r="CJO589" s="219"/>
      <c r="CJP589" s="219"/>
      <c r="CJQ589" s="219"/>
      <c r="CJR589" s="219"/>
      <c r="CJS589" s="219"/>
      <c r="CJT589" s="219"/>
      <c r="CJU589" s="219"/>
      <c r="CJV589" s="219"/>
      <c r="CJW589" s="219"/>
      <c r="CJX589" s="219"/>
      <c r="CJY589" s="219"/>
      <c r="CJZ589" s="219"/>
      <c r="CKA589" s="219"/>
      <c r="CKB589" s="219"/>
      <c r="CKC589" s="219"/>
      <c r="CKD589" s="219"/>
      <c r="CKE589" s="219"/>
      <c r="CKF589" s="219"/>
      <c r="CKG589" s="219"/>
      <c r="CKH589" s="219"/>
      <c r="CKI589" s="219"/>
      <c r="CKJ589" s="219"/>
      <c r="CKK589" s="219"/>
      <c r="CKL589" s="219"/>
      <c r="CKM589" s="219"/>
      <c r="CKN589" s="219"/>
      <c r="CKO589" s="219"/>
      <c r="CKP589" s="219"/>
      <c r="CKQ589" s="219"/>
      <c r="CKR589" s="219"/>
      <c r="CKS589" s="219"/>
      <c r="CKT589" s="219"/>
      <c r="CKU589" s="219"/>
      <c r="CKV589" s="219"/>
      <c r="CKW589" s="219"/>
      <c r="CKX589" s="219"/>
      <c r="CKY589" s="219"/>
      <c r="CKZ589" s="219"/>
      <c r="CLA589" s="219"/>
      <c r="CLB589" s="219"/>
      <c r="CLC589" s="219"/>
      <c r="CLD589" s="219"/>
      <c r="CLE589" s="219"/>
      <c r="CLF589" s="219"/>
      <c r="CLG589" s="219"/>
      <c r="CLH589" s="219"/>
      <c r="CLI589" s="219"/>
      <c r="CLJ589" s="219"/>
      <c r="CLK589" s="219"/>
      <c r="CLL589" s="219"/>
      <c r="CLM589" s="219"/>
      <c r="CLN589" s="219"/>
      <c r="CLO589" s="219"/>
      <c r="CLP589" s="219"/>
      <c r="CLQ589" s="219"/>
      <c r="CLR589" s="219"/>
      <c r="CLS589" s="219"/>
      <c r="CLT589" s="219"/>
      <c r="CLU589" s="219"/>
      <c r="CLV589" s="219"/>
      <c r="CLW589" s="219"/>
      <c r="CLX589" s="219"/>
      <c r="CLY589" s="219"/>
      <c r="CLZ589" s="219"/>
      <c r="CMA589" s="219"/>
      <c r="CMB589" s="219"/>
      <c r="CMC589" s="219"/>
      <c r="CMD589" s="219"/>
      <c r="CME589" s="219"/>
      <c r="CMF589" s="219"/>
      <c r="CMG589" s="219"/>
      <c r="CMH589" s="219"/>
      <c r="CMI589" s="219"/>
      <c r="CMJ589" s="219"/>
      <c r="CMK589" s="219"/>
      <c r="CML589" s="219"/>
      <c r="CMM589" s="219"/>
      <c r="CMN589" s="219"/>
      <c r="CMO589" s="219"/>
      <c r="CMP589" s="219"/>
      <c r="CMQ589" s="219"/>
      <c r="CMR589" s="219"/>
      <c r="CMS589" s="219"/>
      <c r="CMT589" s="219"/>
      <c r="CMU589" s="219"/>
      <c r="CMV589" s="219"/>
      <c r="CMW589" s="219"/>
      <c r="CMX589" s="219"/>
      <c r="CMY589" s="219"/>
      <c r="CMZ589" s="219"/>
      <c r="CNA589" s="219"/>
      <c r="CNB589" s="219"/>
      <c r="CNC589" s="219"/>
      <c r="CND589" s="219"/>
      <c r="CNE589" s="219"/>
      <c r="CNF589" s="219"/>
      <c r="CNG589" s="219"/>
      <c r="CNH589" s="219"/>
      <c r="CNI589" s="219"/>
      <c r="CNJ589" s="219"/>
      <c r="CNK589" s="219"/>
      <c r="CNL589" s="219"/>
      <c r="CNM589" s="219"/>
      <c r="CNN589" s="219"/>
      <c r="CNO589" s="219"/>
      <c r="CNP589" s="219"/>
      <c r="CNQ589" s="219"/>
      <c r="CNR589" s="219"/>
      <c r="CNS589" s="219"/>
      <c r="CNT589" s="219"/>
      <c r="CNU589" s="219"/>
      <c r="CNV589" s="219"/>
      <c r="CNW589" s="219"/>
      <c r="CNX589" s="219"/>
      <c r="CNY589" s="219"/>
      <c r="CNZ589" s="219"/>
      <c r="COA589" s="219"/>
      <c r="COB589" s="219"/>
      <c r="COC589" s="219"/>
      <c r="COD589" s="219"/>
      <c r="COE589" s="219"/>
      <c r="COF589" s="219"/>
      <c r="COG589" s="219"/>
      <c r="COH589" s="219"/>
      <c r="COI589" s="219"/>
      <c r="COJ589" s="219"/>
      <c r="COK589" s="219"/>
      <c r="COL589" s="219"/>
      <c r="COM589" s="219"/>
      <c r="CON589" s="219"/>
      <c r="COO589" s="219"/>
      <c r="COP589" s="219"/>
      <c r="COQ589" s="219"/>
      <c r="COR589" s="219"/>
      <c r="COS589" s="219"/>
      <c r="COT589" s="219"/>
      <c r="COU589" s="219"/>
      <c r="COV589" s="219"/>
      <c r="COW589" s="219"/>
      <c r="COX589" s="219"/>
      <c r="COY589" s="219"/>
      <c r="COZ589" s="219"/>
      <c r="CPA589" s="219"/>
      <c r="CPB589" s="219"/>
      <c r="CPC589" s="219"/>
      <c r="CPD589" s="219"/>
      <c r="CPE589" s="219"/>
      <c r="CPF589" s="219"/>
      <c r="CPG589" s="219"/>
      <c r="CPH589" s="219"/>
      <c r="CPI589" s="219"/>
      <c r="CPJ589" s="219"/>
      <c r="CPK589" s="219"/>
      <c r="CPL589" s="219"/>
      <c r="CPM589" s="219"/>
      <c r="CPN589" s="219"/>
      <c r="CPO589" s="219"/>
      <c r="CPP589" s="219"/>
      <c r="CPQ589" s="219"/>
      <c r="CPR589" s="219"/>
      <c r="CPS589" s="219"/>
      <c r="CPT589" s="219"/>
      <c r="CPU589" s="219"/>
      <c r="CPV589" s="219"/>
      <c r="CPW589" s="219"/>
      <c r="CPX589" s="219"/>
      <c r="CPY589" s="219"/>
      <c r="CPZ589" s="219"/>
      <c r="CQA589" s="219"/>
      <c r="CQB589" s="219"/>
      <c r="CQC589" s="219"/>
      <c r="CQD589" s="219"/>
      <c r="CQE589" s="219"/>
      <c r="CQF589" s="219"/>
      <c r="CQG589" s="219"/>
      <c r="CQH589" s="219"/>
      <c r="CQI589" s="219"/>
      <c r="CQJ589" s="219"/>
      <c r="CQK589" s="219"/>
      <c r="CQL589" s="219"/>
      <c r="CQM589" s="219"/>
      <c r="CQN589" s="219"/>
      <c r="CQO589" s="219"/>
      <c r="CQP589" s="219"/>
      <c r="CQQ589" s="219"/>
      <c r="CQR589" s="219"/>
      <c r="CQS589" s="219"/>
      <c r="CQT589" s="219"/>
      <c r="CQU589" s="219"/>
      <c r="CQV589" s="219"/>
      <c r="CQW589" s="219"/>
      <c r="CQX589" s="219"/>
      <c r="CQY589" s="219"/>
      <c r="CQZ589" s="219"/>
      <c r="CRA589" s="219"/>
      <c r="CRB589" s="219"/>
      <c r="CRC589" s="219"/>
      <c r="CRD589" s="219"/>
      <c r="CRE589" s="219"/>
      <c r="CRF589" s="219"/>
      <c r="CRG589" s="219"/>
      <c r="CRH589" s="219"/>
      <c r="CRI589" s="219"/>
      <c r="CRJ589" s="219"/>
      <c r="CRK589" s="219"/>
      <c r="CRL589" s="219"/>
      <c r="CRM589" s="219"/>
      <c r="CRN589" s="219"/>
      <c r="CRO589" s="219"/>
      <c r="CRP589" s="219"/>
      <c r="CRQ589" s="219"/>
      <c r="CRR589" s="219"/>
      <c r="CRS589" s="219"/>
      <c r="CRT589" s="219"/>
      <c r="CRU589" s="219"/>
      <c r="CRV589" s="219"/>
      <c r="CRW589" s="219"/>
      <c r="CRX589" s="219"/>
      <c r="CRY589" s="219"/>
      <c r="CRZ589" s="219"/>
      <c r="CSA589" s="219"/>
      <c r="CSB589" s="219"/>
      <c r="CSC589" s="219"/>
      <c r="CSD589" s="219"/>
      <c r="CSE589" s="219"/>
      <c r="CSF589" s="219"/>
      <c r="CSG589" s="219"/>
      <c r="CSH589" s="219"/>
      <c r="CSI589" s="219"/>
      <c r="CSJ589" s="219"/>
      <c r="CSK589" s="219"/>
      <c r="CSL589" s="219"/>
      <c r="CSM589" s="219"/>
      <c r="CSN589" s="219"/>
      <c r="CSO589" s="219"/>
      <c r="CSP589" s="219"/>
      <c r="CSQ589" s="219"/>
      <c r="CSR589" s="219"/>
      <c r="CSS589" s="219"/>
      <c r="CST589" s="219"/>
      <c r="CSU589" s="219"/>
      <c r="CSV589" s="219"/>
      <c r="CSW589" s="219"/>
      <c r="CSX589" s="219"/>
      <c r="CSY589" s="219"/>
      <c r="CSZ589" s="219"/>
      <c r="CTA589" s="219"/>
      <c r="CTB589" s="219"/>
      <c r="CTC589" s="219"/>
      <c r="CTD589" s="219"/>
      <c r="CTE589" s="219"/>
      <c r="CTF589" s="219"/>
      <c r="CTG589" s="219"/>
      <c r="CTH589" s="219"/>
      <c r="CTI589" s="219"/>
      <c r="CTJ589" s="219"/>
      <c r="CTK589" s="219"/>
      <c r="CTL589" s="219"/>
      <c r="CTM589" s="219"/>
      <c r="CTN589" s="219"/>
      <c r="CTO589" s="219"/>
      <c r="CTP589" s="219"/>
      <c r="CTQ589" s="219"/>
      <c r="CTR589" s="219"/>
      <c r="CTS589" s="219"/>
      <c r="CTT589" s="219"/>
      <c r="CTU589" s="219"/>
      <c r="CTV589" s="219"/>
      <c r="CTW589" s="219"/>
      <c r="CTX589" s="219"/>
      <c r="CTY589" s="219"/>
      <c r="CTZ589" s="219"/>
      <c r="CUA589" s="219"/>
      <c r="CUB589" s="219"/>
      <c r="CUC589" s="219"/>
      <c r="CUD589" s="219"/>
      <c r="CUE589" s="219"/>
      <c r="CUF589" s="219"/>
      <c r="CUG589" s="219"/>
      <c r="CUH589" s="219"/>
      <c r="CUI589" s="219"/>
      <c r="CUJ589" s="219"/>
      <c r="CUK589" s="219"/>
      <c r="CUL589" s="219"/>
      <c r="CUM589" s="219"/>
      <c r="CUN589" s="219"/>
      <c r="CUO589" s="219"/>
      <c r="CUP589" s="219"/>
      <c r="CUQ589" s="219"/>
      <c r="CUR589" s="219"/>
      <c r="CUS589" s="219"/>
      <c r="CUT589" s="219"/>
      <c r="CUU589" s="219"/>
      <c r="CUV589" s="219"/>
      <c r="CUW589" s="219"/>
      <c r="CUX589" s="219"/>
      <c r="CUY589" s="219"/>
      <c r="CUZ589" s="219"/>
      <c r="CVA589" s="219"/>
      <c r="CVB589" s="219"/>
      <c r="CVC589" s="219"/>
      <c r="CVD589" s="219"/>
      <c r="CVE589" s="219"/>
      <c r="CVF589" s="219"/>
      <c r="CVG589" s="219"/>
      <c r="CVH589" s="219"/>
      <c r="CVI589" s="219"/>
      <c r="CVJ589" s="219"/>
      <c r="CVK589" s="219"/>
      <c r="CVL589" s="219"/>
      <c r="CVM589" s="219"/>
      <c r="CVN589" s="219"/>
      <c r="CVO589" s="219"/>
      <c r="CVP589" s="219"/>
      <c r="CVQ589" s="219"/>
      <c r="CVR589" s="219"/>
      <c r="CVS589" s="219"/>
      <c r="CVT589" s="219"/>
      <c r="CVU589" s="219"/>
      <c r="CVV589" s="219"/>
      <c r="CVW589" s="219"/>
      <c r="CVX589" s="219"/>
      <c r="CVY589" s="219"/>
      <c r="CVZ589" s="219"/>
      <c r="CWA589" s="219"/>
      <c r="CWB589" s="219"/>
      <c r="CWC589" s="219"/>
      <c r="CWD589" s="219"/>
      <c r="CWE589" s="219"/>
      <c r="CWF589" s="219"/>
      <c r="CWG589" s="219"/>
      <c r="CWH589" s="219"/>
      <c r="CWI589" s="219"/>
      <c r="CWJ589" s="219"/>
      <c r="CWK589" s="219"/>
      <c r="CWL589" s="219"/>
      <c r="CWM589" s="219"/>
      <c r="CWN589" s="219"/>
      <c r="CWO589" s="219"/>
      <c r="CWP589" s="219"/>
      <c r="CWQ589" s="219"/>
      <c r="CWR589" s="219"/>
      <c r="CWS589" s="219"/>
      <c r="CWT589" s="219"/>
      <c r="CWU589" s="219"/>
      <c r="CWV589" s="219"/>
      <c r="CWW589" s="219"/>
      <c r="CWX589" s="219"/>
      <c r="CWY589" s="219"/>
      <c r="CWZ589" s="219"/>
      <c r="CXA589" s="219"/>
      <c r="CXB589" s="219"/>
      <c r="CXC589" s="219"/>
      <c r="CXD589" s="219"/>
      <c r="CXE589" s="219"/>
      <c r="CXF589" s="219"/>
      <c r="CXG589" s="219"/>
      <c r="CXH589" s="219"/>
      <c r="CXI589" s="219"/>
      <c r="CXJ589" s="219"/>
      <c r="CXK589" s="219"/>
      <c r="CXL589" s="219"/>
      <c r="CXM589" s="219"/>
      <c r="CXN589" s="219"/>
      <c r="CXO589" s="219"/>
      <c r="CXP589" s="219"/>
      <c r="CXQ589" s="219"/>
      <c r="CXR589" s="219"/>
      <c r="CXS589" s="219"/>
      <c r="CXT589" s="219"/>
      <c r="CXU589" s="219"/>
      <c r="CXV589" s="219"/>
      <c r="CXW589" s="219"/>
      <c r="CXX589" s="219"/>
      <c r="CXY589" s="219"/>
      <c r="CXZ589" s="219"/>
      <c r="CYA589" s="219"/>
      <c r="CYB589" s="219"/>
      <c r="CYC589" s="219"/>
      <c r="CYD589" s="219"/>
      <c r="CYE589" s="219"/>
      <c r="CYF589" s="219"/>
      <c r="CYG589" s="219"/>
      <c r="CYH589" s="219"/>
      <c r="CYI589" s="219"/>
      <c r="CYJ589" s="219"/>
      <c r="CYK589" s="219"/>
      <c r="CYL589" s="219"/>
      <c r="CYM589" s="219"/>
      <c r="CYN589" s="219"/>
      <c r="CYO589" s="219"/>
      <c r="CYP589" s="219"/>
      <c r="CYQ589" s="219"/>
      <c r="CYR589" s="219"/>
      <c r="CYS589" s="219"/>
      <c r="CYT589" s="219"/>
      <c r="CYU589" s="219"/>
      <c r="CYV589" s="219"/>
      <c r="CYW589" s="219"/>
      <c r="CYX589" s="219"/>
      <c r="CYY589" s="219"/>
      <c r="CYZ589" s="219"/>
      <c r="CZA589" s="219"/>
      <c r="CZB589" s="219"/>
      <c r="CZC589" s="219"/>
      <c r="CZD589" s="219"/>
      <c r="CZE589" s="219"/>
      <c r="CZF589" s="219"/>
      <c r="CZG589" s="219"/>
      <c r="CZH589" s="219"/>
      <c r="CZI589" s="219"/>
      <c r="CZJ589" s="219"/>
      <c r="CZK589" s="219"/>
      <c r="CZL589" s="219"/>
      <c r="CZM589" s="219"/>
      <c r="CZN589" s="219"/>
      <c r="CZO589" s="219"/>
      <c r="CZP589" s="219"/>
      <c r="CZQ589" s="219"/>
      <c r="CZR589" s="219"/>
      <c r="CZS589" s="219"/>
      <c r="CZT589" s="219"/>
      <c r="CZU589" s="219"/>
      <c r="CZV589" s="219"/>
      <c r="CZW589" s="219"/>
      <c r="CZX589" s="219"/>
      <c r="CZY589" s="219"/>
      <c r="CZZ589" s="219"/>
      <c r="DAA589" s="219"/>
      <c r="DAB589" s="219"/>
      <c r="DAC589" s="219"/>
      <c r="DAD589" s="219"/>
      <c r="DAE589" s="219"/>
      <c r="DAF589" s="219"/>
      <c r="DAG589" s="219"/>
      <c r="DAH589" s="219"/>
      <c r="DAI589" s="219"/>
      <c r="DAJ589" s="219"/>
      <c r="DAK589" s="219"/>
      <c r="DAL589" s="219"/>
      <c r="DAM589" s="219"/>
      <c r="DAN589" s="219"/>
      <c r="DAO589" s="219"/>
      <c r="DAP589" s="219"/>
      <c r="DAQ589" s="219"/>
      <c r="DAR589" s="219"/>
      <c r="DAS589" s="219"/>
      <c r="DAT589" s="219"/>
      <c r="DAU589" s="219"/>
      <c r="DAV589" s="219"/>
      <c r="DAW589" s="219"/>
      <c r="DAX589" s="219"/>
      <c r="DAY589" s="219"/>
      <c r="DAZ589" s="219"/>
      <c r="DBA589" s="219"/>
      <c r="DBB589" s="219"/>
      <c r="DBC589" s="219"/>
      <c r="DBD589" s="219"/>
      <c r="DBE589" s="219"/>
      <c r="DBF589" s="219"/>
      <c r="DBG589" s="219"/>
      <c r="DBH589" s="219"/>
      <c r="DBI589" s="219"/>
      <c r="DBJ589" s="219"/>
      <c r="DBK589" s="219"/>
      <c r="DBL589" s="219"/>
      <c r="DBM589" s="219"/>
      <c r="DBN589" s="219"/>
      <c r="DBO589" s="219"/>
      <c r="DBP589" s="219"/>
      <c r="DBQ589" s="219"/>
      <c r="DBR589" s="219"/>
      <c r="DBS589" s="219"/>
      <c r="DBT589" s="219"/>
      <c r="DBU589" s="219"/>
      <c r="DBV589" s="219"/>
      <c r="DBW589" s="219"/>
      <c r="DBX589" s="219"/>
      <c r="DBY589" s="219"/>
      <c r="DBZ589" s="219"/>
      <c r="DCA589" s="219"/>
      <c r="DCB589" s="219"/>
      <c r="DCC589" s="219"/>
      <c r="DCD589" s="219"/>
      <c r="DCE589" s="219"/>
      <c r="DCF589" s="219"/>
      <c r="DCG589" s="219"/>
      <c r="DCH589" s="219"/>
      <c r="DCI589" s="219"/>
      <c r="DCJ589" s="219"/>
      <c r="DCK589" s="219"/>
      <c r="DCL589" s="219"/>
      <c r="DCM589" s="219"/>
      <c r="DCN589" s="219"/>
      <c r="DCO589" s="219"/>
      <c r="DCP589" s="219"/>
      <c r="DCQ589" s="219"/>
      <c r="DCR589" s="219"/>
      <c r="DCS589" s="219"/>
      <c r="DCT589" s="219"/>
      <c r="DCU589" s="219"/>
      <c r="DCV589" s="219"/>
      <c r="DCW589" s="219"/>
      <c r="DCX589" s="219"/>
      <c r="DCY589" s="219"/>
      <c r="DCZ589" s="219"/>
      <c r="DDA589" s="219"/>
      <c r="DDB589" s="219"/>
      <c r="DDC589" s="219"/>
      <c r="DDD589" s="219"/>
      <c r="DDE589" s="219"/>
      <c r="DDF589" s="219"/>
      <c r="DDG589" s="219"/>
      <c r="DDH589" s="219"/>
      <c r="DDI589" s="219"/>
      <c r="DDJ589" s="219"/>
      <c r="DDK589" s="219"/>
      <c r="DDL589" s="219"/>
      <c r="DDM589" s="219"/>
      <c r="DDN589" s="219"/>
      <c r="DDO589" s="219"/>
      <c r="DDP589" s="219"/>
      <c r="DDQ589" s="219"/>
      <c r="DDR589" s="219"/>
      <c r="DDS589" s="219"/>
      <c r="DDT589" s="219"/>
      <c r="DDU589" s="219"/>
      <c r="DDV589" s="219"/>
      <c r="DDW589" s="219"/>
      <c r="DDX589" s="219"/>
      <c r="DDY589" s="219"/>
      <c r="DDZ589" s="219"/>
      <c r="DEA589" s="219"/>
      <c r="DEB589" s="219"/>
      <c r="DEC589" s="219"/>
      <c r="DED589" s="219"/>
      <c r="DEE589" s="219"/>
      <c r="DEF589" s="219"/>
      <c r="DEG589" s="219"/>
      <c r="DEH589" s="219"/>
      <c r="DEI589" s="219"/>
      <c r="DEJ589" s="219"/>
      <c r="DEK589" s="219"/>
      <c r="DEL589" s="219"/>
      <c r="DEM589" s="219"/>
      <c r="DEN589" s="219"/>
      <c r="DEO589" s="219"/>
      <c r="DEP589" s="219"/>
      <c r="DEQ589" s="219"/>
      <c r="DER589" s="219"/>
      <c r="DES589" s="219"/>
      <c r="DET589" s="219"/>
      <c r="DEU589" s="219"/>
      <c r="DEV589" s="219"/>
      <c r="DEW589" s="219"/>
      <c r="DEX589" s="219"/>
      <c r="DEY589" s="219"/>
      <c r="DEZ589" s="219"/>
      <c r="DFA589" s="219"/>
      <c r="DFB589" s="219"/>
      <c r="DFC589" s="219"/>
      <c r="DFD589" s="219"/>
      <c r="DFE589" s="219"/>
      <c r="DFF589" s="219"/>
      <c r="DFG589" s="219"/>
      <c r="DFH589" s="219"/>
      <c r="DFI589" s="219"/>
      <c r="DFJ589" s="219"/>
      <c r="DFK589" s="219"/>
      <c r="DFL589" s="219"/>
      <c r="DFM589" s="219"/>
      <c r="DFN589" s="219"/>
      <c r="DFO589" s="219"/>
      <c r="DFP589" s="219"/>
      <c r="DFQ589" s="219"/>
      <c r="DFR589" s="219"/>
      <c r="DFS589" s="219"/>
      <c r="DFT589" s="219"/>
      <c r="DFU589" s="219"/>
      <c r="DFV589" s="219"/>
      <c r="DFW589" s="219"/>
      <c r="DFX589" s="219"/>
      <c r="DFY589" s="219"/>
      <c r="DFZ589" s="219"/>
      <c r="DGA589" s="219"/>
      <c r="DGB589" s="219"/>
      <c r="DGC589" s="219"/>
      <c r="DGD589" s="219"/>
      <c r="DGE589" s="219"/>
      <c r="DGF589" s="219"/>
      <c r="DGG589" s="219"/>
      <c r="DGH589" s="219"/>
      <c r="DGI589" s="219"/>
      <c r="DGJ589" s="219"/>
      <c r="DGK589" s="219"/>
      <c r="DGL589" s="219"/>
      <c r="DGM589" s="219"/>
      <c r="DGN589" s="219"/>
      <c r="DGO589" s="219"/>
      <c r="DGP589" s="219"/>
      <c r="DGQ589" s="219"/>
      <c r="DGR589" s="219"/>
      <c r="DGS589" s="219"/>
      <c r="DGT589" s="219"/>
      <c r="DGU589" s="219"/>
      <c r="DGV589" s="219"/>
      <c r="DGW589" s="219"/>
      <c r="DGX589" s="219"/>
      <c r="DGY589" s="219"/>
      <c r="DGZ589" s="219"/>
      <c r="DHA589" s="219"/>
      <c r="DHB589" s="219"/>
      <c r="DHC589" s="219"/>
      <c r="DHD589" s="219"/>
      <c r="DHE589" s="219"/>
      <c r="DHF589" s="219"/>
      <c r="DHG589" s="219"/>
      <c r="DHH589" s="219"/>
      <c r="DHI589" s="219"/>
      <c r="DHJ589" s="219"/>
      <c r="DHK589" s="219"/>
      <c r="DHL589" s="219"/>
      <c r="DHM589" s="219"/>
      <c r="DHN589" s="219"/>
      <c r="DHO589" s="219"/>
      <c r="DHP589" s="219"/>
      <c r="DHQ589" s="219"/>
      <c r="DHR589" s="219"/>
      <c r="DHS589" s="219"/>
      <c r="DHT589" s="219"/>
      <c r="DHU589" s="219"/>
      <c r="DHV589" s="219"/>
      <c r="DHW589" s="219"/>
      <c r="DHX589" s="219"/>
      <c r="DHY589" s="219"/>
      <c r="DHZ589" s="219"/>
      <c r="DIA589" s="219"/>
      <c r="DIB589" s="219"/>
      <c r="DIC589" s="219"/>
      <c r="DID589" s="219"/>
      <c r="DIE589" s="219"/>
      <c r="DIF589" s="219"/>
      <c r="DIG589" s="219"/>
      <c r="DIH589" s="219"/>
      <c r="DII589" s="219"/>
      <c r="DIJ589" s="219"/>
      <c r="DIK589" s="219"/>
      <c r="DIL589" s="219"/>
      <c r="DIM589" s="219"/>
      <c r="DIN589" s="219"/>
      <c r="DIO589" s="219"/>
      <c r="DIP589" s="219"/>
      <c r="DIQ589" s="219"/>
      <c r="DIR589" s="219"/>
      <c r="DIS589" s="219"/>
      <c r="DIT589" s="219"/>
      <c r="DIU589" s="219"/>
      <c r="DIV589" s="219"/>
      <c r="DIW589" s="219"/>
      <c r="DIX589" s="219"/>
      <c r="DIY589" s="219"/>
      <c r="DIZ589" s="219"/>
      <c r="DJA589" s="219"/>
      <c r="DJB589" s="219"/>
      <c r="DJC589" s="219"/>
      <c r="DJD589" s="219"/>
      <c r="DJE589" s="219"/>
      <c r="DJF589" s="219"/>
      <c r="DJG589" s="219"/>
      <c r="DJH589" s="219"/>
      <c r="DJI589" s="219"/>
      <c r="DJJ589" s="219"/>
      <c r="DJK589" s="219"/>
      <c r="DJL589" s="219"/>
      <c r="DJM589" s="219"/>
      <c r="DJN589" s="219"/>
      <c r="DJO589" s="219"/>
      <c r="DJP589" s="219"/>
      <c r="DJQ589" s="219"/>
      <c r="DJR589" s="219"/>
      <c r="DJS589" s="219"/>
      <c r="DJT589" s="219"/>
      <c r="DJU589" s="219"/>
      <c r="DJV589" s="219"/>
      <c r="DJW589" s="219"/>
      <c r="DJX589" s="219"/>
      <c r="DJY589" s="219"/>
      <c r="DJZ589" s="219"/>
      <c r="DKA589" s="219"/>
      <c r="DKB589" s="219"/>
      <c r="DKC589" s="219"/>
      <c r="DKD589" s="219"/>
      <c r="DKE589" s="219"/>
      <c r="DKF589" s="219"/>
      <c r="DKG589" s="219"/>
      <c r="DKH589" s="219"/>
      <c r="DKI589" s="219"/>
      <c r="DKJ589" s="219"/>
      <c r="DKK589" s="219"/>
      <c r="DKL589" s="219"/>
      <c r="DKM589" s="219"/>
      <c r="DKN589" s="219"/>
      <c r="DKO589" s="219"/>
      <c r="DKP589" s="219"/>
      <c r="DKQ589" s="219"/>
      <c r="DKR589" s="219"/>
      <c r="DKS589" s="219"/>
      <c r="DKT589" s="219"/>
      <c r="DKU589" s="219"/>
      <c r="DKV589" s="219"/>
      <c r="DKW589" s="219"/>
      <c r="DKX589" s="219"/>
      <c r="DKY589" s="219"/>
      <c r="DKZ589" s="219"/>
      <c r="DLA589" s="219"/>
      <c r="DLB589" s="219"/>
      <c r="DLC589" s="219"/>
      <c r="DLD589" s="219"/>
      <c r="DLE589" s="219"/>
      <c r="DLF589" s="219"/>
      <c r="DLG589" s="219"/>
      <c r="DLH589" s="219"/>
      <c r="DLI589" s="219"/>
      <c r="DLJ589" s="219"/>
      <c r="DLK589" s="219"/>
      <c r="DLL589" s="219"/>
      <c r="DLM589" s="219"/>
      <c r="DLN589" s="219"/>
      <c r="DLO589" s="219"/>
      <c r="DLP589" s="219"/>
      <c r="DLQ589" s="219"/>
      <c r="DLR589" s="219"/>
      <c r="DLS589" s="219"/>
      <c r="DLT589" s="219"/>
      <c r="DLU589" s="219"/>
      <c r="DLV589" s="219"/>
      <c r="DLW589" s="219"/>
      <c r="DLX589" s="219"/>
      <c r="DLY589" s="219"/>
      <c r="DLZ589" s="219"/>
      <c r="DMA589" s="219"/>
      <c r="DMB589" s="219"/>
      <c r="DMC589" s="219"/>
      <c r="DMD589" s="219"/>
      <c r="DME589" s="219"/>
      <c r="DMF589" s="219"/>
      <c r="DMG589" s="219"/>
      <c r="DMH589" s="219"/>
      <c r="DMI589" s="219"/>
      <c r="DMJ589" s="219"/>
      <c r="DMK589" s="219"/>
      <c r="DML589" s="219"/>
      <c r="DMM589" s="219"/>
      <c r="DMN589" s="219"/>
      <c r="DMO589" s="219"/>
      <c r="DMP589" s="219"/>
      <c r="DMQ589" s="219"/>
      <c r="DMR589" s="219"/>
      <c r="DMS589" s="219"/>
      <c r="DMT589" s="219"/>
      <c r="DMU589" s="219"/>
      <c r="DMV589" s="219"/>
      <c r="DMW589" s="219"/>
      <c r="DMX589" s="219"/>
      <c r="DMY589" s="219"/>
      <c r="DMZ589" s="219"/>
      <c r="DNA589" s="219"/>
      <c r="DNB589" s="219"/>
      <c r="DNC589" s="219"/>
      <c r="DND589" s="219"/>
      <c r="DNE589" s="219"/>
      <c r="DNF589" s="219"/>
      <c r="DNG589" s="219"/>
      <c r="DNH589" s="219"/>
      <c r="DNI589" s="219"/>
      <c r="DNJ589" s="219"/>
      <c r="DNK589" s="219"/>
      <c r="DNL589" s="219"/>
      <c r="DNM589" s="219"/>
      <c r="DNN589" s="219"/>
      <c r="DNO589" s="219"/>
      <c r="DNP589" s="219"/>
      <c r="DNQ589" s="219"/>
      <c r="DNR589" s="219"/>
      <c r="DNS589" s="219"/>
      <c r="DNT589" s="219"/>
      <c r="DNU589" s="219"/>
      <c r="DNV589" s="219"/>
      <c r="DNW589" s="219"/>
      <c r="DNX589" s="219"/>
      <c r="DNY589" s="219"/>
      <c r="DNZ589" s="219"/>
      <c r="DOA589" s="219"/>
      <c r="DOB589" s="219"/>
      <c r="DOC589" s="219"/>
      <c r="DOD589" s="219"/>
      <c r="DOE589" s="219"/>
      <c r="DOF589" s="219"/>
      <c r="DOG589" s="219"/>
      <c r="DOH589" s="219"/>
      <c r="DOI589" s="219"/>
      <c r="DOJ589" s="219"/>
      <c r="DOK589" s="219"/>
      <c r="DOL589" s="219"/>
      <c r="DOM589" s="219"/>
      <c r="DON589" s="219"/>
      <c r="DOO589" s="219"/>
      <c r="DOP589" s="219"/>
      <c r="DOQ589" s="219"/>
      <c r="DOR589" s="219"/>
      <c r="DOS589" s="219"/>
      <c r="DOT589" s="219"/>
      <c r="DOU589" s="219"/>
      <c r="DOV589" s="219"/>
      <c r="DOW589" s="219"/>
      <c r="DOX589" s="219"/>
      <c r="DOY589" s="219"/>
      <c r="DOZ589" s="219"/>
      <c r="DPA589" s="219"/>
      <c r="DPB589" s="219"/>
      <c r="DPC589" s="219"/>
      <c r="DPD589" s="219"/>
      <c r="DPE589" s="219"/>
      <c r="DPF589" s="219"/>
      <c r="DPG589" s="219"/>
      <c r="DPH589" s="219"/>
      <c r="DPI589" s="219"/>
      <c r="DPJ589" s="219"/>
      <c r="DPK589" s="219"/>
      <c r="DPL589" s="219"/>
      <c r="DPM589" s="219"/>
      <c r="DPN589" s="219"/>
      <c r="DPO589" s="219"/>
      <c r="DPP589" s="219"/>
      <c r="DPQ589" s="219"/>
      <c r="DPR589" s="219"/>
      <c r="DPS589" s="219"/>
      <c r="DPT589" s="219"/>
      <c r="DPU589" s="219"/>
      <c r="DPV589" s="219"/>
      <c r="DPW589" s="219"/>
      <c r="DPX589" s="219"/>
      <c r="DPY589" s="219"/>
      <c r="DPZ589" s="219"/>
      <c r="DQA589" s="219"/>
      <c r="DQB589" s="219"/>
      <c r="DQC589" s="219"/>
      <c r="DQD589" s="219"/>
      <c r="DQE589" s="219"/>
      <c r="DQF589" s="219"/>
      <c r="DQG589" s="219"/>
      <c r="DQH589" s="219"/>
      <c r="DQI589" s="219"/>
      <c r="DQJ589" s="219"/>
      <c r="DQK589" s="219"/>
      <c r="DQL589" s="219"/>
      <c r="DQM589" s="219"/>
      <c r="DQN589" s="219"/>
      <c r="DQO589" s="219"/>
      <c r="DQP589" s="219"/>
      <c r="DQQ589" s="219"/>
      <c r="DQR589" s="219"/>
      <c r="DQS589" s="219"/>
      <c r="DQT589" s="219"/>
      <c r="DQU589" s="219"/>
      <c r="DQV589" s="219"/>
      <c r="DQW589" s="219"/>
      <c r="DQX589" s="219"/>
      <c r="DQY589" s="219"/>
      <c r="DQZ589" s="219"/>
      <c r="DRA589" s="219"/>
      <c r="DRB589" s="219"/>
      <c r="DRC589" s="219"/>
      <c r="DRD589" s="219"/>
      <c r="DRE589" s="219"/>
      <c r="DRF589" s="219"/>
      <c r="DRG589" s="219"/>
      <c r="DRH589" s="219"/>
      <c r="DRI589" s="219"/>
      <c r="DRJ589" s="219"/>
      <c r="DRK589" s="219"/>
      <c r="DRL589" s="219"/>
      <c r="DRM589" s="219"/>
      <c r="DRN589" s="219"/>
      <c r="DRO589" s="219"/>
      <c r="DRP589" s="219"/>
      <c r="DRQ589" s="219"/>
      <c r="DRR589" s="219"/>
      <c r="DRS589" s="219"/>
      <c r="DRT589" s="219"/>
      <c r="DRU589" s="219"/>
      <c r="DRV589" s="219"/>
      <c r="DRW589" s="219"/>
      <c r="DRX589" s="219"/>
      <c r="DRY589" s="219"/>
      <c r="DRZ589" s="219"/>
      <c r="DSA589" s="219"/>
      <c r="DSB589" s="219"/>
      <c r="DSC589" s="219"/>
      <c r="DSD589" s="219"/>
      <c r="DSE589" s="219"/>
      <c r="DSF589" s="219"/>
      <c r="DSG589" s="219"/>
      <c r="DSH589" s="219"/>
      <c r="DSI589" s="219"/>
      <c r="DSJ589" s="219"/>
      <c r="DSK589" s="219"/>
      <c r="DSL589" s="219"/>
      <c r="DSM589" s="219"/>
      <c r="DSN589" s="219"/>
      <c r="DSO589" s="219"/>
      <c r="DSP589" s="219"/>
      <c r="DSQ589" s="219"/>
      <c r="DSR589" s="219"/>
      <c r="DSS589" s="219"/>
      <c r="DST589" s="219"/>
      <c r="DSU589" s="219"/>
      <c r="DSV589" s="219"/>
      <c r="DSW589" s="219"/>
      <c r="DSX589" s="219"/>
      <c r="DSY589" s="219"/>
      <c r="DSZ589" s="219"/>
      <c r="DTA589" s="219"/>
      <c r="DTB589" s="219"/>
      <c r="DTC589" s="219"/>
      <c r="DTD589" s="219"/>
      <c r="DTE589" s="219"/>
      <c r="DTF589" s="219"/>
      <c r="DTG589" s="219"/>
      <c r="DTH589" s="219"/>
      <c r="DTI589" s="219"/>
      <c r="DTJ589" s="219"/>
      <c r="DTK589" s="219"/>
      <c r="DTL589" s="219"/>
      <c r="DTM589" s="219"/>
      <c r="DTN589" s="219"/>
      <c r="DTO589" s="219"/>
      <c r="DTP589" s="219"/>
      <c r="DTQ589" s="219"/>
      <c r="DTR589" s="219"/>
      <c r="DTS589" s="219"/>
      <c r="DTT589" s="219"/>
      <c r="DTU589" s="219"/>
      <c r="DTV589" s="219"/>
      <c r="DTW589" s="219"/>
      <c r="DTX589" s="219"/>
      <c r="DTY589" s="219"/>
      <c r="DTZ589" s="219"/>
      <c r="DUA589" s="219"/>
      <c r="DUB589" s="219"/>
      <c r="DUC589" s="219"/>
      <c r="DUD589" s="219"/>
      <c r="DUE589" s="219"/>
      <c r="DUF589" s="219"/>
      <c r="DUG589" s="219"/>
      <c r="DUH589" s="219"/>
      <c r="DUI589" s="219"/>
      <c r="DUJ589" s="219"/>
      <c r="DUK589" s="219"/>
      <c r="DUL589" s="219"/>
      <c r="DUM589" s="219"/>
      <c r="DUN589" s="219"/>
      <c r="DUO589" s="219"/>
      <c r="DUP589" s="219"/>
      <c r="DUQ589" s="219"/>
      <c r="DUR589" s="219"/>
      <c r="DUS589" s="219"/>
      <c r="DUT589" s="219"/>
      <c r="DUU589" s="219"/>
      <c r="DUV589" s="219"/>
      <c r="DUW589" s="219"/>
      <c r="DUX589" s="219"/>
      <c r="DUY589" s="219"/>
      <c r="DUZ589" s="219"/>
      <c r="DVA589" s="219"/>
      <c r="DVB589" s="219"/>
      <c r="DVC589" s="219"/>
      <c r="DVD589" s="219"/>
      <c r="DVE589" s="219"/>
      <c r="DVF589" s="219"/>
      <c r="DVG589" s="219"/>
      <c r="DVH589" s="219"/>
      <c r="DVI589" s="219"/>
      <c r="DVJ589" s="219"/>
      <c r="DVK589" s="219"/>
      <c r="DVL589" s="219"/>
      <c r="DVM589" s="219"/>
      <c r="DVN589" s="219"/>
      <c r="DVO589" s="219"/>
      <c r="DVP589" s="219"/>
      <c r="DVQ589" s="219"/>
      <c r="DVR589" s="219"/>
      <c r="DVS589" s="219"/>
      <c r="DVT589" s="219"/>
      <c r="DVU589" s="219"/>
      <c r="DVV589" s="219"/>
      <c r="DVW589" s="219"/>
      <c r="DVX589" s="219"/>
      <c r="DVY589" s="219"/>
      <c r="DVZ589" s="219"/>
      <c r="DWA589" s="219"/>
      <c r="DWB589" s="219"/>
      <c r="DWC589" s="219"/>
      <c r="DWD589" s="219"/>
      <c r="DWE589" s="219"/>
      <c r="DWF589" s="219"/>
      <c r="DWG589" s="219"/>
      <c r="DWH589" s="219"/>
      <c r="DWI589" s="219"/>
      <c r="DWJ589" s="219"/>
      <c r="DWK589" s="219"/>
      <c r="DWL589" s="219"/>
      <c r="DWM589" s="219"/>
      <c r="DWN589" s="219"/>
      <c r="DWO589" s="219"/>
      <c r="DWP589" s="219"/>
      <c r="DWQ589" s="219"/>
      <c r="DWR589" s="219"/>
      <c r="DWS589" s="219"/>
      <c r="DWT589" s="219"/>
      <c r="DWU589" s="219"/>
      <c r="DWV589" s="219"/>
      <c r="DWW589" s="219"/>
      <c r="DWX589" s="219"/>
      <c r="DWY589" s="219"/>
      <c r="DWZ589" s="219"/>
      <c r="DXA589" s="219"/>
      <c r="DXB589" s="219"/>
      <c r="DXC589" s="219"/>
      <c r="DXD589" s="219"/>
      <c r="DXE589" s="219"/>
      <c r="DXF589" s="219"/>
      <c r="DXG589" s="219"/>
      <c r="DXH589" s="219"/>
      <c r="DXI589" s="219"/>
      <c r="DXJ589" s="219"/>
      <c r="DXK589" s="219"/>
      <c r="DXL589" s="219"/>
      <c r="DXM589" s="219"/>
      <c r="DXN589" s="219"/>
      <c r="DXO589" s="219"/>
      <c r="DXP589" s="219"/>
      <c r="DXQ589" s="219"/>
      <c r="DXR589" s="219"/>
      <c r="DXS589" s="219"/>
      <c r="DXT589" s="219"/>
      <c r="DXU589" s="219"/>
      <c r="DXV589" s="219"/>
      <c r="DXW589" s="219"/>
      <c r="DXX589" s="219"/>
      <c r="DXY589" s="219"/>
      <c r="DXZ589" s="219"/>
      <c r="DYA589" s="219"/>
      <c r="DYB589" s="219"/>
      <c r="DYC589" s="219"/>
      <c r="DYD589" s="219"/>
      <c r="DYE589" s="219"/>
      <c r="DYF589" s="219"/>
      <c r="DYG589" s="219"/>
      <c r="DYH589" s="219"/>
      <c r="DYI589" s="219"/>
      <c r="DYJ589" s="219"/>
      <c r="DYK589" s="219"/>
      <c r="DYL589" s="219"/>
      <c r="DYM589" s="219"/>
      <c r="DYN589" s="219"/>
      <c r="DYO589" s="219"/>
      <c r="DYP589" s="219"/>
      <c r="DYQ589" s="219"/>
      <c r="DYR589" s="219"/>
      <c r="DYS589" s="219"/>
      <c r="DYT589" s="219"/>
      <c r="DYU589" s="219"/>
      <c r="DYV589" s="219"/>
      <c r="DYW589" s="219"/>
      <c r="DYX589" s="219"/>
      <c r="DYY589" s="219"/>
      <c r="DYZ589" s="219"/>
      <c r="DZA589" s="219"/>
      <c r="DZB589" s="219"/>
      <c r="DZC589" s="219"/>
      <c r="DZD589" s="219"/>
      <c r="DZE589" s="219"/>
      <c r="DZF589" s="219"/>
      <c r="DZG589" s="219"/>
      <c r="DZH589" s="219"/>
      <c r="DZI589" s="219"/>
      <c r="DZJ589" s="219"/>
      <c r="DZK589" s="219"/>
      <c r="DZL589" s="219"/>
      <c r="DZM589" s="219"/>
      <c r="DZN589" s="219"/>
      <c r="DZO589" s="219"/>
      <c r="DZP589" s="219"/>
      <c r="DZQ589" s="219"/>
      <c r="DZR589" s="219"/>
      <c r="DZS589" s="219"/>
      <c r="DZT589" s="219"/>
      <c r="DZU589" s="219"/>
      <c r="DZV589" s="219"/>
      <c r="DZW589" s="219"/>
      <c r="DZX589" s="219"/>
      <c r="DZY589" s="219"/>
      <c r="DZZ589" s="219"/>
      <c r="EAA589" s="219"/>
      <c r="EAB589" s="219"/>
      <c r="EAC589" s="219"/>
      <c r="EAD589" s="219"/>
      <c r="EAE589" s="219"/>
      <c r="EAF589" s="219"/>
      <c r="EAG589" s="219"/>
      <c r="EAH589" s="219"/>
      <c r="EAI589" s="219"/>
      <c r="EAJ589" s="219"/>
      <c r="EAK589" s="219"/>
      <c r="EAL589" s="219"/>
      <c r="EAM589" s="219"/>
      <c r="EAN589" s="219"/>
      <c r="EAO589" s="219"/>
      <c r="EAP589" s="219"/>
      <c r="EAQ589" s="219"/>
      <c r="EAR589" s="219"/>
      <c r="EAS589" s="219"/>
      <c r="EAT589" s="219"/>
      <c r="EAU589" s="219"/>
      <c r="EAV589" s="219"/>
      <c r="EAW589" s="219"/>
      <c r="EAX589" s="219"/>
      <c r="EAY589" s="219"/>
      <c r="EAZ589" s="219"/>
      <c r="EBA589" s="219"/>
      <c r="EBB589" s="219"/>
      <c r="EBC589" s="219"/>
      <c r="EBD589" s="219"/>
      <c r="EBE589" s="219"/>
      <c r="EBF589" s="219"/>
      <c r="EBG589" s="219"/>
      <c r="EBH589" s="219"/>
      <c r="EBI589" s="219"/>
      <c r="EBJ589" s="219"/>
      <c r="EBK589" s="219"/>
      <c r="EBL589" s="219"/>
      <c r="EBM589" s="219"/>
      <c r="EBN589" s="219"/>
      <c r="EBO589" s="219"/>
      <c r="EBP589" s="219"/>
      <c r="EBQ589" s="219"/>
      <c r="EBR589" s="219"/>
      <c r="EBS589" s="219"/>
      <c r="EBT589" s="219"/>
      <c r="EBU589" s="219"/>
      <c r="EBV589" s="219"/>
      <c r="EBW589" s="219"/>
      <c r="EBX589" s="219"/>
      <c r="EBY589" s="219"/>
      <c r="EBZ589" s="219"/>
      <c r="ECA589" s="219"/>
      <c r="ECB589" s="219"/>
      <c r="ECC589" s="219"/>
      <c r="ECD589" s="219"/>
      <c r="ECE589" s="219"/>
      <c r="ECF589" s="219"/>
      <c r="ECG589" s="219"/>
      <c r="ECH589" s="219"/>
      <c r="ECI589" s="219"/>
      <c r="ECJ589" s="219"/>
      <c r="ECK589" s="219"/>
      <c r="ECL589" s="219"/>
      <c r="ECM589" s="219"/>
      <c r="ECN589" s="219"/>
      <c r="ECO589" s="219"/>
      <c r="ECP589" s="219"/>
      <c r="ECQ589" s="219"/>
      <c r="ECR589" s="219"/>
      <c r="ECS589" s="219"/>
      <c r="ECT589" s="219"/>
      <c r="ECU589" s="219"/>
      <c r="ECV589" s="219"/>
      <c r="ECW589" s="219"/>
      <c r="ECX589" s="219"/>
      <c r="ECY589" s="219"/>
      <c r="ECZ589" s="219"/>
      <c r="EDA589" s="219"/>
      <c r="EDB589" s="219"/>
      <c r="EDC589" s="219"/>
      <c r="EDD589" s="219"/>
      <c r="EDE589" s="219"/>
      <c r="EDF589" s="219"/>
      <c r="EDG589" s="219"/>
      <c r="EDH589" s="219"/>
      <c r="EDI589" s="219"/>
      <c r="EDJ589" s="219"/>
      <c r="EDK589" s="219"/>
      <c r="EDL589" s="219"/>
      <c r="EDM589" s="219"/>
      <c r="EDN589" s="219"/>
      <c r="EDO589" s="219"/>
      <c r="EDP589" s="219"/>
      <c r="EDQ589" s="219"/>
      <c r="EDR589" s="219"/>
      <c r="EDS589" s="219"/>
      <c r="EDT589" s="219"/>
      <c r="EDU589" s="219"/>
      <c r="EDV589" s="219"/>
      <c r="EDW589" s="219"/>
      <c r="EDX589" s="219"/>
      <c r="EDY589" s="219"/>
      <c r="EDZ589" s="219"/>
      <c r="EEA589" s="219"/>
      <c r="EEB589" s="219"/>
      <c r="EEC589" s="219"/>
      <c r="EED589" s="219"/>
      <c r="EEE589" s="219"/>
      <c r="EEF589" s="219"/>
      <c r="EEG589" s="219"/>
      <c r="EEH589" s="219"/>
      <c r="EEI589" s="219"/>
      <c r="EEJ589" s="219"/>
      <c r="EEK589" s="219"/>
      <c r="EEL589" s="219"/>
      <c r="EEM589" s="219"/>
      <c r="EEN589" s="219"/>
      <c r="EEO589" s="219"/>
      <c r="EEP589" s="219"/>
      <c r="EEQ589" s="219"/>
      <c r="EER589" s="219"/>
      <c r="EES589" s="219"/>
      <c r="EET589" s="219"/>
      <c r="EEU589" s="219"/>
      <c r="EEV589" s="219"/>
      <c r="EEW589" s="219"/>
      <c r="EEX589" s="219"/>
      <c r="EEY589" s="219"/>
      <c r="EEZ589" s="219"/>
      <c r="EFA589" s="219"/>
      <c r="EFB589" s="219"/>
      <c r="EFC589" s="219"/>
      <c r="EFD589" s="219"/>
      <c r="EFE589" s="219"/>
      <c r="EFF589" s="219"/>
      <c r="EFG589" s="219"/>
      <c r="EFH589" s="219"/>
      <c r="EFI589" s="219"/>
      <c r="EFJ589" s="219"/>
      <c r="EFK589" s="219"/>
      <c r="EFL589" s="219"/>
      <c r="EFM589" s="219"/>
      <c r="EFN589" s="219"/>
      <c r="EFO589" s="219"/>
      <c r="EFP589" s="219"/>
      <c r="EFQ589" s="219"/>
      <c r="EFR589" s="219"/>
      <c r="EFS589" s="219"/>
      <c r="EFT589" s="219"/>
      <c r="EFU589" s="219"/>
      <c r="EFV589" s="219"/>
      <c r="EFW589" s="219"/>
      <c r="EFX589" s="219"/>
      <c r="EFY589" s="219"/>
      <c r="EFZ589" s="219"/>
      <c r="EGA589" s="219"/>
      <c r="EGB589" s="219"/>
      <c r="EGC589" s="219"/>
      <c r="EGD589" s="219"/>
      <c r="EGE589" s="219"/>
      <c r="EGF589" s="219"/>
      <c r="EGG589" s="219"/>
      <c r="EGH589" s="219"/>
      <c r="EGI589" s="219"/>
      <c r="EGJ589" s="219"/>
      <c r="EGK589" s="219"/>
      <c r="EGL589" s="219"/>
      <c r="EGM589" s="219"/>
      <c r="EGN589" s="219"/>
      <c r="EGO589" s="219"/>
      <c r="EGP589" s="219"/>
      <c r="EGQ589" s="219"/>
      <c r="EGR589" s="219"/>
      <c r="EGS589" s="219"/>
      <c r="EGT589" s="219"/>
      <c r="EGU589" s="219"/>
      <c r="EGV589" s="219"/>
      <c r="EGW589" s="219"/>
      <c r="EGX589" s="219"/>
      <c r="EGY589" s="219"/>
      <c r="EGZ589" s="219"/>
      <c r="EHA589" s="219"/>
      <c r="EHB589" s="219"/>
      <c r="EHC589" s="219"/>
      <c r="EHD589" s="219"/>
      <c r="EHE589" s="219"/>
      <c r="EHF589" s="219"/>
      <c r="EHG589" s="219"/>
      <c r="EHH589" s="219"/>
      <c r="EHI589" s="219"/>
      <c r="EHJ589" s="219"/>
      <c r="EHK589" s="219"/>
      <c r="EHL589" s="219"/>
      <c r="EHM589" s="219"/>
      <c r="EHN589" s="219"/>
      <c r="EHO589" s="219"/>
      <c r="EHP589" s="219"/>
      <c r="EHQ589" s="219"/>
      <c r="EHR589" s="219"/>
      <c r="EHS589" s="219"/>
      <c r="EHT589" s="219"/>
      <c r="EHU589" s="219"/>
      <c r="EHV589" s="219"/>
      <c r="EHW589" s="219"/>
      <c r="EHX589" s="219"/>
      <c r="EHY589" s="219"/>
      <c r="EHZ589" s="219"/>
      <c r="EIA589" s="219"/>
      <c r="EIB589" s="219"/>
      <c r="EIC589" s="219"/>
      <c r="EID589" s="219"/>
      <c r="EIE589" s="219"/>
      <c r="EIF589" s="219"/>
      <c r="EIG589" s="219"/>
      <c r="EIH589" s="219"/>
      <c r="EII589" s="219"/>
      <c r="EIJ589" s="219"/>
      <c r="EIK589" s="219"/>
      <c r="EIL589" s="219"/>
      <c r="EIM589" s="219"/>
      <c r="EIN589" s="219"/>
      <c r="EIO589" s="219"/>
      <c r="EIP589" s="219"/>
      <c r="EIQ589" s="219"/>
      <c r="EIR589" s="219"/>
      <c r="EIS589" s="219"/>
      <c r="EIT589" s="219"/>
      <c r="EIU589" s="219"/>
      <c r="EIV589" s="219"/>
      <c r="EIW589" s="219"/>
      <c r="EIX589" s="219"/>
      <c r="EIY589" s="219"/>
      <c r="EIZ589" s="219"/>
      <c r="EJA589" s="219"/>
      <c r="EJB589" s="219"/>
      <c r="EJC589" s="219"/>
      <c r="EJD589" s="219"/>
      <c r="EJE589" s="219"/>
      <c r="EJF589" s="219"/>
      <c r="EJG589" s="219"/>
      <c r="EJH589" s="219"/>
      <c r="EJI589" s="219"/>
      <c r="EJJ589" s="219"/>
      <c r="EJK589" s="219"/>
      <c r="EJL589" s="219"/>
      <c r="EJM589" s="219"/>
      <c r="EJN589" s="219"/>
      <c r="EJO589" s="219"/>
      <c r="EJP589" s="219"/>
      <c r="EJQ589" s="219"/>
      <c r="EJR589" s="219"/>
      <c r="EJS589" s="219"/>
      <c r="EJT589" s="219"/>
      <c r="EJU589" s="219"/>
      <c r="EJV589" s="219"/>
      <c r="EJW589" s="219"/>
      <c r="EJX589" s="219"/>
      <c r="EJY589" s="219"/>
      <c r="EJZ589" s="219"/>
      <c r="EKA589" s="219"/>
      <c r="EKB589" s="219"/>
      <c r="EKC589" s="219"/>
      <c r="EKD589" s="219"/>
      <c r="EKE589" s="219"/>
      <c r="EKF589" s="219"/>
      <c r="EKG589" s="219"/>
      <c r="EKH589" s="219"/>
      <c r="EKI589" s="219"/>
      <c r="EKJ589" s="219"/>
      <c r="EKK589" s="219"/>
      <c r="EKL589" s="219"/>
      <c r="EKM589" s="219"/>
      <c r="EKN589" s="219"/>
      <c r="EKO589" s="219"/>
      <c r="EKP589" s="219"/>
      <c r="EKQ589" s="219"/>
      <c r="EKR589" s="219"/>
      <c r="EKS589" s="219"/>
      <c r="EKT589" s="219"/>
      <c r="EKU589" s="219"/>
      <c r="EKV589" s="219"/>
      <c r="EKW589" s="219"/>
      <c r="EKX589" s="219"/>
      <c r="EKY589" s="219"/>
      <c r="EKZ589" s="219"/>
      <c r="ELA589" s="219"/>
      <c r="ELB589" s="219"/>
      <c r="ELC589" s="219"/>
      <c r="ELD589" s="219"/>
      <c r="ELE589" s="219"/>
      <c r="ELF589" s="219"/>
      <c r="ELG589" s="219"/>
      <c r="ELH589" s="219"/>
      <c r="ELI589" s="219"/>
      <c r="ELJ589" s="219"/>
      <c r="ELK589" s="219"/>
      <c r="ELL589" s="219"/>
      <c r="ELM589" s="219"/>
      <c r="ELN589" s="219"/>
      <c r="ELO589" s="219"/>
      <c r="ELP589" s="219"/>
      <c r="ELQ589" s="219"/>
      <c r="ELR589" s="219"/>
      <c r="ELS589" s="219"/>
      <c r="ELT589" s="219"/>
      <c r="ELU589" s="219"/>
      <c r="ELV589" s="219"/>
      <c r="ELW589" s="219"/>
      <c r="ELX589" s="219"/>
      <c r="ELY589" s="219"/>
      <c r="ELZ589" s="219"/>
      <c r="EMA589" s="219"/>
      <c r="EMB589" s="219"/>
      <c r="EMC589" s="219"/>
      <c r="EMD589" s="219"/>
      <c r="EME589" s="219"/>
      <c r="EMF589" s="219"/>
      <c r="EMG589" s="219"/>
      <c r="EMH589" s="219"/>
      <c r="EMI589" s="219"/>
      <c r="EMJ589" s="219"/>
      <c r="EMK589" s="219"/>
      <c r="EML589" s="219"/>
      <c r="EMM589" s="219"/>
      <c r="EMN589" s="219"/>
      <c r="EMO589" s="219"/>
      <c r="EMP589" s="219"/>
      <c r="EMQ589" s="219"/>
      <c r="EMR589" s="219"/>
      <c r="EMS589" s="219"/>
      <c r="EMT589" s="219"/>
      <c r="EMU589" s="219"/>
      <c r="EMV589" s="219"/>
      <c r="EMW589" s="219"/>
      <c r="EMX589" s="219"/>
      <c r="EMY589" s="219"/>
      <c r="EMZ589" s="219"/>
      <c r="ENA589" s="219"/>
      <c r="ENB589" s="219"/>
      <c r="ENC589" s="219"/>
      <c r="END589" s="219"/>
      <c r="ENE589" s="219"/>
      <c r="ENF589" s="219"/>
      <c r="ENG589" s="219"/>
      <c r="ENH589" s="219"/>
      <c r="ENI589" s="219"/>
      <c r="ENJ589" s="219"/>
      <c r="ENK589" s="219"/>
      <c r="ENL589" s="219"/>
      <c r="ENM589" s="219"/>
      <c r="ENN589" s="219"/>
      <c r="ENO589" s="219"/>
      <c r="ENP589" s="219"/>
      <c r="ENQ589" s="219"/>
      <c r="ENR589" s="219"/>
      <c r="ENS589" s="219"/>
      <c r="ENT589" s="219"/>
      <c r="ENU589" s="219"/>
      <c r="ENV589" s="219"/>
      <c r="ENW589" s="219"/>
      <c r="ENX589" s="219"/>
      <c r="ENY589" s="219"/>
      <c r="ENZ589" s="219"/>
      <c r="EOA589" s="219"/>
      <c r="EOB589" s="219"/>
      <c r="EOC589" s="219"/>
      <c r="EOD589" s="219"/>
      <c r="EOE589" s="219"/>
      <c r="EOF589" s="219"/>
      <c r="EOG589" s="219"/>
      <c r="EOH589" s="219"/>
      <c r="EOI589" s="219"/>
      <c r="EOJ589" s="219"/>
      <c r="EOK589" s="219"/>
      <c r="EOL589" s="219"/>
      <c r="EOM589" s="219"/>
      <c r="EON589" s="219"/>
      <c r="EOO589" s="219"/>
      <c r="EOP589" s="219"/>
      <c r="EOQ589" s="219"/>
      <c r="EOR589" s="219"/>
      <c r="EOS589" s="219"/>
      <c r="EOT589" s="219"/>
      <c r="EOU589" s="219"/>
      <c r="EOV589" s="219"/>
      <c r="EOW589" s="219"/>
      <c r="EOX589" s="219"/>
      <c r="EOY589" s="219"/>
      <c r="EOZ589" s="219"/>
      <c r="EPA589" s="219"/>
      <c r="EPB589" s="219"/>
      <c r="EPC589" s="219"/>
      <c r="EPD589" s="219"/>
      <c r="EPE589" s="219"/>
      <c r="EPF589" s="219"/>
      <c r="EPG589" s="219"/>
      <c r="EPH589" s="219"/>
      <c r="EPI589" s="219"/>
      <c r="EPJ589" s="219"/>
      <c r="EPK589" s="219"/>
      <c r="EPL589" s="219"/>
      <c r="EPM589" s="219"/>
      <c r="EPN589" s="219"/>
      <c r="EPO589" s="219"/>
      <c r="EPP589" s="219"/>
      <c r="EPQ589" s="219"/>
      <c r="EPR589" s="219"/>
      <c r="EPS589" s="219"/>
      <c r="EPT589" s="219"/>
      <c r="EPU589" s="219"/>
      <c r="EPV589" s="219"/>
      <c r="EPW589" s="219"/>
      <c r="EPX589" s="219"/>
      <c r="EPY589" s="219"/>
      <c r="EPZ589" s="219"/>
      <c r="EQA589" s="219"/>
      <c r="EQB589" s="219"/>
      <c r="EQC589" s="219"/>
      <c r="EQD589" s="219"/>
      <c r="EQE589" s="219"/>
      <c r="EQF589" s="219"/>
      <c r="EQG589" s="219"/>
      <c r="EQH589" s="219"/>
      <c r="EQI589" s="219"/>
      <c r="EQJ589" s="219"/>
      <c r="EQK589" s="219"/>
      <c r="EQL589" s="219"/>
      <c r="EQM589" s="219"/>
      <c r="EQN589" s="219"/>
      <c r="EQO589" s="219"/>
      <c r="EQP589" s="219"/>
      <c r="EQQ589" s="219"/>
      <c r="EQR589" s="219"/>
      <c r="EQS589" s="219"/>
      <c r="EQT589" s="219"/>
      <c r="EQU589" s="219"/>
      <c r="EQV589" s="219"/>
      <c r="EQW589" s="219"/>
      <c r="EQX589" s="219"/>
      <c r="EQY589" s="219"/>
      <c r="EQZ589" s="219"/>
      <c r="ERA589" s="219"/>
      <c r="ERB589" s="219"/>
      <c r="ERC589" s="219"/>
      <c r="ERD589" s="219"/>
      <c r="ERE589" s="219"/>
      <c r="ERF589" s="219"/>
      <c r="ERG589" s="219"/>
      <c r="ERH589" s="219"/>
      <c r="ERI589" s="219"/>
      <c r="ERJ589" s="219"/>
      <c r="ERK589" s="219"/>
      <c r="ERL589" s="219"/>
      <c r="ERM589" s="219"/>
      <c r="ERN589" s="219"/>
      <c r="ERO589" s="219"/>
      <c r="ERP589" s="219"/>
      <c r="ERQ589" s="219"/>
      <c r="ERR589" s="219"/>
      <c r="ERS589" s="219"/>
      <c r="ERT589" s="219"/>
      <c r="ERU589" s="219"/>
      <c r="ERV589" s="219"/>
      <c r="ERW589" s="219"/>
      <c r="ERX589" s="219"/>
      <c r="ERY589" s="219"/>
      <c r="ERZ589" s="219"/>
      <c r="ESA589" s="219"/>
      <c r="ESB589" s="219"/>
      <c r="ESC589" s="219"/>
      <c r="ESD589" s="219"/>
      <c r="ESE589" s="219"/>
      <c r="ESF589" s="219"/>
      <c r="ESG589" s="219"/>
      <c r="ESH589" s="219"/>
      <c r="ESI589" s="219"/>
      <c r="ESJ589" s="219"/>
      <c r="ESK589" s="219"/>
      <c r="ESL589" s="219"/>
      <c r="ESM589" s="219"/>
      <c r="ESN589" s="219"/>
      <c r="ESO589" s="219"/>
      <c r="ESP589" s="219"/>
      <c r="ESQ589" s="219"/>
      <c r="ESR589" s="219"/>
      <c r="ESS589" s="219"/>
      <c r="EST589" s="219"/>
      <c r="ESU589" s="219"/>
      <c r="ESV589" s="219"/>
      <c r="ESW589" s="219"/>
      <c r="ESX589" s="219"/>
      <c r="ESY589" s="219"/>
      <c r="ESZ589" s="219"/>
      <c r="ETA589" s="219"/>
      <c r="ETB589" s="219"/>
      <c r="ETC589" s="219"/>
      <c r="ETD589" s="219"/>
      <c r="ETE589" s="219"/>
      <c r="ETF589" s="219"/>
      <c r="ETG589" s="219"/>
      <c r="ETH589" s="219"/>
      <c r="ETI589" s="219"/>
      <c r="ETJ589" s="219"/>
      <c r="ETK589" s="219"/>
      <c r="ETL589" s="219"/>
      <c r="ETM589" s="219"/>
      <c r="ETN589" s="219"/>
      <c r="ETO589" s="219"/>
      <c r="ETP589" s="219"/>
      <c r="ETQ589" s="219"/>
      <c r="ETR589" s="219"/>
      <c r="ETS589" s="219"/>
      <c r="ETT589" s="219"/>
      <c r="ETU589" s="219"/>
      <c r="ETV589" s="219"/>
      <c r="ETW589" s="219"/>
      <c r="ETX589" s="219"/>
      <c r="ETY589" s="219"/>
      <c r="ETZ589" s="219"/>
      <c r="EUA589" s="219"/>
      <c r="EUB589" s="219"/>
      <c r="EUC589" s="219"/>
      <c r="EUD589" s="219"/>
      <c r="EUE589" s="219"/>
      <c r="EUF589" s="219"/>
      <c r="EUG589" s="219"/>
      <c r="EUH589" s="219"/>
      <c r="EUI589" s="219"/>
      <c r="EUJ589" s="219"/>
      <c r="EUK589" s="219"/>
      <c r="EUL589" s="219"/>
      <c r="EUM589" s="219"/>
      <c r="EUN589" s="219"/>
      <c r="EUO589" s="219"/>
      <c r="EUP589" s="219"/>
      <c r="EUQ589" s="219"/>
      <c r="EUR589" s="219"/>
      <c r="EUS589" s="219"/>
      <c r="EUT589" s="219"/>
      <c r="EUU589" s="219"/>
      <c r="EUV589" s="219"/>
      <c r="EUW589" s="219"/>
      <c r="EUX589" s="219"/>
      <c r="EUY589" s="219"/>
      <c r="EUZ589" s="219"/>
      <c r="EVA589" s="219"/>
      <c r="EVB589" s="219"/>
      <c r="EVC589" s="219"/>
      <c r="EVD589" s="219"/>
      <c r="EVE589" s="219"/>
      <c r="EVF589" s="219"/>
      <c r="EVG589" s="219"/>
      <c r="EVH589" s="219"/>
      <c r="EVI589" s="219"/>
      <c r="EVJ589" s="219"/>
      <c r="EVK589" s="219"/>
      <c r="EVL589" s="219"/>
      <c r="EVM589" s="219"/>
      <c r="EVN589" s="219"/>
      <c r="EVO589" s="219"/>
      <c r="EVP589" s="219"/>
      <c r="EVQ589" s="219"/>
      <c r="EVR589" s="219"/>
      <c r="EVS589" s="219"/>
      <c r="EVT589" s="219"/>
      <c r="EVU589" s="219"/>
      <c r="EVV589" s="219"/>
      <c r="EVW589" s="219"/>
      <c r="EVX589" s="219"/>
      <c r="EVY589" s="219"/>
      <c r="EVZ589" s="219"/>
      <c r="EWA589" s="219"/>
      <c r="EWB589" s="219"/>
      <c r="EWC589" s="219"/>
      <c r="EWD589" s="219"/>
      <c r="EWE589" s="219"/>
      <c r="EWF589" s="219"/>
      <c r="EWG589" s="219"/>
      <c r="EWH589" s="219"/>
      <c r="EWI589" s="219"/>
      <c r="EWJ589" s="219"/>
      <c r="EWK589" s="219"/>
      <c r="EWL589" s="219"/>
      <c r="EWM589" s="219"/>
      <c r="EWN589" s="219"/>
      <c r="EWO589" s="219"/>
      <c r="EWP589" s="219"/>
      <c r="EWQ589" s="219"/>
      <c r="EWR589" s="219"/>
      <c r="EWS589" s="219"/>
      <c r="EWT589" s="219"/>
      <c r="EWU589" s="219"/>
      <c r="EWV589" s="219"/>
      <c r="EWW589" s="219"/>
      <c r="EWX589" s="219"/>
      <c r="EWY589" s="219"/>
      <c r="EWZ589" s="219"/>
      <c r="EXA589" s="219"/>
      <c r="EXB589" s="219"/>
      <c r="EXC589" s="219"/>
      <c r="EXD589" s="219"/>
      <c r="EXE589" s="219"/>
      <c r="EXF589" s="219"/>
      <c r="EXG589" s="219"/>
      <c r="EXH589" s="219"/>
      <c r="EXI589" s="219"/>
      <c r="EXJ589" s="219"/>
      <c r="EXK589" s="219"/>
      <c r="EXL589" s="219"/>
      <c r="EXM589" s="219"/>
      <c r="EXN589" s="219"/>
      <c r="EXO589" s="219"/>
      <c r="EXP589" s="219"/>
      <c r="EXQ589" s="219"/>
      <c r="EXR589" s="219"/>
      <c r="EXS589" s="219"/>
      <c r="EXT589" s="219"/>
      <c r="EXU589" s="219"/>
      <c r="EXV589" s="219"/>
      <c r="EXW589" s="219"/>
      <c r="EXX589" s="219"/>
      <c r="EXY589" s="219"/>
      <c r="EXZ589" s="219"/>
      <c r="EYA589" s="219"/>
      <c r="EYB589" s="219"/>
      <c r="EYC589" s="219"/>
      <c r="EYD589" s="219"/>
      <c r="EYE589" s="219"/>
      <c r="EYF589" s="219"/>
      <c r="EYG589" s="219"/>
      <c r="EYH589" s="219"/>
      <c r="EYI589" s="219"/>
      <c r="EYJ589" s="219"/>
      <c r="EYK589" s="219"/>
      <c r="EYL589" s="219"/>
      <c r="EYM589" s="219"/>
      <c r="EYN589" s="219"/>
      <c r="EYO589" s="219"/>
      <c r="EYP589" s="219"/>
      <c r="EYQ589" s="219"/>
      <c r="EYR589" s="219"/>
      <c r="EYS589" s="219"/>
      <c r="EYT589" s="219"/>
      <c r="EYU589" s="219"/>
      <c r="EYV589" s="219"/>
      <c r="EYW589" s="219"/>
      <c r="EYX589" s="219"/>
      <c r="EYY589" s="219"/>
      <c r="EYZ589" s="219"/>
      <c r="EZA589" s="219"/>
      <c r="EZB589" s="219"/>
      <c r="EZC589" s="219"/>
      <c r="EZD589" s="219"/>
      <c r="EZE589" s="219"/>
      <c r="EZF589" s="219"/>
      <c r="EZG589" s="219"/>
      <c r="EZH589" s="219"/>
      <c r="EZI589" s="219"/>
      <c r="EZJ589" s="219"/>
      <c r="EZK589" s="219"/>
      <c r="EZL589" s="219"/>
      <c r="EZM589" s="219"/>
      <c r="EZN589" s="219"/>
      <c r="EZO589" s="219"/>
      <c r="EZP589" s="219"/>
      <c r="EZQ589" s="219"/>
      <c r="EZR589" s="219"/>
      <c r="EZS589" s="219"/>
      <c r="EZT589" s="219"/>
      <c r="EZU589" s="219"/>
      <c r="EZV589" s="219"/>
      <c r="EZW589" s="219"/>
      <c r="EZX589" s="219"/>
      <c r="EZY589" s="219"/>
      <c r="EZZ589" s="219"/>
      <c r="FAA589" s="219"/>
      <c r="FAB589" s="219"/>
      <c r="FAC589" s="219"/>
      <c r="FAD589" s="219"/>
      <c r="FAE589" s="219"/>
      <c r="FAF589" s="219"/>
      <c r="FAG589" s="219"/>
      <c r="FAH589" s="219"/>
      <c r="FAI589" s="219"/>
      <c r="FAJ589" s="219"/>
      <c r="FAK589" s="219"/>
      <c r="FAL589" s="219"/>
      <c r="FAM589" s="219"/>
      <c r="FAN589" s="219"/>
      <c r="FAO589" s="219"/>
      <c r="FAP589" s="219"/>
      <c r="FAQ589" s="219"/>
      <c r="FAR589" s="219"/>
      <c r="FAS589" s="219"/>
      <c r="FAT589" s="219"/>
      <c r="FAU589" s="219"/>
      <c r="FAV589" s="219"/>
      <c r="FAW589" s="219"/>
      <c r="FAX589" s="219"/>
      <c r="FAY589" s="219"/>
      <c r="FAZ589" s="219"/>
      <c r="FBA589" s="219"/>
      <c r="FBB589" s="219"/>
      <c r="FBC589" s="219"/>
      <c r="FBD589" s="219"/>
      <c r="FBE589" s="219"/>
      <c r="FBF589" s="219"/>
      <c r="FBG589" s="219"/>
      <c r="FBH589" s="219"/>
      <c r="FBI589" s="219"/>
      <c r="FBJ589" s="219"/>
      <c r="FBK589" s="219"/>
      <c r="FBL589" s="219"/>
      <c r="FBM589" s="219"/>
      <c r="FBN589" s="219"/>
      <c r="FBO589" s="219"/>
      <c r="FBP589" s="219"/>
      <c r="FBQ589" s="219"/>
      <c r="FBR589" s="219"/>
      <c r="FBS589" s="219"/>
      <c r="FBT589" s="219"/>
      <c r="FBU589" s="219"/>
      <c r="FBV589" s="219"/>
      <c r="FBW589" s="219"/>
      <c r="FBX589" s="219"/>
      <c r="FBY589" s="219"/>
      <c r="FBZ589" s="219"/>
      <c r="FCA589" s="219"/>
      <c r="FCB589" s="219"/>
      <c r="FCC589" s="219"/>
      <c r="FCD589" s="219"/>
      <c r="FCE589" s="219"/>
      <c r="FCF589" s="219"/>
      <c r="FCG589" s="219"/>
      <c r="FCH589" s="219"/>
      <c r="FCI589" s="219"/>
      <c r="FCJ589" s="219"/>
      <c r="FCK589" s="219"/>
      <c r="FCL589" s="219"/>
      <c r="FCM589" s="219"/>
      <c r="FCN589" s="219"/>
      <c r="FCO589" s="219"/>
      <c r="FCP589" s="219"/>
      <c r="FCQ589" s="219"/>
      <c r="FCR589" s="219"/>
      <c r="FCS589" s="219"/>
      <c r="FCT589" s="219"/>
      <c r="FCU589" s="219"/>
      <c r="FCV589" s="219"/>
      <c r="FCW589" s="219"/>
      <c r="FCX589" s="219"/>
      <c r="FCY589" s="219"/>
      <c r="FCZ589" s="219"/>
      <c r="FDA589" s="219"/>
      <c r="FDB589" s="219"/>
      <c r="FDC589" s="219"/>
      <c r="FDD589" s="219"/>
      <c r="FDE589" s="219"/>
      <c r="FDF589" s="219"/>
      <c r="FDG589" s="219"/>
      <c r="FDH589" s="219"/>
      <c r="FDI589" s="219"/>
      <c r="FDJ589" s="219"/>
      <c r="FDK589" s="219"/>
      <c r="FDL589" s="219"/>
      <c r="FDM589" s="219"/>
      <c r="FDN589" s="219"/>
      <c r="FDO589" s="219"/>
      <c r="FDP589" s="219"/>
      <c r="FDQ589" s="219"/>
      <c r="FDR589" s="219"/>
      <c r="FDS589" s="219"/>
      <c r="FDT589" s="219"/>
      <c r="FDU589" s="219"/>
      <c r="FDV589" s="219"/>
      <c r="FDW589" s="219"/>
      <c r="FDX589" s="219"/>
      <c r="FDY589" s="219"/>
      <c r="FDZ589" s="219"/>
      <c r="FEA589" s="219"/>
      <c r="FEB589" s="219"/>
      <c r="FEC589" s="219"/>
      <c r="FED589" s="219"/>
      <c r="FEE589" s="219"/>
      <c r="FEF589" s="219"/>
      <c r="FEG589" s="219"/>
      <c r="FEH589" s="219"/>
      <c r="FEI589" s="219"/>
      <c r="FEJ589" s="219"/>
      <c r="FEK589" s="219"/>
      <c r="FEL589" s="219"/>
      <c r="FEM589" s="219"/>
      <c r="FEN589" s="219"/>
      <c r="FEO589" s="219"/>
      <c r="FEP589" s="219"/>
      <c r="FEQ589" s="219"/>
      <c r="FER589" s="219"/>
      <c r="FES589" s="219"/>
      <c r="FET589" s="219"/>
      <c r="FEU589" s="219"/>
      <c r="FEV589" s="219"/>
      <c r="FEW589" s="219"/>
      <c r="FEX589" s="219"/>
      <c r="FEY589" s="219"/>
      <c r="FEZ589" s="219"/>
      <c r="FFA589" s="219"/>
      <c r="FFB589" s="219"/>
      <c r="FFC589" s="219"/>
      <c r="FFD589" s="219"/>
      <c r="FFE589" s="219"/>
      <c r="FFF589" s="219"/>
      <c r="FFG589" s="219"/>
      <c r="FFH589" s="219"/>
      <c r="FFI589" s="219"/>
      <c r="FFJ589" s="219"/>
      <c r="FFK589" s="219"/>
      <c r="FFL589" s="219"/>
      <c r="FFM589" s="219"/>
      <c r="FFN589" s="219"/>
      <c r="FFO589" s="219"/>
      <c r="FFP589" s="219"/>
      <c r="FFQ589" s="219"/>
      <c r="FFR589" s="219"/>
      <c r="FFS589" s="219"/>
      <c r="FFT589" s="219"/>
      <c r="FFU589" s="219"/>
      <c r="FFV589" s="219"/>
      <c r="FFW589" s="219"/>
      <c r="FFX589" s="219"/>
      <c r="FFY589" s="219"/>
      <c r="FFZ589" s="219"/>
      <c r="FGA589" s="219"/>
      <c r="FGB589" s="219"/>
      <c r="FGC589" s="219"/>
      <c r="FGD589" s="219"/>
      <c r="FGE589" s="219"/>
      <c r="FGF589" s="219"/>
      <c r="FGG589" s="219"/>
      <c r="FGH589" s="219"/>
      <c r="FGI589" s="219"/>
      <c r="FGJ589" s="219"/>
      <c r="FGK589" s="219"/>
      <c r="FGL589" s="219"/>
      <c r="FGM589" s="219"/>
      <c r="FGN589" s="219"/>
      <c r="FGO589" s="219"/>
      <c r="FGP589" s="219"/>
      <c r="FGQ589" s="219"/>
      <c r="FGR589" s="219"/>
      <c r="FGS589" s="219"/>
      <c r="FGT589" s="219"/>
      <c r="FGU589" s="219"/>
      <c r="FGV589" s="219"/>
      <c r="FGW589" s="219"/>
      <c r="FGX589" s="219"/>
      <c r="FGY589" s="219"/>
      <c r="FGZ589" s="219"/>
      <c r="FHA589" s="219"/>
      <c r="FHB589" s="219"/>
      <c r="FHC589" s="219"/>
      <c r="FHD589" s="219"/>
      <c r="FHE589" s="219"/>
      <c r="FHF589" s="219"/>
      <c r="FHG589" s="219"/>
      <c r="FHH589" s="219"/>
      <c r="FHI589" s="219"/>
      <c r="FHJ589" s="219"/>
      <c r="FHK589" s="219"/>
      <c r="FHL589" s="219"/>
      <c r="FHM589" s="219"/>
      <c r="FHN589" s="219"/>
      <c r="FHO589" s="219"/>
      <c r="FHP589" s="219"/>
      <c r="FHQ589" s="219"/>
      <c r="FHR589" s="219"/>
      <c r="FHS589" s="219"/>
      <c r="FHT589" s="219"/>
      <c r="FHU589" s="219"/>
      <c r="FHV589" s="219"/>
      <c r="FHW589" s="219"/>
      <c r="FHX589" s="219"/>
      <c r="FHY589" s="219"/>
      <c r="FHZ589" s="219"/>
      <c r="FIA589" s="219"/>
      <c r="FIB589" s="219"/>
      <c r="FIC589" s="219"/>
      <c r="FID589" s="219"/>
      <c r="FIE589" s="219"/>
      <c r="FIF589" s="219"/>
      <c r="FIG589" s="219"/>
      <c r="FIH589" s="219"/>
      <c r="FII589" s="219"/>
      <c r="FIJ589" s="219"/>
      <c r="FIK589" s="219"/>
      <c r="FIL589" s="219"/>
      <c r="FIM589" s="219"/>
      <c r="FIN589" s="219"/>
      <c r="FIO589" s="219"/>
      <c r="FIP589" s="219"/>
      <c r="FIQ589" s="219"/>
      <c r="FIR589" s="219"/>
      <c r="FIS589" s="219"/>
      <c r="FIT589" s="219"/>
      <c r="FIU589" s="219"/>
      <c r="FIV589" s="219"/>
      <c r="FIW589" s="219"/>
      <c r="FIX589" s="219"/>
      <c r="FIY589" s="219"/>
      <c r="FIZ589" s="219"/>
      <c r="FJA589" s="219"/>
      <c r="FJB589" s="219"/>
      <c r="FJC589" s="219"/>
      <c r="FJD589" s="219"/>
      <c r="FJE589" s="219"/>
      <c r="FJF589" s="219"/>
      <c r="FJG589" s="219"/>
      <c r="FJH589" s="219"/>
      <c r="FJI589" s="219"/>
      <c r="FJJ589" s="219"/>
      <c r="FJK589" s="219"/>
      <c r="FJL589" s="219"/>
      <c r="FJM589" s="219"/>
      <c r="FJN589" s="219"/>
      <c r="FJO589" s="219"/>
      <c r="FJP589" s="219"/>
      <c r="FJQ589" s="219"/>
      <c r="FJR589" s="219"/>
      <c r="FJS589" s="219"/>
      <c r="FJT589" s="219"/>
      <c r="FJU589" s="219"/>
      <c r="FJV589" s="219"/>
      <c r="FJW589" s="219"/>
      <c r="FJX589" s="219"/>
      <c r="FJY589" s="219"/>
      <c r="FJZ589" s="219"/>
      <c r="FKA589" s="219"/>
      <c r="FKB589" s="219"/>
      <c r="FKC589" s="219"/>
      <c r="FKD589" s="219"/>
      <c r="FKE589" s="219"/>
      <c r="FKF589" s="219"/>
      <c r="FKG589" s="219"/>
      <c r="FKH589" s="219"/>
      <c r="FKI589" s="219"/>
      <c r="FKJ589" s="219"/>
      <c r="FKK589" s="219"/>
      <c r="FKL589" s="219"/>
      <c r="FKM589" s="219"/>
      <c r="FKN589" s="219"/>
      <c r="FKO589" s="219"/>
      <c r="FKP589" s="219"/>
      <c r="FKQ589" s="219"/>
      <c r="FKR589" s="219"/>
      <c r="FKS589" s="219"/>
      <c r="FKT589" s="219"/>
      <c r="FKU589" s="219"/>
      <c r="FKV589" s="219"/>
      <c r="FKW589" s="219"/>
      <c r="FKX589" s="219"/>
      <c r="FKY589" s="219"/>
      <c r="FKZ589" s="219"/>
      <c r="FLA589" s="219"/>
      <c r="FLB589" s="219"/>
      <c r="FLC589" s="219"/>
      <c r="FLD589" s="219"/>
      <c r="FLE589" s="219"/>
      <c r="FLF589" s="219"/>
      <c r="FLG589" s="219"/>
      <c r="FLH589" s="219"/>
      <c r="FLI589" s="219"/>
      <c r="FLJ589" s="219"/>
      <c r="FLK589" s="219"/>
      <c r="FLL589" s="219"/>
      <c r="FLM589" s="219"/>
      <c r="FLN589" s="219"/>
      <c r="FLO589" s="219"/>
      <c r="FLP589" s="219"/>
      <c r="FLQ589" s="219"/>
      <c r="FLR589" s="219"/>
      <c r="FLS589" s="219"/>
      <c r="FLT589" s="219"/>
      <c r="FLU589" s="219"/>
      <c r="FLV589" s="219"/>
      <c r="FLW589" s="219"/>
      <c r="FLX589" s="219"/>
      <c r="FLY589" s="219"/>
      <c r="FLZ589" s="219"/>
      <c r="FMA589" s="219"/>
      <c r="FMB589" s="219"/>
      <c r="FMC589" s="219"/>
      <c r="FMD589" s="219"/>
      <c r="FME589" s="219"/>
      <c r="FMF589" s="219"/>
      <c r="FMG589" s="219"/>
      <c r="FMH589" s="219"/>
      <c r="FMI589" s="219"/>
      <c r="FMJ589" s="219"/>
      <c r="FMK589" s="219"/>
      <c r="FML589" s="219"/>
      <c r="FMM589" s="219"/>
      <c r="FMN589" s="219"/>
      <c r="FMO589" s="219"/>
      <c r="FMP589" s="219"/>
      <c r="FMQ589" s="219"/>
      <c r="FMR589" s="219"/>
      <c r="FMS589" s="219"/>
      <c r="FMT589" s="219"/>
      <c r="FMU589" s="219"/>
      <c r="FMV589" s="219"/>
      <c r="FMW589" s="219"/>
      <c r="FMX589" s="219"/>
      <c r="FMY589" s="219"/>
      <c r="FMZ589" s="219"/>
      <c r="FNA589" s="219"/>
      <c r="FNB589" s="219"/>
      <c r="FNC589" s="219"/>
      <c r="FND589" s="219"/>
      <c r="FNE589" s="219"/>
      <c r="FNF589" s="219"/>
      <c r="FNG589" s="219"/>
      <c r="FNH589" s="219"/>
      <c r="FNI589" s="219"/>
      <c r="FNJ589" s="219"/>
      <c r="FNK589" s="219"/>
      <c r="FNL589" s="219"/>
      <c r="FNM589" s="219"/>
      <c r="FNN589" s="219"/>
      <c r="FNO589" s="219"/>
      <c r="FNP589" s="219"/>
      <c r="FNQ589" s="219"/>
      <c r="FNR589" s="219"/>
      <c r="FNS589" s="219"/>
      <c r="FNT589" s="219"/>
      <c r="FNU589" s="219"/>
      <c r="FNV589" s="219"/>
      <c r="FNW589" s="219"/>
      <c r="FNX589" s="219"/>
      <c r="FNY589" s="219"/>
      <c r="FNZ589" s="219"/>
      <c r="FOA589" s="219"/>
      <c r="FOB589" s="219"/>
      <c r="FOC589" s="219"/>
      <c r="FOD589" s="219"/>
      <c r="FOE589" s="219"/>
      <c r="FOF589" s="219"/>
      <c r="FOG589" s="219"/>
      <c r="FOH589" s="219"/>
      <c r="FOI589" s="219"/>
      <c r="FOJ589" s="219"/>
      <c r="FOK589" s="219"/>
      <c r="FOL589" s="219"/>
      <c r="FOM589" s="219"/>
      <c r="FON589" s="219"/>
      <c r="FOO589" s="219"/>
      <c r="FOP589" s="219"/>
      <c r="FOQ589" s="219"/>
      <c r="FOR589" s="219"/>
      <c r="FOS589" s="219"/>
      <c r="FOT589" s="219"/>
      <c r="FOU589" s="219"/>
      <c r="FOV589" s="219"/>
      <c r="FOW589" s="219"/>
      <c r="FOX589" s="219"/>
      <c r="FOY589" s="219"/>
      <c r="FOZ589" s="219"/>
      <c r="FPA589" s="219"/>
      <c r="FPB589" s="219"/>
      <c r="FPC589" s="219"/>
      <c r="FPD589" s="219"/>
      <c r="FPE589" s="219"/>
      <c r="FPF589" s="219"/>
      <c r="FPG589" s="219"/>
      <c r="FPH589" s="219"/>
      <c r="FPI589" s="219"/>
      <c r="FPJ589" s="219"/>
      <c r="FPK589" s="219"/>
      <c r="FPL589" s="219"/>
      <c r="FPM589" s="219"/>
      <c r="FPN589" s="219"/>
      <c r="FPO589" s="219"/>
      <c r="FPP589" s="219"/>
      <c r="FPQ589" s="219"/>
      <c r="FPR589" s="219"/>
      <c r="FPS589" s="219"/>
      <c r="FPT589" s="219"/>
      <c r="FPU589" s="219"/>
      <c r="FPV589" s="219"/>
      <c r="FPW589" s="219"/>
      <c r="FPX589" s="219"/>
      <c r="FPY589" s="219"/>
      <c r="FPZ589" s="219"/>
      <c r="FQA589" s="219"/>
      <c r="FQB589" s="219"/>
      <c r="FQC589" s="219"/>
      <c r="FQD589" s="219"/>
      <c r="FQE589" s="219"/>
      <c r="FQF589" s="219"/>
      <c r="FQG589" s="219"/>
      <c r="FQH589" s="219"/>
      <c r="FQI589" s="219"/>
      <c r="FQJ589" s="219"/>
      <c r="FQK589" s="219"/>
      <c r="FQL589" s="219"/>
      <c r="FQM589" s="219"/>
      <c r="FQN589" s="219"/>
      <c r="FQO589" s="219"/>
      <c r="FQP589" s="219"/>
      <c r="FQQ589" s="219"/>
      <c r="FQR589" s="219"/>
      <c r="FQS589" s="219"/>
      <c r="FQT589" s="219"/>
      <c r="FQU589" s="219"/>
      <c r="FQV589" s="219"/>
      <c r="FQW589" s="219"/>
      <c r="FQX589" s="219"/>
      <c r="FQY589" s="219"/>
      <c r="FQZ589" s="219"/>
      <c r="FRA589" s="219"/>
      <c r="FRB589" s="219"/>
      <c r="FRC589" s="219"/>
      <c r="FRD589" s="219"/>
      <c r="FRE589" s="219"/>
      <c r="FRF589" s="219"/>
      <c r="FRG589" s="219"/>
      <c r="FRH589" s="219"/>
      <c r="FRI589" s="219"/>
      <c r="FRJ589" s="219"/>
      <c r="FRK589" s="219"/>
      <c r="FRL589" s="219"/>
      <c r="FRM589" s="219"/>
      <c r="FRN589" s="219"/>
      <c r="FRO589" s="219"/>
      <c r="FRP589" s="219"/>
      <c r="FRQ589" s="219"/>
      <c r="FRR589" s="219"/>
      <c r="FRS589" s="219"/>
      <c r="FRT589" s="219"/>
      <c r="FRU589" s="219"/>
      <c r="FRV589" s="219"/>
      <c r="FRW589" s="219"/>
      <c r="FRX589" s="219"/>
      <c r="FRY589" s="219"/>
      <c r="FRZ589" s="219"/>
      <c r="FSA589" s="219"/>
      <c r="FSB589" s="219"/>
      <c r="FSC589" s="219"/>
      <c r="FSD589" s="219"/>
      <c r="FSE589" s="219"/>
      <c r="FSF589" s="219"/>
      <c r="FSG589" s="219"/>
      <c r="FSH589" s="219"/>
      <c r="FSI589" s="219"/>
      <c r="FSJ589" s="219"/>
      <c r="FSK589" s="219"/>
      <c r="FSL589" s="219"/>
      <c r="FSM589" s="219"/>
      <c r="FSN589" s="219"/>
      <c r="FSO589" s="219"/>
      <c r="FSP589" s="219"/>
      <c r="FSQ589" s="219"/>
      <c r="FSR589" s="219"/>
      <c r="FSS589" s="219"/>
      <c r="FST589" s="219"/>
      <c r="FSU589" s="219"/>
      <c r="FSV589" s="219"/>
      <c r="FSW589" s="219"/>
      <c r="FSX589" s="219"/>
      <c r="FSY589" s="219"/>
      <c r="FSZ589" s="219"/>
      <c r="FTA589" s="219"/>
      <c r="FTB589" s="219"/>
      <c r="FTC589" s="219"/>
      <c r="FTD589" s="219"/>
      <c r="FTE589" s="219"/>
      <c r="FTF589" s="219"/>
      <c r="FTG589" s="219"/>
      <c r="FTH589" s="219"/>
      <c r="FTI589" s="219"/>
      <c r="FTJ589" s="219"/>
      <c r="FTK589" s="219"/>
      <c r="FTL589" s="219"/>
      <c r="FTM589" s="219"/>
      <c r="FTN589" s="219"/>
      <c r="FTO589" s="219"/>
      <c r="FTP589" s="219"/>
      <c r="FTQ589" s="219"/>
      <c r="FTR589" s="219"/>
      <c r="FTS589" s="219"/>
      <c r="FTT589" s="219"/>
      <c r="FTU589" s="219"/>
      <c r="FTV589" s="219"/>
      <c r="FTW589" s="219"/>
      <c r="FTX589" s="219"/>
      <c r="FTY589" s="219"/>
      <c r="FTZ589" s="219"/>
      <c r="FUA589" s="219"/>
      <c r="FUB589" s="219"/>
      <c r="FUC589" s="219"/>
      <c r="FUD589" s="219"/>
      <c r="FUE589" s="219"/>
      <c r="FUF589" s="219"/>
      <c r="FUG589" s="219"/>
      <c r="FUH589" s="219"/>
      <c r="FUI589" s="219"/>
      <c r="FUJ589" s="219"/>
      <c r="FUK589" s="219"/>
      <c r="FUL589" s="219"/>
      <c r="FUM589" s="219"/>
      <c r="FUN589" s="219"/>
      <c r="FUO589" s="219"/>
      <c r="FUP589" s="219"/>
      <c r="FUQ589" s="219"/>
      <c r="FUR589" s="219"/>
      <c r="FUS589" s="219"/>
      <c r="FUT589" s="219"/>
      <c r="FUU589" s="219"/>
      <c r="FUV589" s="219"/>
      <c r="FUW589" s="219"/>
      <c r="FUX589" s="219"/>
      <c r="FUY589" s="219"/>
      <c r="FUZ589" s="219"/>
      <c r="FVA589" s="219"/>
      <c r="FVB589" s="219"/>
      <c r="FVC589" s="219"/>
      <c r="FVD589" s="219"/>
      <c r="FVE589" s="219"/>
      <c r="FVF589" s="219"/>
      <c r="FVG589" s="219"/>
      <c r="FVH589" s="219"/>
      <c r="FVI589" s="219"/>
      <c r="FVJ589" s="219"/>
      <c r="FVK589" s="219"/>
      <c r="FVL589" s="219"/>
      <c r="FVM589" s="219"/>
      <c r="FVN589" s="219"/>
      <c r="FVO589" s="219"/>
      <c r="FVP589" s="219"/>
      <c r="FVQ589" s="219"/>
      <c r="FVR589" s="219"/>
      <c r="FVS589" s="219"/>
      <c r="FVT589" s="219"/>
      <c r="FVU589" s="219"/>
      <c r="FVV589" s="219"/>
      <c r="FVW589" s="219"/>
      <c r="FVX589" s="219"/>
      <c r="FVY589" s="219"/>
      <c r="FVZ589" s="219"/>
      <c r="FWA589" s="219"/>
      <c r="FWB589" s="219"/>
      <c r="FWC589" s="219"/>
      <c r="FWD589" s="219"/>
      <c r="FWE589" s="219"/>
      <c r="FWF589" s="219"/>
      <c r="FWG589" s="219"/>
      <c r="FWH589" s="219"/>
      <c r="FWI589" s="219"/>
      <c r="FWJ589" s="219"/>
      <c r="FWK589" s="219"/>
      <c r="FWL589" s="219"/>
      <c r="FWM589" s="219"/>
      <c r="FWN589" s="219"/>
      <c r="FWO589" s="219"/>
      <c r="FWP589" s="219"/>
      <c r="FWQ589" s="219"/>
      <c r="FWR589" s="219"/>
      <c r="FWS589" s="219"/>
      <c r="FWT589" s="219"/>
      <c r="FWU589" s="219"/>
      <c r="FWV589" s="219"/>
      <c r="FWW589" s="219"/>
      <c r="FWX589" s="219"/>
      <c r="FWY589" s="219"/>
      <c r="FWZ589" s="219"/>
      <c r="FXA589" s="219"/>
      <c r="FXB589" s="219"/>
      <c r="FXC589" s="219"/>
      <c r="FXD589" s="219"/>
      <c r="FXE589" s="219"/>
      <c r="FXF589" s="219"/>
      <c r="FXG589" s="219"/>
      <c r="FXH589" s="219"/>
      <c r="FXI589" s="219"/>
      <c r="FXJ589" s="219"/>
      <c r="FXK589" s="219"/>
      <c r="FXL589" s="219"/>
      <c r="FXM589" s="219"/>
      <c r="FXN589" s="219"/>
      <c r="FXO589" s="219"/>
      <c r="FXP589" s="219"/>
      <c r="FXQ589" s="219"/>
      <c r="FXR589" s="219"/>
      <c r="FXS589" s="219"/>
      <c r="FXT589" s="219"/>
      <c r="FXU589" s="219"/>
      <c r="FXV589" s="219"/>
      <c r="FXW589" s="219"/>
      <c r="FXX589" s="219"/>
      <c r="FXY589" s="219"/>
      <c r="FXZ589" s="219"/>
      <c r="FYA589" s="219"/>
      <c r="FYB589" s="219"/>
      <c r="FYC589" s="219"/>
      <c r="FYD589" s="219"/>
      <c r="FYE589" s="219"/>
      <c r="FYF589" s="219"/>
      <c r="FYG589" s="219"/>
      <c r="FYH589" s="219"/>
      <c r="FYI589" s="219"/>
      <c r="FYJ589" s="219"/>
      <c r="FYK589" s="219"/>
      <c r="FYL589" s="219"/>
      <c r="FYM589" s="219"/>
      <c r="FYN589" s="219"/>
      <c r="FYO589" s="219"/>
      <c r="FYP589" s="219"/>
      <c r="FYQ589" s="219"/>
      <c r="FYR589" s="219"/>
      <c r="FYS589" s="219"/>
      <c r="FYT589" s="219"/>
      <c r="FYU589" s="219"/>
      <c r="FYV589" s="219"/>
      <c r="FYW589" s="219"/>
      <c r="FYX589" s="219"/>
      <c r="FYY589" s="219"/>
      <c r="FYZ589" s="219"/>
      <c r="FZA589" s="219"/>
      <c r="FZB589" s="219"/>
      <c r="FZC589" s="219"/>
      <c r="FZD589" s="219"/>
      <c r="FZE589" s="219"/>
      <c r="FZF589" s="219"/>
      <c r="FZG589" s="219"/>
      <c r="FZH589" s="219"/>
      <c r="FZI589" s="219"/>
      <c r="FZJ589" s="219"/>
      <c r="FZK589" s="219"/>
      <c r="FZL589" s="219"/>
      <c r="FZM589" s="219"/>
      <c r="FZN589" s="219"/>
      <c r="FZO589" s="219"/>
      <c r="FZP589" s="219"/>
      <c r="FZQ589" s="219"/>
      <c r="FZR589" s="219"/>
      <c r="FZS589" s="219"/>
      <c r="FZT589" s="219"/>
      <c r="FZU589" s="219"/>
      <c r="FZV589" s="219"/>
      <c r="FZW589" s="219"/>
      <c r="FZX589" s="219"/>
      <c r="FZY589" s="219"/>
      <c r="FZZ589" s="219"/>
      <c r="GAA589" s="219"/>
      <c r="GAB589" s="219"/>
      <c r="GAC589" s="219"/>
      <c r="GAD589" s="219"/>
      <c r="GAE589" s="219"/>
      <c r="GAF589" s="219"/>
      <c r="GAG589" s="219"/>
      <c r="GAH589" s="219"/>
      <c r="GAI589" s="219"/>
      <c r="GAJ589" s="219"/>
      <c r="GAK589" s="219"/>
      <c r="GAL589" s="219"/>
      <c r="GAM589" s="219"/>
      <c r="GAN589" s="219"/>
      <c r="GAO589" s="219"/>
      <c r="GAP589" s="219"/>
      <c r="GAQ589" s="219"/>
      <c r="GAR589" s="219"/>
      <c r="GAS589" s="219"/>
      <c r="GAT589" s="219"/>
      <c r="GAU589" s="219"/>
      <c r="GAV589" s="219"/>
      <c r="GAW589" s="219"/>
      <c r="GAX589" s="219"/>
      <c r="GAY589" s="219"/>
      <c r="GAZ589" s="219"/>
      <c r="GBA589" s="219"/>
      <c r="GBB589" s="219"/>
      <c r="GBC589" s="219"/>
      <c r="GBD589" s="219"/>
      <c r="GBE589" s="219"/>
      <c r="GBF589" s="219"/>
      <c r="GBG589" s="219"/>
      <c r="GBH589" s="219"/>
      <c r="GBI589" s="219"/>
      <c r="GBJ589" s="219"/>
      <c r="GBK589" s="219"/>
      <c r="GBL589" s="219"/>
      <c r="GBM589" s="219"/>
      <c r="GBN589" s="219"/>
      <c r="GBO589" s="219"/>
      <c r="GBP589" s="219"/>
      <c r="GBQ589" s="219"/>
      <c r="GBR589" s="219"/>
      <c r="GBS589" s="219"/>
      <c r="GBT589" s="219"/>
      <c r="GBU589" s="219"/>
      <c r="GBV589" s="219"/>
      <c r="GBW589" s="219"/>
      <c r="GBX589" s="219"/>
      <c r="GBY589" s="219"/>
      <c r="GBZ589" s="219"/>
      <c r="GCA589" s="219"/>
      <c r="GCB589" s="219"/>
      <c r="GCC589" s="219"/>
      <c r="GCD589" s="219"/>
      <c r="GCE589" s="219"/>
      <c r="GCF589" s="219"/>
      <c r="GCG589" s="219"/>
      <c r="GCH589" s="219"/>
      <c r="GCI589" s="219"/>
      <c r="GCJ589" s="219"/>
      <c r="GCK589" s="219"/>
      <c r="GCL589" s="219"/>
      <c r="GCM589" s="219"/>
      <c r="GCN589" s="219"/>
      <c r="GCO589" s="219"/>
      <c r="GCP589" s="219"/>
      <c r="GCQ589" s="219"/>
      <c r="GCR589" s="219"/>
      <c r="GCS589" s="219"/>
      <c r="GCT589" s="219"/>
      <c r="GCU589" s="219"/>
      <c r="GCV589" s="219"/>
      <c r="GCW589" s="219"/>
      <c r="GCX589" s="219"/>
      <c r="GCY589" s="219"/>
      <c r="GCZ589" s="219"/>
      <c r="GDA589" s="219"/>
      <c r="GDB589" s="219"/>
      <c r="GDC589" s="219"/>
      <c r="GDD589" s="219"/>
      <c r="GDE589" s="219"/>
      <c r="GDF589" s="219"/>
      <c r="GDG589" s="219"/>
      <c r="GDH589" s="219"/>
      <c r="GDI589" s="219"/>
      <c r="GDJ589" s="219"/>
      <c r="GDK589" s="219"/>
      <c r="GDL589" s="219"/>
      <c r="GDM589" s="219"/>
      <c r="GDN589" s="219"/>
      <c r="GDO589" s="219"/>
      <c r="GDP589" s="219"/>
      <c r="GDQ589" s="219"/>
      <c r="GDR589" s="219"/>
      <c r="GDS589" s="219"/>
      <c r="GDT589" s="219"/>
      <c r="GDU589" s="219"/>
      <c r="GDV589" s="219"/>
      <c r="GDW589" s="219"/>
      <c r="GDX589" s="219"/>
      <c r="GDY589" s="219"/>
      <c r="GDZ589" s="219"/>
      <c r="GEA589" s="219"/>
      <c r="GEB589" s="219"/>
      <c r="GEC589" s="219"/>
      <c r="GED589" s="219"/>
      <c r="GEE589" s="219"/>
      <c r="GEF589" s="219"/>
      <c r="GEG589" s="219"/>
      <c r="GEH589" s="219"/>
      <c r="GEI589" s="219"/>
      <c r="GEJ589" s="219"/>
      <c r="GEK589" s="219"/>
      <c r="GEL589" s="219"/>
      <c r="GEM589" s="219"/>
      <c r="GEN589" s="219"/>
      <c r="GEO589" s="219"/>
      <c r="GEP589" s="219"/>
      <c r="GEQ589" s="219"/>
      <c r="GER589" s="219"/>
      <c r="GES589" s="219"/>
      <c r="GET589" s="219"/>
      <c r="GEU589" s="219"/>
      <c r="GEV589" s="219"/>
      <c r="GEW589" s="219"/>
      <c r="GEX589" s="219"/>
      <c r="GEY589" s="219"/>
      <c r="GEZ589" s="219"/>
      <c r="GFA589" s="219"/>
      <c r="GFB589" s="219"/>
      <c r="GFC589" s="219"/>
      <c r="GFD589" s="219"/>
      <c r="GFE589" s="219"/>
      <c r="GFF589" s="219"/>
      <c r="GFG589" s="219"/>
      <c r="GFH589" s="219"/>
      <c r="GFI589" s="219"/>
      <c r="GFJ589" s="219"/>
      <c r="GFK589" s="219"/>
      <c r="GFL589" s="219"/>
      <c r="GFM589" s="219"/>
      <c r="GFN589" s="219"/>
      <c r="GFO589" s="219"/>
      <c r="GFP589" s="219"/>
      <c r="GFQ589" s="219"/>
      <c r="GFR589" s="219"/>
      <c r="GFS589" s="219"/>
      <c r="GFT589" s="219"/>
      <c r="GFU589" s="219"/>
      <c r="GFV589" s="219"/>
      <c r="GFW589" s="219"/>
      <c r="GFX589" s="219"/>
      <c r="GFY589" s="219"/>
      <c r="GFZ589" s="219"/>
      <c r="GGA589" s="219"/>
      <c r="GGB589" s="219"/>
      <c r="GGC589" s="219"/>
      <c r="GGD589" s="219"/>
      <c r="GGE589" s="219"/>
      <c r="GGF589" s="219"/>
      <c r="GGG589" s="219"/>
      <c r="GGH589" s="219"/>
      <c r="GGI589" s="219"/>
      <c r="GGJ589" s="219"/>
      <c r="GGK589" s="219"/>
      <c r="GGL589" s="219"/>
      <c r="GGM589" s="219"/>
      <c r="GGN589" s="219"/>
      <c r="GGO589" s="219"/>
      <c r="GGP589" s="219"/>
      <c r="GGQ589" s="219"/>
      <c r="GGR589" s="219"/>
      <c r="GGS589" s="219"/>
      <c r="GGT589" s="219"/>
      <c r="GGU589" s="219"/>
      <c r="GGV589" s="219"/>
      <c r="GGW589" s="219"/>
      <c r="GGX589" s="219"/>
      <c r="GGY589" s="219"/>
      <c r="GGZ589" s="219"/>
      <c r="GHA589" s="219"/>
      <c r="GHB589" s="219"/>
      <c r="GHC589" s="219"/>
      <c r="GHD589" s="219"/>
      <c r="GHE589" s="219"/>
      <c r="GHF589" s="219"/>
      <c r="GHG589" s="219"/>
      <c r="GHH589" s="219"/>
      <c r="GHI589" s="219"/>
      <c r="GHJ589" s="219"/>
      <c r="GHK589" s="219"/>
      <c r="GHL589" s="219"/>
      <c r="GHM589" s="219"/>
      <c r="GHN589" s="219"/>
      <c r="GHO589" s="219"/>
      <c r="GHP589" s="219"/>
      <c r="GHQ589" s="219"/>
      <c r="GHR589" s="219"/>
      <c r="GHS589" s="219"/>
      <c r="GHT589" s="219"/>
      <c r="GHU589" s="219"/>
      <c r="GHV589" s="219"/>
      <c r="GHW589" s="219"/>
      <c r="GHX589" s="219"/>
      <c r="GHY589" s="219"/>
      <c r="GHZ589" s="219"/>
      <c r="GIA589" s="219"/>
      <c r="GIB589" s="219"/>
      <c r="GIC589" s="219"/>
      <c r="GID589" s="219"/>
      <c r="GIE589" s="219"/>
      <c r="GIF589" s="219"/>
      <c r="GIG589" s="219"/>
      <c r="GIH589" s="219"/>
      <c r="GII589" s="219"/>
      <c r="GIJ589" s="219"/>
      <c r="GIK589" s="219"/>
      <c r="GIL589" s="219"/>
      <c r="GIM589" s="219"/>
      <c r="GIN589" s="219"/>
      <c r="GIO589" s="219"/>
      <c r="GIP589" s="219"/>
      <c r="GIQ589" s="219"/>
      <c r="GIR589" s="219"/>
      <c r="GIS589" s="219"/>
      <c r="GIT589" s="219"/>
      <c r="GIU589" s="219"/>
      <c r="GIV589" s="219"/>
      <c r="GIW589" s="219"/>
      <c r="GIX589" s="219"/>
      <c r="GIY589" s="219"/>
      <c r="GIZ589" s="219"/>
      <c r="GJA589" s="219"/>
      <c r="GJB589" s="219"/>
      <c r="GJC589" s="219"/>
      <c r="GJD589" s="219"/>
      <c r="GJE589" s="219"/>
      <c r="GJF589" s="219"/>
      <c r="GJG589" s="219"/>
      <c r="GJH589" s="219"/>
      <c r="GJI589" s="219"/>
      <c r="GJJ589" s="219"/>
      <c r="GJK589" s="219"/>
      <c r="GJL589" s="219"/>
      <c r="GJM589" s="219"/>
      <c r="GJN589" s="219"/>
      <c r="GJO589" s="219"/>
      <c r="GJP589" s="219"/>
      <c r="GJQ589" s="219"/>
      <c r="GJR589" s="219"/>
      <c r="GJS589" s="219"/>
      <c r="GJT589" s="219"/>
      <c r="GJU589" s="219"/>
      <c r="GJV589" s="219"/>
      <c r="GJW589" s="219"/>
      <c r="GJX589" s="219"/>
      <c r="GJY589" s="219"/>
      <c r="GJZ589" s="219"/>
      <c r="GKA589" s="219"/>
      <c r="GKB589" s="219"/>
      <c r="GKC589" s="219"/>
      <c r="GKD589" s="219"/>
      <c r="GKE589" s="219"/>
      <c r="GKF589" s="219"/>
      <c r="GKG589" s="219"/>
      <c r="GKH589" s="219"/>
      <c r="GKI589" s="219"/>
      <c r="GKJ589" s="219"/>
      <c r="GKK589" s="219"/>
      <c r="GKL589" s="219"/>
      <c r="GKM589" s="219"/>
      <c r="GKN589" s="219"/>
      <c r="GKO589" s="219"/>
      <c r="GKP589" s="219"/>
      <c r="GKQ589" s="219"/>
      <c r="GKR589" s="219"/>
      <c r="GKS589" s="219"/>
      <c r="GKT589" s="219"/>
      <c r="GKU589" s="219"/>
      <c r="GKV589" s="219"/>
      <c r="GKW589" s="219"/>
      <c r="GKX589" s="219"/>
      <c r="GKY589" s="219"/>
      <c r="GKZ589" s="219"/>
      <c r="GLA589" s="219"/>
      <c r="GLB589" s="219"/>
      <c r="GLC589" s="219"/>
      <c r="GLD589" s="219"/>
      <c r="GLE589" s="219"/>
      <c r="GLF589" s="219"/>
      <c r="GLG589" s="219"/>
      <c r="GLH589" s="219"/>
      <c r="GLI589" s="219"/>
      <c r="GLJ589" s="219"/>
      <c r="GLK589" s="219"/>
      <c r="GLL589" s="219"/>
      <c r="GLM589" s="219"/>
      <c r="GLN589" s="219"/>
      <c r="GLO589" s="219"/>
      <c r="GLP589" s="219"/>
      <c r="GLQ589" s="219"/>
      <c r="GLR589" s="219"/>
      <c r="GLS589" s="219"/>
      <c r="GLT589" s="219"/>
      <c r="GLU589" s="219"/>
      <c r="GLV589" s="219"/>
      <c r="GLW589" s="219"/>
      <c r="GLX589" s="219"/>
      <c r="GLY589" s="219"/>
      <c r="GLZ589" s="219"/>
      <c r="GMA589" s="219"/>
      <c r="GMB589" s="219"/>
      <c r="GMC589" s="219"/>
      <c r="GMD589" s="219"/>
      <c r="GME589" s="219"/>
      <c r="GMF589" s="219"/>
      <c r="GMG589" s="219"/>
      <c r="GMH589" s="219"/>
      <c r="GMI589" s="219"/>
      <c r="GMJ589" s="219"/>
      <c r="GMK589" s="219"/>
      <c r="GML589" s="219"/>
      <c r="GMM589" s="219"/>
      <c r="GMN589" s="219"/>
      <c r="GMO589" s="219"/>
      <c r="GMP589" s="219"/>
      <c r="GMQ589" s="219"/>
      <c r="GMR589" s="219"/>
      <c r="GMS589" s="219"/>
      <c r="GMT589" s="219"/>
      <c r="GMU589" s="219"/>
      <c r="GMV589" s="219"/>
      <c r="GMW589" s="219"/>
      <c r="GMX589" s="219"/>
      <c r="GMY589" s="219"/>
      <c r="GMZ589" s="219"/>
      <c r="GNA589" s="219"/>
      <c r="GNB589" s="219"/>
      <c r="GNC589" s="219"/>
      <c r="GND589" s="219"/>
      <c r="GNE589" s="219"/>
      <c r="GNF589" s="219"/>
      <c r="GNG589" s="219"/>
      <c r="GNH589" s="219"/>
      <c r="GNI589" s="219"/>
      <c r="GNJ589" s="219"/>
      <c r="GNK589" s="219"/>
      <c r="GNL589" s="219"/>
      <c r="GNM589" s="219"/>
      <c r="GNN589" s="219"/>
      <c r="GNO589" s="219"/>
      <c r="GNP589" s="219"/>
      <c r="GNQ589" s="219"/>
      <c r="GNR589" s="219"/>
      <c r="GNS589" s="219"/>
      <c r="GNT589" s="219"/>
      <c r="GNU589" s="219"/>
      <c r="GNV589" s="219"/>
      <c r="GNW589" s="219"/>
      <c r="GNX589" s="219"/>
      <c r="GNY589" s="219"/>
      <c r="GNZ589" s="219"/>
      <c r="GOA589" s="219"/>
      <c r="GOB589" s="219"/>
      <c r="GOC589" s="219"/>
      <c r="GOD589" s="219"/>
      <c r="GOE589" s="219"/>
      <c r="GOF589" s="219"/>
      <c r="GOG589" s="219"/>
      <c r="GOH589" s="219"/>
      <c r="GOI589" s="219"/>
      <c r="GOJ589" s="219"/>
      <c r="GOK589" s="219"/>
      <c r="GOL589" s="219"/>
      <c r="GOM589" s="219"/>
      <c r="GON589" s="219"/>
      <c r="GOO589" s="219"/>
      <c r="GOP589" s="219"/>
      <c r="GOQ589" s="219"/>
      <c r="GOR589" s="219"/>
      <c r="GOS589" s="219"/>
      <c r="GOT589" s="219"/>
      <c r="GOU589" s="219"/>
      <c r="GOV589" s="219"/>
      <c r="GOW589" s="219"/>
      <c r="GOX589" s="219"/>
      <c r="GOY589" s="219"/>
      <c r="GOZ589" s="219"/>
      <c r="GPA589" s="219"/>
      <c r="GPB589" s="219"/>
      <c r="GPC589" s="219"/>
      <c r="GPD589" s="219"/>
      <c r="GPE589" s="219"/>
      <c r="GPF589" s="219"/>
      <c r="GPG589" s="219"/>
      <c r="GPH589" s="219"/>
      <c r="GPI589" s="219"/>
      <c r="GPJ589" s="219"/>
      <c r="GPK589" s="219"/>
      <c r="GPL589" s="219"/>
      <c r="GPM589" s="219"/>
      <c r="GPN589" s="219"/>
      <c r="GPO589" s="219"/>
      <c r="GPP589" s="219"/>
      <c r="GPQ589" s="219"/>
      <c r="GPR589" s="219"/>
      <c r="GPS589" s="219"/>
      <c r="GPT589" s="219"/>
      <c r="GPU589" s="219"/>
      <c r="GPV589" s="219"/>
      <c r="GPW589" s="219"/>
      <c r="GPX589" s="219"/>
      <c r="GPY589" s="219"/>
      <c r="GPZ589" s="219"/>
      <c r="GQA589" s="219"/>
      <c r="GQB589" s="219"/>
      <c r="GQC589" s="219"/>
      <c r="GQD589" s="219"/>
      <c r="GQE589" s="219"/>
      <c r="GQF589" s="219"/>
      <c r="GQG589" s="219"/>
      <c r="GQH589" s="219"/>
      <c r="GQI589" s="219"/>
      <c r="GQJ589" s="219"/>
      <c r="GQK589" s="219"/>
      <c r="GQL589" s="219"/>
      <c r="GQM589" s="219"/>
      <c r="GQN589" s="219"/>
      <c r="GQO589" s="219"/>
      <c r="GQP589" s="219"/>
      <c r="GQQ589" s="219"/>
      <c r="GQR589" s="219"/>
      <c r="GQS589" s="219"/>
      <c r="GQT589" s="219"/>
      <c r="GQU589" s="219"/>
      <c r="GQV589" s="219"/>
      <c r="GQW589" s="219"/>
      <c r="GQX589" s="219"/>
      <c r="GQY589" s="219"/>
      <c r="GQZ589" s="219"/>
      <c r="GRA589" s="219"/>
      <c r="GRB589" s="219"/>
      <c r="GRC589" s="219"/>
      <c r="GRD589" s="219"/>
      <c r="GRE589" s="219"/>
      <c r="GRF589" s="219"/>
      <c r="GRG589" s="219"/>
      <c r="GRH589" s="219"/>
      <c r="GRI589" s="219"/>
      <c r="GRJ589" s="219"/>
      <c r="GRK589" s="219"/>
      <c r="GRL589" s="219"/>
      <c r="GRM589" s="219"/>
      <c r="GRN589" s="219"/>
      <c r="GRO589" s="219"/>
      <c r="GRP589" s="219"/>
      <c r="GRQ589" s="219"/>
      <c r="GRR589" s="219"/>
      <c r="GRS589" s="219"/>
      <c r="GRT589" s="219"/>
      <c r="GRU589" s="219"/>
      <c r="GRV589" s="219"/>
      <c r="GRW589" s="219"/>
      <c r="GRX589" s="219"/>
      <c r="GRY589" s="219"/>
      <c r="GRZ589" s="219"/>
      <c r="GSA589" s="219"/>
      <c r="GSB589" s="219"/>
      <c r="GSC589" s="219"/>
      <c r="GSD589" s="219"/>
      <c r="GSE589" s="219"/>
      <c r="GSF589" s="219"/>
      <c r="GSG589" s="219"/>
      <c r="GSH589" s="219"/>
      <c r="GSI589" s="219"/>
      <c r="GSJ589" s="219"/>
      <c r="GSK589" s="219"/>
      <c r="GSL589" s="219"/>
      <c r="GSM589" s="219"/>
      <c r="GSN589" s="219"/>
      <c r="GSO589" s="219"/>
      <c r="GSP589" s="219"/>
      <c r="GSQ589" s="219"/>
      <c r="GSR589" s="219"/>
      <c r="GSS589" s="219"/>
      <c r="GST589" s="219"/>
      <c r="GSU589" s="219"/>
      <c r="GSV589" s="219"/>
      <c r="GSW589" s="219"/>
      <c r="GSX589" s="219"/>
      <c r="GSY589" s="219"/>
      <c r="GSZ589" s="219"/>
      <c r="GTA589" s="219"/>
      <c r="GTB589" s="219"/>
      <c r="GTC589" s="219"/>
      <c r="GTD589" s="219"/>
      <c r="GTE589" s="219"/>
      <c r="GTF589" s="219"/>
      <c r="GTG589" s="219"/>
      <c r="GTH589" s="219"/>
      <c r="GTI589" s="219"/>
      <c r="GTJ589" s="219"/>
      <c r="GTK589" s="219"/>
      <c r="GTL589" s="219"/>
      <c r="GTM589" s="219"/>
      <c r="GTN589" s="219"/>
      <c r="GTO589" s="219"/>
      <c r="GTP589" s="219"/>
      <c r="GTQ589" s="219"/>
      <c r="GTR589" s="219"/>
      <c r="GTS589" s="219"/>
      <c r="GTT589" s="219"/>
      <c r="GTU589" s="219"/>
      <c r="GTV589" s="219"/>
      <c r="GTW589" s="219"/>
      <c r="GTX589" s="219"/>
      <c r="GTY589" s="219"/>
      <c r="GTZ589" s="219"/>
      <c r="GUA589" s="219"/>
      <c r="GUB589" s="219"/>
      <c r="GUC589" s="219"/>
      <c r="GUD589" s="219"/>
      <c r="GUE589" s="219"/>
      <c r="GUF589" s="219"/>
      <c r="GUG589" s="219"/>
      <c r="GUH589" s="219"/>
      <c r="GUI589" s="219"/>
      <c r="GUJ589" s="219"/>
      <c r="GUK589" s="219"/>
      <c r="GUL589" s="219"/>
      <c r="GUM589" s="219"/>
      <c r="GUN589" s="219"/>
      <c r="GUO589" s="219"/>
      <c r="GUP589" s="219"/>
      <c r="GUQ589" s="219"/>
      <c r="GUR589" s="219"/>
      <c r="GUS589" s="219"/>
      <c r="GUT589" s="219"/>
      <c r="GUU589" s="219"/>
      <c r="GUV589" s="219"/>
      <c r="GUW589" s="219"/>
      <c r="GUX589" s="219"/>
      <c r="GUY589" s="219"/>
      <c r="GUZ589" s="219"/>
      <c r="GVA589" s="219"/>
      <c r="GVB589" s="219"/>
      <c r="GVC589" s="219"/>
      <c r="GVD589" s="219"/>
      <c r="GVE589" s="219"/>
      <c r="GVF589" s="219"/>
      <c r="GVG589" s="219"/>
      <c r="GVH589" s="219"/>
      <c r="GVI589" s="219"/>
      <c r="GVJ589" s="219"/>
      <c r="GVK589" s="219"/>
      <c r="GVL589" s="219"/>
      <c r="GVM589" s="219"/>
      <c r="GVN589" s="219"/>
      <c r="GVO589" s="219"/>
      <c r="GVP589" s="219"/>
      <c r="GVQ589" s="219"/>
      <c r="GVR589" s="219"/>
      <c r="GVS589" s="219"/>
      <c r="GVT589" s="219"/>
      <c r="GVU589" s="219"/>
      <c r="GVV589" s="219"/>
      <c r="GVW589" s="219"/>
      <c r="GVX589" s="219"/>
      <c r="GVY589" s="219"/>
      <c r="GVZ589" s="219"/>
      <c r="GWA589" s="219"/>
      <c r="GWB589" s="219"/>
      <c r="GWC589" s="219"/>
      <c r="GWD589" s="219"/>
      <c r="GWE589" s="219"/>
      <c r="GWF589" s="219"/>
      <c r="GWG589" s="219"/>
      <c r="GWH589" s="219"/>
      <c r="GWI589" s="219"/>
      <c r="GWJ589" s="219"/>
      <c r="GWK589" s="219"/>
      <c r="GWL589" s="219"/>
      <c r="GWM589" s="219"/>
      <c r="GWN589" s="219"/>
      <c r="GWO589" s="219"/>
      <c r="GWP589" s="219"/>
      <c r="GWQ589" s="219"/>
      <c r="GWR589" s="219"/>
      <c r="GWS589" s="219"/>
      <c r="GWT589" s="219"/>
      <c r="GWU589" s="219"/>
      <c r="GWV589" s="219"/>
      <c r="GWW589" s="219"/>
      <c r="GWX589" s="219"/>
      <c r="GWY589" s="219"/>
      <c r="GWZ589" s="219"/>
      <c r="GXA589" s="219"/>
      <c r="GXB589" s="219"/>
      <c r="GXC589" s="219"/>
      <c r="GXD589" s="219"/>
      <c r="GXE589" s="219"/>
      <c r="GXF589" s="219"/>
      <c r="GXG589" s="219"/>
      <c r="GXH589" s="219"/>
      <c r="GXI589" s="219"/>
      <c r="GXJ589" s="219"/>
      <c r="GXK589" s="219"/>
      <c r="GXL589" s="219"/>
      <c r="GXM589" s="219"/>
      <c r="GXN589" s="219"/>
      <c r="GXO589" s="219"/>
      <c r="GXP589" s="219"/>
      <c r="GXQ589" s="219"/>
      <c r="GXR589" s="219"/>
      <c r="GXS589" s="219"/>
      <c r="GXT589" s="219"/>
      <c r="GXU589" s="219"/>
      <c r="GXV589" s="219"/>
      <c r="GXW589" s="219"/>
      <c r="GXX589" s="219"/>
      <c r="GXY589" s="219"/>
      <c r="GXZ589" s="219"/>
      <c r="GYA589" s="219"/>
      <c r="GYB589" s="219"/>
      <c r="GYC589" s="219"/>
      <c r="GYD589" s="219"/>
      <c r="GYE589" s="219"/>
      <c r="GYF589" s="219"/>
      <c r="GYG589" s="219"/>
      <c r="GYH589" s="219"/>
      <c r="GYI589" s="219"/>
      <c r="GYJ589" s="219"/>
      <c r="GYK589" s="219"/>
      <c r="GYL589" s="219"/>
      <c r="GYM589" s="219"/>
      <c r="GYN589" s="219"/>
      <c r="GYO589" s="219"/>
      <c r="GYP589" s="219"/>
      <c r="GYQ589" s="219"/>
      <c r="GYR589" s="219"/>
      <c r="GYS589" s="219"/>
      <c r="GYT589" s="219"/>
      <c r="GYU589" s="219"/>
      <c r="GYV589" s="219"/>
      <c r="GYW589" s="219"/>
      <c r="GYX589" s="219"/>
      <c r="GYY589" s="219"/>
      <c r="GYZ589" s="219"/>
      <c r="GZA589" s="219"/>
      <c r="GZB589" s="219"/>
      <c r="GZC589" s="219"/>
      <c r="GZD589" s="219"/>
      <c r="GZE589" s="219"/>
      <c r="GZF589" s="219"/>
      <c r="GZG589" s="219"/>
      <c r="GZH589" s="219"/>
      <c r="GZI589" s="219"/>
      <c r="GZJ589" s="219"/>
      <c r="GZK589" s="219"/>
      <c r="GZL589" s="219"/>
      <c r="GZM589" s="219"/>
      <c r="GZN589" s="219"/>
      <c r="GZO589" s="219"/>
      <c r="GZP589" s="219"/>
      <c r="GZQ589" s="219"/>
      <c r="GZR589" s="219"/>
      <c r="GZS589" s="219"/>
      <c r="GZT589" s="219"/>
      <c r="GZU589" s="219"/>
      <c r="GZV589" s="219"/>
      <c r="GZW589" s="219"/>
      <c r="GZX589" s="219"/>
      <c r="GZY589" s="219"/>
      <c r="GZZ589" s="219"/>
      <c r="HAA589" s="219"/>
      <c r="HAB589" s="219"/>
      <c r="HAC589" s="219"/>
      <c r="HAD589" s="219"/>
      <c r="HAE589" s="219"/>
      <c r="HAF589" s="219"/>
      <c r="HAG589" s="219"/>
      <c r="HAH589" s="219"/>
      <c r="HAI589" s="219"/>
      <c r="HAJ589" s="219"/>
      <c r="HAK589" s="219"/>
      <c r="HAL589" s="219"/>
      <c r="HAM589" s="219"/>
      <c r="HAN589" s="219"/>
      <c r="HAO589" s="219"/>
      <c r="HAP589" s="219"/>
      <c r="HAQ589" s="219"/>
      <c r="HAR589" s="219"/>
      <c r="HAS589" s="219"/>
      <c r="HAT589" s="219"/>
      <c r="HAU589" s="219"/>
      <c r="HAV589" s="219"/>
      <c r="HAW589" s="219"/>
      <c r="HAX589" s="219"/>
      <c r="HAY589" s="219"/>
      <c r="HAZ589" s="219"/>
      <c r="HBA589" s="219"/>
      <c r="HBB589" s="219"/>
      <c r="HBC589" s="219"/>
      <c r="HBD589" s="219"/>
      <c r="HBE589" s="219"/>
      <c r="HBF589" s="219"/>
      <c r="HBG589" s="219"/>
      <c r="HBH589" s="219"/>
      <c r="HBI589" s="219"/>
      <c r="HBJ589" s="219"/>
      <c r="HBK589" s="219"/>
      <c r="HBL589" s="219"/>
      <c r="HBM589" s="219"/>
      <c r="HBN589" s="219"/>
      <c r="HBO589" s="219"/>
      <c r="HBP589" s="219"/>
      <c r="HBQ589" s="219"/>
      <c r="HBR589" s="219"/>
      <c r="HBS589" s="219"/>
      <c r="HBT589" s="219"/>
      <c r="HBU589" s="219"/>
      <c r="HBV589" s="219"/>
      <c r="HBW589" s="219"/>
      <c r="HBX589" s="219"/>
      <c r="HBY589" s="219"/>
      <c r="HBZ589" s="219"/>
      <c r="HCA589" s="219"/>
      <c r="HCB589" s="219"/>
      <c r="HCC589" s="219"/>
      <c r="HCD589" s="219"/>
      <c r="HCE589" s="219"/>
      <c r="HCF589" s="219"/>
      <c r="HCG589" s="219"/>
      <c r="HCH589" s="219"/>
      <c r="HCI589" s="219"/>
      <c r="HCJ589" s="219"/>
      <c r="HCK589" s="219"/>
      <c r="HCL589" s="219"/>
      <c r="HCM589" s="219"/>
      <c r="HCN589" s="219"/>
      <c r="HCO589" s="219"/>
      <c r="HCP589" s="219"/>
      <c r="HCQ589" s="219"/>
      <c r="HCR589" s="219"/>
      <c r="HCS589" s="219"/>
      <c r="HCT589" s="219"/>
      <c r="HCU589" s="219"/>
      <c r="HCV589" s="219"/>
      <c r="HCW589" s="219"/>
      <c r="HCX589" s="219"/>
      <c r="HCY589" s="219"/>
      <c r="HCZ589" s="219"/>
      <c r="HDA589" s="219"/>
      <c r="HDB589" s="219"/>
      <c r="HDC589" s="219"/>
      <c r="HDD589" s="219"/>
      <c r="HDE589" s="219"/>
      <c r="HDF589" s="219"/>
      <c r="HDG589" s="219"/>
      <c r="HDH589" s="219"/>
      <c r="HDI589" s="219"/>
      <c r="HDJ589" s="219"/>
      <c r="HDK589" s="219"/>
      <c r="HDL589" s="219"/>
      <c r="HDM589" s="219"/>
      <c r="HDN589" s="219"/>
      <c r="HDO589" s="219"/>
      <c r="HDP589" s="219"/>
      <c r="HDQ589" s="219"/>
      <c r="HDR589" s="219"/>
      <c r="HDS589" s="219"/>
      <c r="HDT589" s="219"/>
      <c r="HDU589" s="219"/>
      <c r="HDV589" s="219"/>
      <c r="HDW589" s="219"/>
      <c r="HDX589" s="219"/>
      <c r="HDY589" s="219"/>
      <c r="HDZ589" s="219"/>
      <c r="HEA589" s="219"/>
      <c r="HEB589" s="219"/>
      <c r="HEC589" s="219"/>
      <c r="HED589" s="219"/>
      <c r="HEE589" s="219"/>
      <c r="HEF589" s="219"/>
      <c r="HEG589" s="219"/>
      <c r="HEH589" s="219"/>
      <c r="HEI589" s="219"/>
      <c r="HEJ589" s="219"/>
      <c r="HEK589" s="219"/>
      <c r="HEL589" s="219"/>
      <c r="HEM589" s="219"/>
      <c r="HEN589" s="219"/>
      <c r="HEO589" s="219"/>
      <c r="HEP589" s="219"/>
      <c r="HEQ589" s="219"/>
      <c r="HER589" s="219"/>
      <c r="HES589" s="219"/>
      <c r="HET589" s="219"/>
      <c r="HEU589" s="219"/>
      <c r="HEV589" s="219"/>
      <c r="HEW589" s="219"/>
      <c r="HEX589" s="219"/>
      <c r="HEY589" s="219"/>
      <c r="HEZ589" s="219"/>
      <c r="HFA589" s="219"/>
      <c r="HFB589" s="219"/>
      <c r="HFC589" s="219"/>
      <c r="HFD589" s="219"/>
      <c r="HFE589" s="219"/>
      <c r="HFF589" s="219"/>
      <c r="HFG589" s="219"/>
      <c r="HFH589" s="219"/>
      <c r="HFI589" s="219"/>
      <c r="HFJ589" s="219"/>
      <c r="HFK589" s="219"/>
      <c r="HFL589" s="219"/>
      <c r="HFM589" s="219"/>
      <c r="HFN589" s="219"/>
      <c r="HFO589" s="219"/>
      <c r="HFP589" s="219"/>
      <c r="HFQ589" s="219"/>
      <c r="HFR589" s="219"/>
      <c r="HFS589" s="219"/>
      <c r="HFT589" s="219"/>
      <c r="HFU589" s="219"/>
      <c r="HFV589" s="219"/>
      <c r="HFW589" s="219"/>
      <c r="HFX589" s="219"/>
      <c r="HFY589" s="219"/>
      <c r="HFZ589" s="219"/>
      <c r="HGA589" s="219"/>
      <c r="HGB589" s="219"/>
      <c r="HGC589" s="219"/>
      <c r="HGD589" s="219"/>
      <c r="HGE589" s="219"/>
      <c r="HGF589" s="219"/>
      <c r="HGG589" s="219"/>
      <c r="HGH589" s="219"/>
      <c r="HGI589" s="219"/>
      <c r="HGJ589" s="219"/>
      <c r="HGK589" s="219"/>
      <c r="HGL589" s="219"/>
      <c r="HGM589" s="219"/>
      <c r="HGN589" s="219"/>
      <c r="HGO589" s="219"/>
      <c r="HGP589" s="219"/>
      <c r="HGQ589" s="219"/>
      <c r="HGR589" s="219"/>
      <c r="HGS589" s="219"/>
      <c r="HGT589" s="219"/>
      <c r="HGU589" s="219"/>
      <c r="HGV589" s="219"/>
      <c r="HGW589" s="219"/>
      <c r="HGX589" s="219"/>
      <c r="HGY589" s="219"/>
      <c r="HGZ589" s="219"/>
      <c r="HHA589" s="219"/>
      <c r="HHB589" s="219"/>
      <c r="HHC589" s="219"/>
      <c r="HHD589" s="219"/>
      <c r="HHE589" s="219"/>
      <c r="HHF589" s="219"/>
      <c r="HHG589" s="219"/>
      <c r="HHH589" s="219"/>
      <c r="HHI589" s="219"/>
      <c r="HHJ589" s="219"/>
      <c r="HHK589" s="219"/>
      <c r="HHL589" s="219"/>
      <c r="HHM589" s="219"/>
      <c r="HHN589" s="219"/>
      <c r="HHO589" s="219"/>
      <c r="HHP589" s="219"/>
      <c r="HHQ589" s="219"/>
      <c r="HHR589" s="219"/>
      <c r="HHS589" s="219"/>
      <c r="HHT589" s="219"/>
      <c r="HHU589" s="219"/>
      <c r="HHV589" s="219"/>
      <c r="HHW589" s="219"/>
      <c r="HHX589" s="219"/>
      <c r="HHY589" s="219"/>
      <c r="HHZ589" s="219"/>
      <c r="HIA589" s="219"/>
      <c r="HIB589" s="219"/>
      <c r="HIC589" s="219"/>
      <c r="HID589" s="219"/>
      <c r="HIE589" s="219"/>
      <c r="HIF589" s="219"/>
      <c r="HIG589" s="219"/>
      <c r="HIH589" s="219"/>
      <c r="HII589" s="219"/>
      <c r="HIJ589" s="219"/>
      <c r="HIK589" s="219"/>
      <c r="HIL589" s="219"/>
      <c r="HIM589" s="219"/>
      <c r="HIN589" s="219"/>
      <c r="HIO589" s="219"/>
      <c r="HIP589" s="219"/>
      <c r="HIQ589" s="219"/>
      <c r="HIR589" s="219"/>
      <c r="HIS589" s="219"/>
      <c r="HIT589" s="219"/>
      <c r="HIU589" s="219"/>
      <c r="HIV589" s="219"/>
      <c r="HIW589" s="219"/>
      <c r="HIX589" s="219"/>
      <c r="HIY589" s="219"/>
      <c r="HIZ589" s="219"/>
      <c r="HJA589" s="219"/>
      <c r="HJB589" s="219"/>
      <c r="HJC589" s="219"/>
      <c r="HJD589" s="219"/>
      <c r="HJE589" s="219"/>
      <c r="HJF589" s="219"/>
      <c r="HJG589" s="219"/>
      <c r="HJH589" s="219"/>
      <c r="HJI589" s="219"/>
      <c r="HJJ589" s="219"/>
      <c r="HJK589" s="219"/>
      <c r="HJL589" s="219"/>
      <c r="HJM589" s="219"/>
      <c r="HJN589" s="219"/>
      <c r="HJO589" s="219"/>
      <c r="HJP589" s="219"/>
      <c r="HJQ589" s="219"/>
      <c r="HJR589" s="219"/>
      <c r="HJS589" s="219"/>
      <c r="HJT589" s="219"/>
      <c r="HJU589" s="219"/>
      <c r="HJV589" s="219"/>
      <c r="HJW589" s="219"/>
      <c r="HJX589" s="219"/>
      <c r="HJY589" s="219"/>
      <c r="HJZ589" s="219"/>
      <c r="HKA589" s="219"/>
      <c r="HKB589" s="219"/>
      <c r="HKC589" s="219"/>
      <c r="HKD589" s="219"/>
      <c r="HKE589" s="219"/>
      <c r="HKF589" s="219"/>
      <c r="HKG589" s="219"/>
      <c r="HKH589" s="219"/>
      <c r="HKI589" s="219"/>
      <c r="HKJ589" s="219"/>
      <c r="HKK589" s="219"/>
      <c r="HKL589" s="219"/>
      <c r="HKM589" s="219"/>
      <c r="HKN589" s="219"/>
      <c r="HKO589" s="219"/>
      <c r="HKP589" s="219"/>
      <c r="HKQ589" s="219"/>
      <c r="HKR589" s="219"/>
      <c r="HKS589" s="219"/>
      <c r="HKT589" s="219"/>
      <c r="HKU589" s="219"/>
      <c r="HKV589" s="219"/>
      <c r="HKW589" s="219"/>
      <c r="HKX589" s="219"/>
      <c r="HKY589" s="219"/>
      <c r="HKZ589" s="219"/>
      <c r="HLA589" s="219"/>
      <c r="HLB589" s="219"/>
      <c r="HLC589" s="219"/>
      <c r="HLD589" s="219"/>
      <c r="HLE589" s="219"/>
      <c r="HLF589" s="219"/>
      <c r="HLG589" s="219"/>
      <c r="HLH589" s="219"/>
      <c r="HLI589" s="219"/>
      <c r="HLJ589" s="219"/>
      <c r="HLK589" s="219"/>
      <c r="HLL589" s="219"/>
      <c r="HLM589" s="219"/>
      <c r="HLN589" s="219"/>
      <c r="HLO589" s="219"/>
      <c r="HLP589" s="219"/>
      <c r="HLQ589" s="219"/>
      <c r="HLR589" s="219"/>
      <c r="HLS589" s="219"/>
      <c r="HLT589" s="219"/>
      <c r="HLU589" s="219"/>
      <c r="HLV589" s="219"/>
      <c r="HLW589" s="219"/>
      <c r="HLX589" s="219"/>
      <c r="HLY589" s="219"/>
      <c r="HLZ589" s="219"/>
      <c r="HMA589" s="219"/>
      <c r="HMB589" s="219"/>
      <c r="HMC589" s="219"/>
      <c r="HMD589" s="219"/>
      <c r="HME589" s="219"/>
      <c r="HMF589" s="219"/>
      <c r="HMG589" s="219"/>
      <c r="HMH589" s="219"/>
      <c r="HMI589" s="219"/>
      <c r="HMJ589" s="219"/>
      <c r="HMK589" s="219"/>
      <c r="HML589" s="219"/>
      <c r="HMM589" s="219"/>
      <c r="HMN589" s="219"/>
      <c r="HMO589" s="219"/>
      <c r="HMP589" s="219"/>
      <c r="HMQ589" s="219"/>
      <c r="HMR589" s="219"/>
      <c r="HMS589" s="219"/>
      <c r="HMT589" s="219"/>
      <c r="HMU589" s="219"/>
      <c r="HMV589" s="219"/>
      <c r="HMW589" s="219"/>
      <c r="HMX589" s="219"/>
      <c r="HMY589" s="219"/>
      <c r="HMZ589" s="219"/>
      <c r="HNA589" s="219"/>
      <c r="HNB589" s="219"/>
      <c r="HNC589" s="219"/>
      <c r="HND589" s="219"/>
      <c r="HNE589" s="219"/>
      <c r="HNF589" s="219"/>
      <c r="HNG589" s="219"/>
      <c r="HNH589" s="219"/>
      <c r="HNI589" s="219"/>
      <c r="HNJ589" s="219"/>
      <c r="HNK589" s="219"/>
      <c r="HNL589" s="219"/>
      <c r="HNM589" s="219"/>
      <c r="HNN589" s="219"/>
      <c r="HNO589" s="219"/>
      <c r="HNP589" s="219"/>
      <c r="HNQ589" s="219"/>
      <c r="HNR589" s="219"/>
      <c r="HNS589" s="219"/>
      <c r="HNT589" s="219"/>
      <c r="HNU589" s="219"/>
      <c r="HNV589" s="219"/>
      <c r="HNW589" s="219"/>
      <c r="HNX589" s="219"/>
      <c r="HNY589" s="219"/>
      <c r="HNZ589" s="219"/>
      <c r="HOA589" s="219"/>
      <c r="HOB589" s="219"/>
      <c r="HOC589" s="219"/>
      <c r="HOD589" s="219"/>
      <c r="HOE589" s="219"/>
      <c r="HOF589" s="219"/>
      <c r="HOG589" s="219"/>
      <c r="HOH589" s="219"/>
      <c r="HOI589" s="219"/>
      <c r="HOJ589" s="219"/>
      <c r="HOK589" s="219"/>
      <c r="HOL589" s="219"/>
      <c r="HOM589" s="219"/>
      <c r="HON589" s="219"/>
      <c r="HOO589" s="219"/>
      <c r="HOP589" s="219"/>
      <c r="HOQ589" s="219"/>
      <c r="HOR589" s="219"/>
      <c r="HOS589" s="219"/>
      <c r="HOT589" s="219"/>
      <c r="HOU589" s="219"/>
      <c r="HOV589" s="219"/>
      <c r="HOW589" s="219"/>
      <c r="HOX589" s="219"/>
      <c r="HOY589" s="219"/>
      <c r="HOZ589" s="219"/>
      <c r="HPA589" s="219"/>
      <c r="HPB589" s="219"/>
      <c r="HPC589" s="219"/>
      <c r="HPD589" s="219"/>
      <c r="HPE589" s="219"/>
      <c r="HPF589" s="219"/>
      <c r="HPG589" s="219"/>
      <c r="HPH589" s="219"/>
      <c r="HPI589" s="219"/>
      <c r="HPJ589" s="219"/>
      <c r="HPK589" s="219"/>
      <c r="HPL589" s="219"/>
      <c r="HPM589" s="219"/>
      <c r="HPN589" s="219"/>
      <c r="HPO589" s="219"/>
      <c r="HPP589" s="219"/>
      <c r="HPQ589" s="219"/>
      <c r="HPR589" s="219"/>
      <c r="HPS589" s="219"/>
      <c r="HPT589" s="219"/>
      <c r="HPU589" s="219"/>
      <c r="HPV589" s="219"/>
      <c r="HPW589" s="219"/>
      <c r="HPX589" s="219"/>
      <c r="HPY589" s="219"/>
      <c r="HPZ589" s="219"/>
      <c r="HQA589" s="219"/>
      <c r="HQB589" s="219"/>
      <c r="HQC589" s="219"/>
      <c r="HQD589" s="219"/>
      <c r="HQE589" s="219"/>
      <c r="HQF589" s="219"/>
      <c r="HQG589" s="219"/>
      <c r="HQH589" s="219"/>
      <c r="HQI589" s="219"/>
      <c r="HQJ589" s="219"/>
      <c r="HQK589" s="219"/>
      <c r="HQL589" s="219"/>
      <c r="HQM589" s="219"/>
      <c r="HQN589" s="219"/>
      <c r="HQO589" s="219"/>
      <c r="HQP589" s="219"/>
      <c r="HQQ589" s="219"/>
      <c r="HQR589" s="219"/>
      <c r="HQS589" s="219"/>
      <c r="HQT589" s="219"/>
      <c r="HQU589" s="219"/>
      <c r="HQV589" s="219"/>
      <c r="HQW589" s="219"/>
      <c r="HQX589" s="219"/>
      <c r="HQY589" s="219"/>
      <c r="HQZ589" s="219"/>
      <c r="HRA589" s="219"/>
      <c r="HRB589" s="219"/>
      <c r="HRC589" s="219"/>
      <c r="HRD589" s="219"/>
      <c r="HRE589" s="219"/>
      <c r="HRF589" s="219"/>
      <c r="HRG589" s="219"/>
      <c r="HRH589" s="219"/>
      <c r="HRI589" s="219"/>
      <c r="HRJ589" s="219"/>
      <c r="HRK589" s="219"/>
      <c r="HRL589" s="219"/>
      <c r="HRM589" s="219"/>
      <c r="HRN589" s="219"/>
      <c r="HRO589" s="219"/>
      <c r="HRP589" s="219"/>
      <c r="HRQ589" s="219"/>
      <c r="HRR589" s="219"/>
      <c r="HRS589" s="219"/>
      <c r="HRT589" s="219"/>
      <c r="HRU589" s="219"/>
      <c r="HRV589" s="219"/>
      <c r="HRW589" s="219"/>
      <c r="HRX589" s="219"/>
      <c r="HRY589" s="219"/>
      <c r="HRZ589" s="219"/>
      <c r="HSA589" s="219"/>
      <c r="HSB589" s="219"/>
      <c r="HSC589" s="219"/>
      <c r="HSD589" s="219"/>
      <c r="HSE589" s="219"/>
      <c r="HSF589" s="219"/>
      <c r="HSG589" s="219"/>
      <c r="HSH589" s="219"/>
      <c r="HSI589" s="219"/>
      <c r="HSJ589" s="219"/>
      <c r="HSK589" s="219"/>
      <c r="HSL589" s="219"/>
      <c r="HSM589" s="219"/>
      <c r="HSN589" s="219"/>
      <c r="HSO589" s="219"/>
      <c r="HSP589" s="219"/>
      <c r="HSQ589" s="219"/>
      <c r="HSR589" s="219"/>
      <c r="HSS589" s="219"/>
      <c r="HST589" s="219"/>
      <c r="HSU589" s="219"/>
      <c r="HSV589" s="219"/>
      <c r="HSW589" s="219"/>
      <c r="HSX589" s="219"/>
      <c r="HSY589" s="219"/>
      <c r="HSZ589" s="219"/>
      <c r="HTA589" s="219"/>
      <c r="HTB589" s="219"/>
      <c r="HTC589" s="219"/>
      <c r="HTD589" s="219"/>
      <c r="HTE589" s="219"/>
      <c r="HTF589" s="219"/>
      <c r="HTG589" s="219"/>
      <c r="HTH589" s="219"/>
      <c r="HTI589" s="219"/>
      <c r="HTJ589" s="219"/>
      <c r="HTK589" s="219"/>
      <c r="HTL589" s="219"/>
      <c r="HTM589" s="219"/>
      <c r="HTN589" s="219"/>
      <c r="HTO589" s="219"/>
      <c r="HTP589" s="219"/>
      <c r="HTQ589" s="219"/>
      <c r="HTR589" s="219"/>
      <c r="HTS589" s="219"/>
      <c r="HTT589" s="219"/>
      <c r="HTU589" s="219"/>
      <c r="HTV589" s="219"/>
      <c r="HTW589" s="219"/>
      <c r="HTX589" s="219"/>
      <c r="HTY589" s="219"/>
      <c r="HTZ589" s="219"/>
      <c r="HUA589" s="219"/>
      <c r="HUB589" s="219"/>
      <c r="HUC589" s="219"/>
      <c r="HUD589" s="219"/>
      <c r="HUE589" s="219"/>
      <c r="HUF589" s="219"/>
      <c r="HUG589" s="219"/>
      <c r="HUH589" s="219"/>
      <c r="HUI589" s="219"/>
      <c r="HUJ589" s="219"/>
      <c r="HUK589" s="219"/>
      <c r="HUL589" s="219"/>
      <c r="HUM589" s="219"/>
      <c r="HUN589" s="219"/>
      <c r="HUO589" s="219"/>
      <c r="HUP589" s="219"/>
      <c r="HUQ589" s="219"/>
      <c r="HUR589" s="219"/>
      <c r="HUS589" s="219"/>
      <c r="HUT589" s="219"/>
      <c r="HUU589" s="219"/>
      <c r="HUV589" s="219"/>
      <c r="HUW589" s="219"/>
      <c r="HUX589" s="219"/>
      <c r="HUY589" s="219"/>
      <c r="HUZ589" s="219"/>
      <c r="HVA589" s="219"/>
      <c r="HVB589" s="219"/>
      <c r="HVC589" s="219"/>
      <c r="HVD589" s="219"/>
      <c r="HVE589" s="219"/>
      <c r="HVF589" s="219"/>
      <c r="HVG589" s="219"/>
      <c r="HVH589" s="219"/>
      <c r="HVI589" s="219"/>
      <c r="HVJ589" s="219"/>
      <c r="HVK589" s="219"/>
      <c r="HVL589" s="219"/>
      <c r="HVM589" s="219"/>
      <c r="HVN589" s="219"/>
      <c r="HVO589" s="219"/>
      <c r="HVP589" s="219"/>
      <c r="HVQ589" s="219"/>
      <c r="HVR589" s="219"/>
      <c r="HVS589" s="219"/>
      <c r="HVT589" s="219"/>
      <c r="HVU589" s="219"/>
      <c r="HVV589" s="219"/>
      <c r="HVW589" s="219"/>
      <c r="HVX589" s="219"/>
      <c r="HVY589" s="219"/>
      <c r="HVZ589" s="219"/>
      <c r="HWA589" s="219"/>
      <c r="HWB589" s="219"/>
      <c r="HWC589" s="219"/>
      <c r="HWD589" s="219"/>
      <c r="HWE589" s="219"/>
      <c r="HWF589" s="219"/>
      <c r="HWG589" s="219"/>
      <c r="HWH589" s="219"/>
      <c r="HWI589" s="219"/>
      <c r="HWJ589" s="219"/>
      <c r="HWK589" s="219"/>
      <c r="HWL589" s="219"/>
      <c r="HWM589" s="219"/>
      <c r="HWN589" s="219"/>
      <c r="HWO589" s="219"/>
      <c r="HWP589" s="219"/>
      <c r="HWQ589" s="219"/>
      <c r="HWR589" s="219"/>
      <c r="HWS589" s="219"/>
      <c r="HWT589" s="219"/>
      <c r="HWU589" s="219"/>
      <c r="HWV589" s="219"/>
      <c r="HWW589" s="219"/>
      <c r="HWX589" s="219"/>
      <c r="HWY589" s="219"/>
      <c r="HWZ589" s="219"/>
      <c r="HXA589" s="219"/>
      <c r="HXB589" s="219"/>
      <c r="HXC589" s="219"/>
      <c r="HXD589" s="219"/>
      <c r="HXE589" s="219"/>
      <c r="HXF589" s="219"/>
      <c r="HXG589" s="219"/>
      <c r="HXH589" s="219"/>
      <c r="HXI589" s="219"/>
      <c r="HXJ589" s="219"/>
      <c r="HXK589" s="219"/>
      <c r="HXL589" s="219"/>
      <c r="HXM589" s="219"/>
      <c r="HXN589" s="219"/>
      <c r="HXO589" s="219"/>
      <c r="HXP589" s="219"/>
      <c r="HXQ589" s="219"/>
      <c r="HXR589" s="219"/>
      <c r="HXS589" s="219"/>
      <c r="HXT589" s="219"/>
      <c r="HXU589" s="219"/>
      <c r="HXV589" s="219"/>
      <c r="HXW589" s="219"/>
      <c r="HXX589" s="219"/>
      <c r="HXY589" s="219"/>
      <c r="HXZ589" s="219"/>
      <c r="HYA589" s="219"/>
      <c r="HYB589" s="219"/>
      <c r="HYC589" s="219"/>
      <c r="HYD589" s="219"/>
      <c r="HYE589" s="219"/>
      <c r="HYF589" s="219"/>
      <c r="HYG589" s="219"/>
      <c r="HYH589" s="219"/>
      <c r="HYI589" s="219"/>
      <c r="HYJ589" s="219"/>
      <c r="HYK589" s="219"/>
      <c r="HYL589" s="219"/>
      <c r="HYM589" s="219"/>
      <c r="HYN589" s="219"/>
      <c r="HYO589" s="219"/>
      <c r="HYP589" s="219"/>
      <c r="HYQ589" s="219"/>
      <c r="HYR589" s="219"/>
      <c r="HYS589" s="219"/>
      <c r="HYT589" s="219"/>
      <c r="HYU589" s="219"/>
      <c r="HYV589" s="219"/>
      <c r="HYW589" s="219"/>
      <c r="HYX589" s="219"/>
      <c r="HYY589" s="219"/>
      <c r="HYZ589" s="219"/>
      <c r="HZA589" s="219"/>
      <c r="HZB589" s="219"/>
      <c r="HZC589" s="219"/>
      <c r="HZD589" s="219"/>
      <c r="HZE589" s="219"/>
      <c r="HZF589" s="219"/>
      <c r="HZG589" s="219"/>
      <c r="HZH589" s="219"/>
      <c r="HZI589" s="219"/>
      <c r="HZJ589" s="219"/>
      <c r="HZK589" s="219"/>
      <c r="HZL589" s="219"/>
      <c r="HZM589" s="219"/>
      <c r="HZN589" s="219"/>
      <c r="HZO589" s="219"/>
      <c r="HZP589" s="219"/>
      <c r="HZQ589" s="219"/>
      <c r="HZR589" s="219"/>
      <c r="HZS589" s="219"/>
      <c r="HZT589" s="219"/>
      <c r="HZU589" s="219"/>
      <c r="HZV589" s="219"/>
      <c r="HZW589" s="219"/>
      <c r="HZX589" s="219"/>
      <c r="HZY589" s="219"/>
      <c r="HZZ589" s="219"/>
      <c r="IAA589" s="219"/>
      <c r="IAB589" s="219"/>
      <c r="IAC589" s="219"/>
      <c r="IAD589" s="219"/>
      <c r="IAE589" s="219"/>
      <c r="IAF589" s="219"/>
      <c r="IAG589" s="219"/>
      <c r="IAH589" s="219"/>
      <c r="IAI589" s="219"/>
      <c r="IAJ589" s="219"/>
      <c r="IAK589" s="219"/>
      <c r="IAL589" s="219"/>
      <c r="IAM589" s="219"/>
      <c r="IAN589" s="219"/>
      <c r="IAO589" s="219"/>
      <c r="IAP589" s="219"/>
      <c r="IAQ589" s="219"/>
      <c r="IAR589" s="219"/>
      <c r="IAS589" s="219"/>
      <c r="IAT589" s="219"/>
      <c r="IAU589" s="219"/>
      <c r="IAV589" s="219"/>
      <c r="IAW589" s="219"/>
      <c r="IAX589" s="219"/>
      <c r="IAY589" s="219"/>
      <c r="IAZ589" s="219"/>
      <c r="IBA589" s="219"/>
      <c r="IBB589" s="219"/>
      <c r="IBC589" s="219"/>
      <c r="IBD589" s="219"/>
      <c r="IBE589" s="219"/>
      <c r="IBF589" s="219"/>
      <c r="IBG589" s="219"/>
      <c r="IBH589" s="219"/>
      <c r="IBI589" s="219"/>
      <c r="IBJ589" s="219"/>
      <c r="IBK589" s="219"/>
      <c r="IBL589" s="219"/>
      <c r="IBM589" s="219"/>
      <c r="IBN589" s="219"/>
      <c r="IBO589" s="219"/>
      <c r="IBP589" s="219"/>
      <c r="IBQ589" s="219"/>
      <c r="IBR589" s="219"/>
      <c r="IBS589" s="219"/>
      <c r="IBT589" s="219"/>
      <c r="IBU589" s="219"/>
      <c r="IBV589" s="219"/>
      <c r="IBW589" s="219"/>
      <c r="IBX589" s="219"/>
      <c r="IBY589" s="219"/>
      <c r="IBZ589" s="219"/>
      <c r="ICA589" s="219"/>
      <c r="ICB589" s="219"/>
      <c r="ICC589" s="219"/>
      <c r="ICD589" s="219"/>
      <c r="ICE589" s="219"/>
      <c r="ICF589" s="219"/>
      <c r="ICG589" s="219"/>
      <c r="ICH589" s="219"/>
      <c r="ICI589" s="219"/>
      <c r="ICJ589" s="219"/>
      <c r="ICK589" s="219"/>
      <c r="ICL589" s="219"/>
      <c r="ICM589" s="219"/>
      <c r="ICN589" s="219"/>
      <c r="ICO589" s="219"/>
      <c r="ICP589" s="219"/>
      <c r="ICQ589" s="219"/>
      <c r="ICR589" s="219"/>
      <c r="ICS589" s="219"/>
      <c r="ICT589" s="219"/>
      <c r="ICU589" s="219"/>
      <c r="ICV589" s="219"/>
      <c r="ICW589" s="219"/>
      <c r="ICX589" s="219"/>
      <c r="ICY589" s="219"/>
      <c r="ICZ589" s="219"/>
      <c r="IDA589" s="219"/>
      <c r="IDB589" s="219"/>
      <c r="IDC589" s="219"/>
      <c r="IDD589" s="219"/>
      <c r="IDE589" s="219"/>
      <c r="IDF589" s="219"/>
      <c r="IDG589" s="219"/>
      <c r="IDH589" s="219"/>
      <c r="IDI589" s="219"/>
      <c r="IDJ589" s="219"/>
      <c r="IDK589" s="219"/>
      <c r="IDL589" s="219"/>
      <c r="IDM589" s="219"/>
      <c r="IDN589" s="219"/>
      <c r="IDO589" s="219"/>
      <c r="IDP589" s="219"/>
      <c r="IDQ589" s="219"/>
      <c r="IDR589" s="219"/>
      <c r="IDS589" s="219"/>
      <c r="IDT589" s="219"/>
      <c r="IDU589" s="219"/>
      <c r="IDV589" s="219"/>
      <c r="IDW589" s="219"/>
      <c r="IDX589" s="219"/>
      <c r="IDY589" s="219"/>
      <c r="IDZ589" s="219"/>
      <c r="IEA589" s="219"/>
      <c r="IEB589" s="219"/>
      <c r="IEC589" s="219"/>
      <c r="IED589" s="219"/>
      <c r="IEE589" s="219"/>
      <c r="IEF589" s="219"/>
      <c r="IEG589" s="219"/>
      <c r="IEH589" s="219"/>
      <c r="IEI589" s="219"/>
      <c r="IEJ589" s="219"/>
      <c r="IEK589" s="219"/>
      <c r="IEL589" s="219"/>
      <c r="IEM589" s="219"/>
      <c r="IEN589" s="219"/>
      <c r="IEO589" s="219"/>
      <c r="IEP589" s="219"/>
      <c r="IEQ589" s="219"/>
      <c r="IER589" s="219"/>
      <c r="IES589" s="219"/>
      <c r="IET589" s="219"/>
      <c r="IEU589" s="219"/>
      <c r="IEV589" s="219"/>
      <c r="IEW589" s="219"/>
      <c r="IEX589" s="219"/>
      <c r="IEY589" s="219"/>
      <c r="IEZ589" s="219"/>
      <c r="IFA589" s="219"/>
      <c r="IFB589" s="219"/>
      <c r="IFC589" s="219"/>
      <c r="IFD589" s="219"/>
      <c r="IFE589" s="219"/>
      <c r="IFF589" s="219"/>
      <c r="IFG589" s="219"/>
      <c r="IFH589" s="219"/>
      <c r="IFI589" s="219"/>
      <c r="IFJ589" s="219"/>
      <c r="IFK589" s="219"/>
      <c r="IFL589" s="219"/>
      <c r="IFM589" s="219"/>
      <c r="IFN589" s="219"/>
      <c r="IFO589" s="219"/>
      <c r="IFP589" s="219"/>
      <c r="IFQ589" s="219"/>
      <c r="IFR589" s="219"/>
      <c r="IFS589" s="219"/>
      <c r="IFT589" s="219"/>
      <c r="IFU589" s="219"/>
      <c r="IFV589" s="219"/>
      <c r="IFW589" s="219"/>
      <c r="IFX589" s="219"/>
      <c r="IFY589" s="219"/>
      <c r="IFZ589" s="219"/>
      <c r="IGA589" s="219"/>
      <c r="IGB589" s="219"/>
      <c r="IGC589" s="219"/>
      <c r="IGD589" s="219"/>
      <c r="IGE589" s="219"/>
      <c r="IGF589" s="219"/>
      <c r="IGG589" s="219"/>
      <c r="IGH589" s="219"/>
      <c r="IGI589" s="219"/>
      <c r="IGJ589" s="219"/>
      <c r="IGK589" s="219"/>
      <c r="IGL589" s="219"/>
      <c r="IGM589" s="219"/>
      <c r="IGN589" s="219"/>
      <c r="IGO589" s="219"/>
      <c r="IGP589" s="219"/>
      <c r="IGQ589" s="219"/>
      <c r="IGR589" s="219"/>
      <c r="IGS589" s="219"/>
      <c r="IGT589" s="219"/>
      <c r="IGU589" s="219"/>
      <c r="IGV589" s="219"/>
      <c r="IGW589" s="219"/>
      <c r="IGX589" s="219"/>
      <c r="IGY589" s="219"/>
      <c r="IGZ589" s="219"/>
      <c r="IHA589" s="219"/>
      <c r="IHB589" s="219"/>
      <c r="IHC589" s="219"/>
      <c r="IHD589" s="219"/>
      <c r="IHE589" s="219"/>
      <c r="IHF589" s="219"/>
      <c r="IHG589" s="219"/>
      <c r="IHH589" s="219"/>
      <c r="IHI589" s="219"/>
      <c r="IHJ589" s="219"/>
      <c r="IHK589" s="219"/>
      <c r="IHL589" s="219"/>
      <c r="IHM589" s="219"/>
      <c r="IHN589" s="219"/>
      <c r="IHO589" s="219"/>
      <c r="IHP589" s="219"/>
      <c r="IHQ589" s="219"/>
      <c r="IHR589" s="219"/>
      <c r="IHS589" s="219"/>
      <c r="IHT589" s="219"/>
      <c r="IHU589" s="219"/>
      <c r="IHV589" s="219"/>
      <c r="IHW589" s="219"/>
      <c r="IHX589" s="219"/>
      <c r="IHY589" s="219"/>
      <c r="IHZ589" s="219"/>
      <c r="IIA589" s="219"/>
      <c r="IIB589" s="219"/>
      <c r="IIC589" s="219"/>
      <c r="IID589" s="219"/>
      <c r="IIE589" s="219"/>
      <c r="IIF589" s="219"/>
      <c r="IIG589" s="219"/>
      <c r="IIH589" s="219"/>
      <c r="III589" s="219"/>
      <c r="IIJ589" s="219"/>
      <c r="IIK589" s="219"/>
      <c r="IIL589" s="219"/>
      <c r="IIM589" s="219"/>
      <c r="IIN589" s="219"/>
      <c r="IIO589" s="219"/>
      <c r="IIP589" s="219"/>
      <c r="IIQ589" s="219"/>
      <c r="IIR589" s="219"/>
      <c r="IIS589" s="219"/>
      <c r="IIT589" s="219"/>
      <c r="IIU589" s="219"/>
      <c r="IIV589" s="219"/>
      <c r="IIW589" s="219"/>
      <c r="IIX589" s="219"/>
      <c r="IIY589" s="219"/>
      <c r="IIZ589" s="219"/>
      <c r="IJA589" s="219"/>
      <c r="IJB589" s="219"/>
      <c r="IJC589" s="219"/>
      <c r="IJD589" s="219"/>
      <c r="IJE589" s="219"/>
      <c r="IJF589" s="219"/>
      <c r="IJG589" s="219"/>
      <c r="IJH589" s="219"/>
      <c r="IJI589" s="219"/>
      <c r="IJJ589" s="219"/>
      <c r="IJK589" s="219"/>
      <c r="IJL589" s="219"/>
      <c r="IJM589" s="219"/>
      <c r="IJN589" s="219"/>
      <c r="IJO589" s="219"/>
      <c r="IJP589" s="219"/>
      <c r="IJQ589" s="219"/>
      <c r="IJR589" s="219"/>
      <c r="IJS589" s="219"/>
      <c r="IJT589" s="219"/>
      <c r="IJU589" s="219"/>
      <c r="IJV589" s="219"/>
      <c r="IJW589" s="219"/>
      <c r="IJX589" s="219"/>
      <c r="IJY589" s="219"/>
      <c r="IJZ589" s="219"/>
      <c r="IKA589" s="219"/>
      <c r="IKB589" s="219"/>
      <c r="IKC589" s="219"/>
      <c r="IKD589" s="219"/>
      <c r="IKE589" s="219"/>
      <c r="IKF589" s="219"/>
      <c r="IKG589" s="219"/>
      <c r="IKH589" s="219"/>
      <c r="IKI589" s="219"/>
      <c r="IKJ589" s="219"/>
      <c r="IKK589" s="219"/>
      <c r="IKL589" s="219"/>
      <c r="IKM589" s="219"/>
      <c r="IKN589" s="219"/>
      <c r="IKO589" s="219"/>
      <c r="IKP589" s="219"/>
      <c r="IKQ589" s="219"/>
      <c r="IKR589" s="219"/>
      <c r="IKS589" s="219"/>
      <c r="IKT589" s="219"/>
      <c r="IKU589" s="219"/>
      <c r="IKV589" s="219"/>
      <c r="IKW589" s="219"/>
      <c r="IKX589" s="219"/>
      <c r="IKY589" s="219"/>
      <c r="IKZ589" s="219"/>
      <c r="ILA589" s="219"/>
      <c r="ILB589" s="219"/>
      <c r="ILC589" s="219"/>
      <c r="ILD589" s="219"/>
      <c r="ILE589" s="219"/>
      <c r="ILF589" s="219"/>
      <c r="ILG589" s="219"/>
      <c r="ILH589" s="219"/>
      <c r="ILI589" s="219"/>
      <c r="ILJ589" s="219"/>
      <c r="ILK589" s="219"/>
      <c r="ILL589" s="219"/>
      <c r="ILM589" s="219"/>
      <c r="ILN589" s="219"/>
      <c r="ILO589" s="219"/>
      <c r="ILP589" s="219"/>
      <c r="ILQ589" s="219"/>
      <c r="ILR589" s="219"/>
      <c r="ILS589" s="219"/>
      <c r="ILT589" s="219"/>
      <c r="ILU589" s="219"/>
      <c r="ILV589" s="219"/>
      <c r="ILW589" s="219"/>
      <c r="ILX589" s="219"/>
      <c r="ILY589" s="219"/>
      <c r="ILZ589" s="219"/>
      <c r="IMA589" s="219"/>
      <c r="IMB589" s="219"/>
      <c r="IMC589" s="219"/>
      <c r="IMD589" s="219"/>
      <c r="IME589" s="219"/>
      <c r="IMF589" s="219"/>
      <c r="IMG589" s="219"/>
      <c r="IMH589" s="219"/>
      <c r="IMI589" s="219"/>
      <c r="IMJ589" s="219"/>
      <c r="IMK589" s="219"/>
      <c r="IML589" s="219"/>
      <c r="IMM589" s="219"/>
      <c r="IMN589" s="219"/>
      <c r="IMO589" s="219"/>
      <c r="IMP589" s="219"/>
      <c r="IMQ589" s="219"/>
      <c r="IMR589" s="219"/>
      <c r="IMS589" s="219"/>
      <c r="IMT589" s="219"/>
      <c r="IMU589" s="219"/>
      <c r="IMV589" s="219"/>
      <c r="IMW589" s="219"/>
      <c r="IMX589" s="219"/>
      <c r="IMY589" s="219"/>
      <c r="IMZ589" s="219"/>
      <c r="INA589" s="219"/>
      <c r="INB589" s="219"/>
      <c r="INC589" s="219"/>
      <c r="IND589" s="219"/>
      <c r="INE589" s="219"/>
      <c r="INF589" s="219"/>
      <c r="ING589" s="219"/>
      <c r="INH589" s="219"/>
      <c r="INI589" s="219"/>
      <c r="INJ589" s="219"/>
      <c r="INK589" s="219"/>
      <c r="INL589" s="219"/>
      <c r="INM589" s="219"/>
      <c r="INN589" s="219"/>
      <c r="INO589" s="219"/>
      <c r="INP589" s="219"/>
      <c r="INQ589" s="219"/>
      <c r="INR589" s="219"/>
      <c r="INS589" s="219"/>
      <c r="INT589" s="219"/>
      <c r="INU589" s="219"/>
      <c r="INV589" s="219"/>
      <c r="INW589" s="219"/>
      <c r="INX589" s="219"/>
      <c r="INY589" s="219"/>
      <c r="INZ589" s="219"/>
      <c r="IOA589" s="219"/>
      <c r="IOB589" s="219"/>
      <c r="IOC589" s="219"/>
      <c r="IOD589" s="219"/>
      <c r="IOE589" s="219"/>
      <c r="IOF589" s="219"/>
      <c r="IOG589" s="219"/>
      <c r="IOH589" s="219"/>
      <c r="IOI589" s="219"/>
      <c r="IOJ589" s="219"/>
      <c r="IOK589" s="219"/>
      <c r="IOL589" s="219"/>
      <c r="IOM589" s="219"/>
      <c r="ION589" s="219"/>
      <c r="IOO589" s="219"/>
      <c r="IOP589" s="219"/>
      <c r="IOQ589" s="219"/>
      <c r="IOR589" s="219"/>
      <c r="IOS589" s="219"/>
      <c r="IOT589" s="219"/>
      <c r="IOU589" s="219"/>
      <c r="IOV589" s="219"/>
      <c r="IOW589" s="219"/>
      <c r="IOX589" s="219"/>
      <c r="IOY589" s="219"/>
      <c r="IOZ589" s="219"/>
      <c r="IPA589" s="219"/>
      <c r="IPB589" s="219"/>
      <c r="IPC589" s="219"/>
      <c r="IPD589" s="219"/>
      <c r="IPE589" s="219"/>
      <c r="IPF589" s="219"/>
      <c r="IPG589" s="219"/>
      <c r="IPH589" s="219"/>
      <c r="IPI589" s="219"/>
      <c r="IPJ589" s="219"/>
      <c r="IPK589" s="219"/>
      <c r="IPL589" s="219"/>
      <c r="IPM589" s="219"/>
      <c r="IPN589" s="219"/>
      <c r="IPO589" s="219"/>
      <c r="IPP589" s="219"/>
      <c r="IPQ589" s="219"/>
      <c r="IPR589" s="219"/>
      <c r="IPS589" s="219"/>
      <c r="IPT589" s="219"/>
      <c r="IPU589" s="219"/>
      <c r="IPV589" s="219"/>
      <c r="IPW589" s="219"/>
      <c r="IPX589" s="219"/>
      <c r="IPY589" s="219"/>
      <c r="IPZ589" s="219"/>
      <c r="IQA589" s="219"/>
      <c r="IQB589" s="219"/>
      <c r="IQC589" s="219"/>
      <c r="IQD589" s="219"/>
      <c r="IQE589" s="219"/>
      <c r="IQF589" s="219"/>
      <c r="IQG589" s="219"/>
      <c r="IQH589" s="219"/>
      <c r="IQI589" s="219"/>
      <c r="IQJ589" s="219"/>
      <c r="IQK589" s="219"/>
      <c r="IQL589" s="219"/>
      <c r="IQM589" s="219"/>
      <c r="IQN589" s="219"/>
      <c r="IQO589" s="219"/>
      <c r="IQP589" s="219"/>
      <c r="IQQ589" s="219"/>
      <c r="IQR589" s="219"/>
      <c r="IQS589" s="219"/>
      <c r="IQT589" s="219"/>
      <c r="IQU589" s="219"/>
      <c r="IQV589" s="219"/>
      <c r="IQW589" s="219"/>
      <c r="IQX589" s="219"/>
      <c r="IQY589" s="219"/>
      <c r="IQZ589" s="219"/>
      <c r="IRA589" s="219"/>
      <c r="IRB589" s="219"/>
      <c r="IRC589" s="219"/>
      <c r="IRD589" s="219"/>
      <c r="IRE589" s="219"/>
      <c r="IRF589" s="219"/>
      <c r="IRG589" s="219"/>
      <c r="IRH589" s="219"/>
      <c r="IRI589" s="219"/>
      <c r="IRJ589" s="219"/>
      <c r="IRK589" s="219"/>
      <c r="IRL589" s="219"/>
      <c r="IRM589" s="219"/>
      <c r="IRN589" s="219"/>
      <c r="IRO589" s="219"/>
      <c r="IRP589" s="219"/>
      <c r="IRQ589" s="219"/>
      <c r="IRR589" s="219"/>
      <c r="IRS589" s="219"/>
      <c r="IRT589" s="219"/>
      <c r="IRU589" s="219"/>
      <c r="IRV589" s="219"/>
      <c r="IRW589" s="219"/>
      <c r="IRX589" s="219"/>
      <c r="IRY589" s="219"/>
      <c r="IRZ589" s="219"/>
      <c r="ISA589" s="219"/>
      <c r="ISB589" s="219"/>
      <c r="ISC589" s="219"/>
      <c r="ISD589" s="219"/>
      <c r="ISE589" s="219"/>
      <c r="ISF589" s="219"/>
      <c r="ISG589" s="219"/>
      <c r="ISH589" s="219"/>
      <c r="ISI589" s="219"/>
      <c r="ISJ589" s="219"/>
      <c r="ISK589" s="219"/>
      <c r="ISL589" s="219"/>
      <c r="ISM589" s="219"/>
      <c r="ISN589" s="219"/>
      <c r="ISO589" s="219"/>
      <c r="ISP589" s="219"/>
      <c r="ISQ589" s="219"/>
      <c r="ISR589" s="219"/>
      <c r="ISS589" s="219"/>
      <c r="IST589" s="219"/>
      <c r="ISU589" s="219"/>
      <c r="ISV589" s="219"/>
      <c r="ISW589" s="219"/>
      <c r="ISX589" s="219"/>
      <c r="ISY589" s="219"/>
      <c r="ISZ589" s="219"/>
      <c r="ITA589" s="219"/>
      <c r="ITB589" s="219"/>
      <c r="ITC589" s="219"/>
      <c r="ITD589" s="219"/>
      <c r="ITE589" s="219"/>
      <c r="ITF589" s="219"/>
      <c r="ITG589" s="219"/>
      <c r="ITH589" s="219"/>
      <c r="ITI589" s="219"/>
      <c r="ITJ589" s="219"/>
      <c r="ITK589" s="219"/>
      <c r="ITL589" s="219"/>
      <c r="ITM589" s="219"/>
      <c r="ITN589" s="219"/>
      <c r="ITO589" s="219"/>
      <c r="ITP589" s="219"/>
      <c r="ITQ589" s="219"/>
      <c r="ITR589" s="219"/>
      <c r="ITS589" s="219"/>
      <c r="ITT589" s="219"/>
      <c r="ITU589" s="219"/>
      <c r="ITV589" s="219"/>
      <c r="ITW589" s="219"/>
      <c r="ITX589" s="219"/>
      <c r="ITY589" s="219"/>
      <c r="ITZ589" s="219"/>
      <c r="IUA589" s="219"/>
      <c r="IUB589" s="219"/>
      <c r="IUC589" s="219"/>
      <c r="IUD589" s="219"/>
      <c r="IUE589" s="219"/>
      <c r="IUF589" s="219"/>
      <c r="IUG589" s="219"/>
      <c r="IUH589" s="219"/>
      <c r="IUI589" s="219"/>
      <c r="IUJ589" s="219"/>
      <c r="IUK589" s="219"/>
      <c r="IUL589" s="219"/>
      <c r="IUM589" s="219"/>
      <c r="IUN589" s="219"/>
      <c r="IUO589" s="219"/>
      <c r="IUP589" s="219"/>
      <c r="IUQ589" s="219"/>
      <c r="IUR589" s="219"/>
      <c r="IUS589" s="219"/>
      <c r="IUT589" s="219"/>
      <c r="IUU589" s="219"/>
      <c r="IUV589" s="219"/>
      <c r="IUW589" s="219"/>
      <c r="IUX589" s="219"/>
      <c r="IUY589" s="219"/>
      <c r="IUZ589" s="219"/>
      <c r="IVA589" s="219"/>
      <c r="IVB589" s="219"/>
      <c r="IVC589" s="219"/>
      <c r="IVD589" s="219"/>
      <c r="IVE589" s="219"/>
      <c r="IVF589" s="219"/>
      <c r="IVG589" s="219"/>
      <c r="IVH589" s="219"/>
      <c r="IVI589" s="219"/>
      <c r="IVJ589" s="219"/>
      <c r="IVK589" s="219"/>
      <c r="IVL589" s="219"/>
      <c r="IVM589" s="219"/>
      <c r="IVN589" s="219"/>
      <c r="IVO589" s="219"/>
      <c r="IVP589" s="219"/>
      <c r="IVQ589" s="219"/>
      <c r="IVR589" s="219"/>
      <c r="IVS589" s="219"/>
      <c r="IVT589" s="219"/>
      <c r="IVU589" s="219"/>
      <c r="IVV589" s="219"/>
      <c r="IVW589" s="219"/>
      <c r="IVX589" s="219"/>
      <c r="IVY589" s="219"/>
      <c r="IVZ589" s="219"/>
      <c r="IWA589" s="219"/>
      <c r="IWB589" s="219"/>
      <c r="IWC589" s="219"/>
      <c r="IWD589" s="219"/>
      <c r="IWE589" s="219"/>
      <c r="IWF589" s="219"/>
      <c r="IWG589" s="219"/>
      <c r="IWH589" s="219"/>
      <c r="IWI589" s="219"/>
      <c r="IWJ589" s="219"/>
      <c r="IWK589" s="219"/>
      <c r="IWL589" s="219"/>
      <c r="IWM589" s="219"/>
      <c r="IWN589" s="219"/>
      <c r="IWO589" s="219"/>
      <c r="IWP589" s="219"/>
      <c r="IWQ589" s="219"/>
      <c r="IWR589" s="219"/>
      <c r="IWS589" s="219"/>
      <c r="IWT589" s="219"/>
      <c r="IWU589" s="219"/>
      <c r="IWV589" s="219"/>
      <c r="IWW589" s="219"/>
      <c r="IWX589" s="219"/>
      <c r="IWY589" s="219"/>
      <c r="IWZ589" s="219"/>
      <c r="IXA589" s="219"/>
      <c r="IXB589" s="219"/>
      <c r="IXC589" s="219"/>
      <c r="IXD589" s="219"/>
      <c r="IXE589" s="219"/>
      <c r="IXF589" s="219"/>
      <c r="IXG589" s="219"/>
      <c r="IXH589" s="219"/>
      <c r="IXI589" s="219"/>
      <c r="IXJ589" s="219"/>
      <c r="IXK589" s="219"/>
      <c r="IXL589" s="219"/>
      <c r="IXM589" s="219"/>
      <c r="IXN589" s="219"/>
      <c r="IXO589" s="219"/>
      <c r="IXP589" s="219"/>
      <c r="IXQ589" s="219"/>
      <c r="IXR589" s="219"/>
      <c r="IXS589" s="219"/>
      <c r="IXT589" s="219"/>
      <c r="IXU589" s="219"/>
      <c r="IXV589" s="219"/>
      <c r="IXW589" s="219"/>
      <c r="IXX589" s="219"/>
      <c r="IXY589" s="219"/>
      <c r="IXZ589" s="219"/>
      <c r="IYA589" s="219"/>
      <c r="IYB589" s="219"/>
      <c r="IYC589" s="219"/>
      <c r="IYD589" s="219"/>
      <c r="IYE589" s="219"/>
      <c r="IYF589" s="219"/>
      <c r="IYG589" s="219"/>
      <c r="IYH589" s="219"/>
      <c r="IYI589" s="219"/>
      <c r="IYJ589" s="219"/>
      <c r="IYK589" s="219"/>
      <c r="IYL589" s="219"/>
      <c r="IYM589" s="219"/>
      <c r="IYN589" s="219"/>
      <c r="IYO589" s="219"/>
      <c r="IYP589" s="219"/>
      <c r="IYQ589" s="219"/>
      <c r="IYR589" s="219"/>
      <c r="IYS589" s="219"/>
      <c r="IYT589" s="219"/>
      <c r="IYU589" s="219"/>
      <c r="IYV589" s="219"/>
      <c r="IYW589" s="219"/>
      <c r="IYX589" s="219"/>
      <c r="IYY589" s="219"/>
      <c r="IYZ589" s="219"/>
      <c r="IZA589" s="219"/>
      <c r="IZB589" s="219"/>
      <c r="IZC589" s="219"/>
      <c r="IZD589" s="219"/>
      <c r="IZE589" s="219"/>
      <c r="IZF589" s="219"/>
      <c r="IZG589" s="219"/>
      <c r="IZH589" s="219"/>
      <c r="IZI589" s="219"/>
      <c r="IZJ589" s="219"/>
      <c r="IZK589" s="219"/>
      <c r="IZL589" s="219"/>
      <c r="IZM589" s="219"/>
      <c r="IZN589" s="219"/>
      <c r="IZO589" s="219"/>
      <c r="IZP589" s="219"/>
      <c r="IZQ589" s="219"/>
      <c r="IZR589" s="219"/>
      <c r="IZS589" s="219"/>
      <c r="IZT589" s="219"/>
      <c r="IZU589" s="219"/>
      <c r="IZV589" s="219"/>
      <c r="IZW589" s="219"/>
      <c r="IZX589" s="219"/>
      <c r="IZY589" s="219"/>
      <c r="IZZ589" s="219"/>
      <c r="JAA589" s="219"/>
      <c r="JAB589" s="219"/>
      <c r="JAC589" s="219"/>
      <c r="JAD589" s="219"/>
      <c r="JAE589" s="219"/>
      <c r="JAF589" s="219"/>
      <c r="JAG589" s="219"/>
      <c r="JAH589" s="219"/>
      <c r="JAI589" s="219"/>
      <c r="JAJ589" s="219"/>
      <c r="JAK589" s="219"/>
      <c r="JAL589" s="219"/>
      <c r="JAM589" s="219"/>
      <c r="JAN589" s="219"/>
      <c r="JAO589" s="219"/>
      <c r="JAP589" s="219"/>
      <c r="JAQ589" s="219"/>
      <c r="JAR589" s="219"/>
      <c r="JAS589" s="219"/>
      <c r="JAT589" s="219"/>
      <c r="JAU589" s="219"/>
      <c r="JAV589" s="219"/>
      <c r="JAW589" s="219"/>
      <c r="JAX589" s="219"/>
      <c r="JAY589" s="219"/>
      <c r="JAZ589" s="219"/>
      <c r="JBA589" s="219"/>
      <c r="JBB589" s="219"/>
      <c r="JBC589" s="219"/>
      <c r="JBD589" s="219"/>
      <c r="JBE589" s="219"/>
      <c r="JBF589" s="219"/>
      <c r="JBG589" s="219"/>
      <c r="JBH589" s="219"/>
      <c r="JBI589" s="219"/>
      <c r="JBJ589" s="219"/>
      <c r="JBK589" s="219"/>
      <c r="JBL589" s="219"/>
      <c r="JBM589" s="219"/>
      <c r="JBN589" s="219"/>
      <c r="JBO589" s="219"/>
      <c r="JBP589" s="219"/>
      <c r="JBQ589" s="219"/>
      <c r="JBR589" s="219"/>
      <c r="JBS589" s="219"/>
      <c r="JBT589" s="219"/>
      <c r="JBU589" s="219"/>
      <c r="JBV589" s="219"/>
      <c r="JBW589" s="219"/>
      <c r="JBX589" s="219"/>
      <c r="JBY589" s="219"/>
      <c r="JBZ589" s="219"/>
      <c r="JCA589" s="219"/>
      <c r="JCB589" s="219"/>
      <c r="JCC589" s="219"/>
      <c r="JCD589" s="219"/>
      <c r="JCE589" s="219"/>
      <c r="JCF589" s="219"/>
      <c r="JCG589" s="219"/>
      <c r="JCH589" s="219"/>
      <c r="JCI589" s="219"/>
      <c r="JCJ589" s="219"/>
      <c r="JCK589" s="219"/>
      <c r="JCL589" s="219"/>
      <c r="JCM589" s="219"/>
      <c r="JCN589" s="219"/>
      <c r="JCO589" s="219"/>
      <c r="JCP589" s="219"/>
      <c r="JCQ589" s="219"/>
      <c r="JCR589" s="219"/>
      <c r="JCS589" s="219"/>
      <c r="JCT589" s="219"/>
      <c r="JCU589" s="219"/>
      <c r="JCV589" s="219"/>
      <c r="JCW589" s="219"/>
      <c r="JCX589" s="219"/>
      <c r="JCY589" s="219"/>
      <c r="JCZ589" s="219"/>
      <c r="JDA589" s="219"/>
      <c r="JDB589" s="219"/>
      <c r="JDC589" s="219"/>
      <c r="JDD589" s="219"/>
      <c r="JDE589" s="219"/>
      <c r="JDF589" s="219"/>
      <c r="JDG589" s="219"/>
      <c r="JDH589" s="219"/>
      <c r="JDI589" s="219"/>
      <c r="JDJ589" s="219"/>
      <c r="JDK589" s="219"/>
      <c r="JDL589" s="219"/>
      <c r="JDM589" s="219"/>
      <c r="JDN589" s="219"/>
      <c r="JDO589" s="219"/>
      <c r="JDP589" s="219"/>
      <c r="JDQ589" s="219"/>
      <c r="JDR589" s="219"/>
      <c r="JDS589" s="219"/>
      <c r="JDT589" s="219"/>
      <c r="JDU589" s="219"/>
      <c r="JDV589" s="219"/>
      <c r="JDW589" s="219"/>
      <c r="JDX589" s="219"/>
      <c r="JDY589" s="219"/>
      <c r="JDZ589" s="219"/>
      <c r="JEA589" s="219"/>
      <c r="JEB589" s="219"/>
      <c r="JEC589" s="219"/>
      <c r="JED589" s="219"/>
      <c r="JEE589" s="219"/>
      <c r="JEF589" s="219"/>
      <c r="JEG589" s="219"/>
      <c r="JEH589" s="219"/>
      <c r="JEI589" s="219"/>
      <c r="JEJ589" s="219"/>
      <c r="JEK589" s="219"/>
      <c r="JEL589" s="219"/>
      <c r="JEM589" s="219"/>
      <c r="JEN589" s="219"/>
      <c r="JEO589" s="219"/>
      <c r="JEP589" s="219"/>
      <c r="JEQ589" s="219"/>
      <c r="JER589" s="219"/>
      <c r="JES589" s="219"/>
      <c r="JET589" s="219"/>
      <c r="JEU589" s="219"/>
      <c r="JEV589" s="219"/>
      <c r="JEW589" s="219"/>
      <c r="JEX589" s="219"/>
      <c r="JEY589" s="219"/>
      <c r="JEZ589" s="219"/>
      <c r="JFA589" s="219"/>
      <c r="JFB589" s="219"/>
      <c r="JFC589" s="219"/>
      <c r="JFD589" s="219"/>
      <c r="JFE589" s="219"/>
      <c r="JFF589" s="219"/>
      <c r="JFG589" s="219"/>
      <c r="JFH589" s="219"/>
      <c r="JFI589" s="219"/>
      <c r="JFJ589" s="219"/>
      <c r="JFK589" s="219"/>
      <c r="JFL589" s="219"/>
      <c r="JFM589" s="219"/>
      <c r="JFN589" s="219"/>
      <c r="JFO589" s="219"/>
      <c r="JFP589" s="219"/>
      <c r="JFQ589" s="219"/>
      <c r="JFR589" s="219"/>
      <c r="JFS589" s="219"/>
      <c r="JFT589" s="219"/>
      <c r="JFU589" s="219"/>
      <c r="JFV589" s="219"/>
      <c r="JFW589" s="219"/>
      <c r="JFX589" s="219"/>
      <c r="JFY589" s="219"/>
      <c r="JFZ589" s="219"/>
      <c r="JGA589" s="219"/>
      <c r="JGB589" s="219"/>
      <c r="JGC589" s="219"/>
      <c r="JGD589" s="219"/>
      <c r="JGE589" s="219"/>
      <c r="JGF589" s="219"/>
      <c r="JGG589" s="219"/>
      <c r="JGH589" s="219"/>
      <c r="JGI589" s="219"/>
      <c r="JGJ589" s="219"/>
      <c r="JGK589" s="219"/>
      <c r="JGL589" s="219"/>
      <c r="JGM589" s="219"/>
      <c r="JGN589" s="219"/>
      <c r="JGO589" s="219"/>
      <c r="JGP589" s="219"/>
      <c r="JGQ589" s="219"/>
      <c r="JGR589" s="219"/>
      <c r="JGS589" s="219"/>
      <c r="JGT589" s="219"/>
      <c r="JGU589" s="219"/>
      <c r="JGV589" s="219"/>
      <c r="JGW589" s="219"/>
      <c r="JGX589" s="219"/>
      <c r="JGY589" s="219"/>
      <c r="JGZ589" s="219"/>
      <c r="JHA589" s="219"/>
      <c r="JHB589" s="219"/>
      <c r="JHC589" s="219"/>
      <c r="JHD589" s="219"/>
      <c r="JHE589" s="219"/>
      <c r="JHF589" s="219"/>
      <c r="JHG589" s="219"/>
      <c r="JHH589" s="219"/>
      <c r="JHI589" s="219"/>
      <c r="JHJ589" s="219"/>
      <c r="JHK589" s="219"/>
      <c r="JHL589" s="219"/>
      <c r="JHM589" s="219"/>
      <c r="JHN589" s="219"/>
      <c r="JHO589" s="219"/>
      <c r="JHP589" s="219"/>
      <c r="JHQ589" s="219"/>
      <c r="JHR589" s="219"/>
      <c r="JHS589" s="219"/>
      <c r="JHT589" s="219"/>
      <c r="JHU589" s="219"/>
      <c r="JHV589" s="219"/>
      <c r="JHW589" s="219"/>
      <c r="JHX589" s="219"/>
      <c r="JHY589" s="219"/>
      <c r="JHZ589" s="219"/>
      <c r="JIA589" s="219"/>
      <c r="JIB589" s="219"/>
      <c r="JIC589" s="219"/>
      <c r="JID589" s="219"/>
      <c r="JIE589" s="219"/>
      <c r="JIF589" s="219"/>
      <c r="JIG589" s="219"/>
      <c r="JIH589" s="219"/>
      <c r="JII589" s="219"/>
      <c r="JIJ589" s="219"/>
      <c r="JIK589" s="219"/>
      <c r="JIL589" s="219"/>
      <c r="JIM589" s="219"/>
      <c r="JIN589" s="219"/>
      <c r="JIO589" s="219"/>
      <c r="JIP589" s="219"/>
      <c r="JIQ589" s="219"/>
      <c r="JIR589" s="219"/>
      <c r="JIS589" s="219"/>
      <c r="JIT589" s="219"/>
      <c r="JIU589" s="219"/>
      <c r="JIV589" s="219"/>
      <c r="JIW589" s="219"/>
      <c r="JIX589" s="219"/>
      <c r="JIY589" s="219"/>
      <c r="JIZ589" s="219"/>
      <c r="JJA589" s="219"/>
      <c r="JJB589" s="219"/>
      <c r="JJC589" s="219"/>
      <c r="JJD589" s="219"/>
      <c r="JJE589" s="219"/>
      <c r="JJF589" s="219"/>
      <c r="JJG589" s="219"/>
      <c r="JJH589" s="219"/>
      <c r="JJI589" s="219"/>
      <c r="JJJ589" s="219"/>
      <c r="JJK589" s="219"/>
      <c r="JJL589" s="219"/>
      <c r="JJM589" s="219"/>
      <c r="JJN589" s="219"/>
      <c r="JJO589" s="219"/>
      <c r="JJP589" s="219"/>
      <c r="JJQ589" s="219"/>
      <c r="JJR589" s="219"/>
      <c r="JJS589" s="219"/>
      <c r="JJT589" s="219"/>
      <c r="JJU589" s="219"/>
      <c r="JJV589" s="219"/>
      <c r="JJW589" s="219"/>
      <c r="JJX589" s="219"/>
      <c r="JJY589" s="219"/>
      <c r="JJZ589" s="219"/>
      <c r="JKA589" s="219"/>
      <c r="JKB589" s="219"/>
      <c r="JKC589" s="219"/>
      <c r="JKD589" s="219"/>
      <c r="JKE589" s="219"/>
      <c r="JKF589" s="219"/>
      <c r="JKG589" s="219"/>
      <c r="JKH589" s="219"/>
      <c r="JKI589" s="219"/>
      <c r="JKJ589" s="219"/>
      <c r="JKK589" s="219"/>
      <c r="JKL589" s="219"/>
      <c r="JKM589" s="219"/>
      <c r="JKN589" s="219"/>
      <c r="JKO589" s="219"/>
      <c r="JKP589" s="219"/>
      <c r="JKQ589" s="219"/>
      <c r="JKR589" s="219"/>
      <c r="JKS589" s="219"/>
      <c r="JKT589" s="219"/>
      <c r="JKU589" s="219"/>
      <c r="JKV589" s="219"/>
      <c r="JKW589" s="219"/>
      <c r="JKX589" s="219"/>
      <c r="JKY589" s="219"/>
      <c r="JKZ589" s="219"/>
      <c r="JLA589" s="219"/>
      <c r="JLB589" s="219"/>
      <c r="JLC589" s="219"/>
      <c r="JLD589" s="219"/>
      <c r="JLE589" s="219"/>
      <c r="JLF589" s="219"/>
      <c r="JLG589" s="219"/>
      <c r="JLH589" s="219"/>
      <c r="JLI589" s="219"/>
      <c r="JLJ589" s="219"/>
      <c r="JLK589" s="219"/>
      <c r="JLL589" s="219"/>
      <c r="JLM589" s="219"/>
      <c r="JLN589" s="219"/>
      <c r="JLO589" s="219"/>
      <c r="JLP589" s="219"/>
      <c r="JLQ589" s="219"/>
      <c r="JLR589" s="219"/>
      <c r="JLS589" s="219"/>
      <c r="JLT589" s="219"/>
      <c r="JLU589" s="219"/>
      <c r="JLV589" s="219"/>
      <c r="JLW589" s="219"/>
      <c r="JLX589" s="219"/>
      <c r="JLY589" s="219"/>
      <c r="JLZ589" s="219"/>
      <c r="JMA589" s="219"/>
      <c r="JMB589" s="219"/>
      <c r="JMC589" s="219"/>
      <c r="JMD589" s="219"/>
      <c r="JME589" s="219"/>
      <c r="JMF589" s="219"/>
      <c r="JMG589" s="219"/>
      <c r="JMH589" s="219"/>
      <c r="JMI589" s="219"/>
      <c r="JMJ589" s="219"/>
      <c r="JMK589" s="219"/>
      <c r="JML589" s="219"/>
      <c r="JMM589" s="219"/>
      <c r="JMN589" s="219"/>
      <c r="JMO589" s="219"/>
      <c r="JMP589" s="219"/>
      <c r="JMQ589" s="219"/>
      <c r="JMR589" s="219"/>
      <c r="JMS589" s="219"/>
      <c r="JMT589" s="219"/>
      <c r="JMU589" s="219"/>
      <c r="JMV589" s="219"/>
      <c r="JMW589" s="219"/>
      <c r="JMX589" s="219"/>
      <c r="JMY589" s="219"/>
      <c r="JMZ589" s="219"/>
      <c r="JNA589" s="219"/>
      <c r="JNB589" s="219"/>
      <c r="JNC589" s="219"/>
      <c r="JND589" s="219"/>
      <c r="JNE589" s="219"/>
      <c r="JNF589" s="219"/>
      <c r="JNG589" s="219"/>
      <c r="JNH589" s="219"/>
      <c r="JNI589" s="219"/>
      <c r="JNJ589" s="219"/>
      <c r="JNK589" s="219"/>
      <c r="JNL589" s="219"/>
      <c r="JNM589" s="219"/>
      <c r="JNN589" s="219"/>
      <c r="JNO589" s="219"/>
      <c r="JNP589" s="219"/>
      <c r="JNQ589" s="219"/>
      <c r="JNR589" s="219"/>
      <c r="JNS589" s="219"/>
      <c r="JNT589" s="219"/>
      <c r="JNU589" s="219"/>
      <c r="JNV589" s="219"/>
      <c r="JNW589" s="219"/>
      <c r="JNX589" s="219"/>
      <c r="JNY589" s="219"/>
      <c r="JNZ589" s="219"/>
      <c r="JOA589" s="219"/>
      <c r="JOB589" s="219"/>
      <c r="JOC589" s="219"/>
      <c r="JOD589" s="219"/>
      <c r="JOE589" s="219"/>
      <c r="JOF589" s="219"/>
      <c r="JOG589" s="219"/>
      <c r="JOH589" s="219"/>
      <c r="JOI589" s="219"/>
      <c r="JOJ589" s="219"/>
      <c r="JOK589" s="219"/>
      <c r="JOL589" s="219"/>
      <c r="JOM589" s="219"/>
      <c r="JON589" s="219"/>
      <c r="JOO589" s="219"/>
      <c r="JOP589" s="219"/>
      <c r="JOQ589" s="219"/>
      <c r="JOR589" s="219"/>
      <c r="JOS589" s="219"/>
      <c r="JOT589" s="219"/>
      <c r="JOU589" s="219"/>
      <c r="JOV589" s="219"/>
      <c r="JOW589" s="219"/>
      <c r="JOX589" s="219"/>
      <c r="JOY589" s="219"/>
      <c r="JOZ589" s="219"/>
      <c r="JPA589" s="219"/>
      <c r="JPB589" s="219"/>
      <c r="JPC589" s="219"/>
      <c r="JPD589" s="219"/>
      <c r="JPE589" s="219"/>
      <c r="JPF589" s="219"/>
      <c r="JPG589" s="219"/>
      <c r="JPH589" s="219"/>
      <c r="JPI589" s="219"/>
      <c r="JPJ589" s="219"/>
      <c r="JPK589" s="219"/>
      <c r="JPL589" s="219"/>
      <c r="JPM589" s="219"/>
      <c r="JPN589" s="219"/>
      <c r="JPO589" s="219"/>
      <c r="JPP589" s="219"/>
      <c r="JPQ589" s="219"/>
      <c r="JPR589" s="219"/>
      <c r="JPS589" s="219"/>
      <c r="JPT589" s="219"/>
      <c r="JPU589" s="219"/>
      <c r="JPV589" s="219"/>
      <c r="JPW589" s="219"/>
      <c r="JPX589" s="219"/>
      <c r="JPY589" s="219"/>
      <c r="JPZ589" s="219"/>
      <c r="JQA589" s="219"/>
      <c r="JQB589" s="219"/>
      <c r="JQC589" s="219"/>
      <c r="JQD589" s="219"/>
      <c r="JQE589" s="219"/>
      <c r="JQF589" s="219"/>
      <c r="JQG589" s="219"/>
      <c r="JQH589" s="219"/>
      <c r="JQI589" s="219"/>
      <c r="JQJ589" s="219"/>
      <c r="JQK589" s="219"/>
      <c r="JQL589" s="219"/>
      <c r="JQM589" s="219"/>
      <c r="JQN589" s="219"/>
      <c r="JQO589" s="219"/>
      <c r="JQP589" s="219"/>
      <c r="JQQ589" s="219"/>
      <c r="JQR589" s="219"/>
      <c r="JQS589" s="219"/>
      <c r="JQT589" s="219"/>
      <c r="JQU589" s="219"/>
      <c r="JQV589" s="219"/>
      <c r="JQW589" s="219"/>
      <c r="JQX589" s="219"/>
      <c r="JQY589" s="219"/>
      <c r="JQZ589" s="219"/>
      <c r="JRA589" s="219"/>
      <c r="JRB589" s="219"/>
      <c r="JRC589" s="219"/>
      <c r="JRD589" s="219"/>
      <c r="JRE589" s="219"/>
      <c r="JRF589" s="219"/>
      <c r="JRG589" s="219"/>
      <c r="JRH589" s="219"/>
      <c r="JRI589" s="219"/>
      <c r="JRJ589" s="219"/>
      <c r="JRK589" s="219"/>
      <c r="JRL589" s="219"/>
      <c r="JRM589" s="219"/>
      <c r="JRN589" s="219"/>
      <c r="JRO589" s="219"/>
      <c r="JRP589" s="219"/>
      <c r="JRQ589" s="219"/>
      <c r="JRR589" s="219"/>
      <c r="JRS589" s="219"/>
      <c r="JRT589" s="219"/>
      <c r="JRU589" s="219"/>
      <c r="JRV589" s="219"/>
      <c r="JRW589" s="219"/>
      <c r="JRX589" s="219"/>
      <c r="JRY589" s="219"/>
      <c r="JRZ589" s="219"/>
      <c r="JSA589" s="219"/>
      <c r="JSB589" s="219"/>
      <c r="JSC589" s="219"/>
      <c r="JSD589" s="219"/>
      <c r="JSE589" s="219"/>
      <c r="JSF589" s="219"/>
      <c r="JSG589" s="219"/>
      <c r="JSH589" s="219"/>
      <c r="JSI589" s="219"/>
      <c r="JSJ589" s="219"/>
      <c r="JSK589" s="219"/>
      <c r="JSL589" s="219"/>
      <c r="JSM589" s="219"/>
      <c r="JSN589" s="219"/>
      <c r="JSO589" s="219"/>
      <c r="JSP589" s="219"/>
      <c r="JSQ589" s="219"/>
      <c r="JSR589" s="219"/>
      <c r="JSS589" s="219"/>
      <c r="JST589" s="219"/>
      <c r="JSU589" s="219"/>
      <c r="JSV589" s="219"/>
      <c r="JSW589" s="219"/>
      <c r="JSX589" s="219"/>
      <c r="JSY589" s="219"/>
      <c r="JSZ589" s="219"/>
      <c r="JTA589" s="219"/>
      <c r="JTB589" s="219"/>
      <c r="JTC589" s="219"/>
      <c r="JTD589" s="219"/>
      <c r="JTE589" s="219"/>
      <c r="JTF589" s="219"/>
      <c r="JTG589" s="219"/>
      <c r="JTH589" s="219"/>
      <c r="JTI589" s="219"/>
      <c r="JTJ589" s="219"/>
      <c r="JTK589" s="219"/>
      <c r="JTL589" s="219"/>
      <c r="JTM589" s="219"/>
      <c r="JTN589" s="219"/>
      <c r="JTO589" s="219"/>
      <c r="JTP589" s="219"/>
      <c r="JTQ589" s="219"/>
      <c r="JTR589" s="219"/>
      <c r="JTS589" s="219"/>
      <c r="JTT589" s="219"/>
      <c r="JTU589" s="219"/>
      <c r="JTV589" s="219"/>
      <c r="JTW589" s="219"/>
      <c r="JTX589" s="219"/>
      <c r="JTY589" s="219"/>
      <c r="JTZ589" s="219"/>
      <c r="JUA589" s="219"/>
      <c r="JUB589" s="219"/>
      <c r="JUC589" s="219"/>
      <c r="JUD589" s="219"/>
      <c r="JUE589" s="219"/>
      <c r="JUF589" s="219"/>
      <c r="JUG589" s="219"/>
      <c r="JUH589" s="219"/>
      <c r="JUI589" s="219"/>
      <c r="JUJ589" s="219"/>
      <c r="JUK589" s="219"/>
      <c r="JUL589" s="219"/>
      <c r="JUM589" s="219"/>
      <c r="JUN589" s="219"/>
      <c r="JUO589" s="219"/>
      <c r="JUP589" s="219"/>
      <c r="JUQ589" s="219"/>
      <c r="JUR589" s="219"/>
      <c r="JUS589" s="219"/>
      <c r="JUT589" s="219"/>
      <c r="JUU589" s="219"/>
      <c r="JUV589" s="219"/>
      <c r="JUW589" s="219"/>
      <c r="JUX589" s="219"/>
      <c r="JUY589" s="219"/>
      <c r="JUZ589" s="219"/>
      <c r="JVA589" s="219"/>
      <c r="JVB589" s="219"/>
      <c r="JVC589" s="219"/>
      <c r="JVD589" s="219"/>
      <c r="JVE589" s="219"/>
      <c r="JVF589" s="219"/>
      <c r="JVG589" s="219"/>
      <c r="JVH589" s="219"/>
      <c r="JVI589" s="219"/>
      <c r="JVJ589" s="219"/>
      <c r="JVK589" s="219"/>
      <c r="JVL589" s="219"/>
      <c r="JVM589" s="219"/>
      <c r="JVN589" s="219"/>
      <c r="JVO589" s="219"/>
      <c r="JVP589" s="219"/>
      <c r="JVQ589" s="219"/>
      <c r="JVR589" s="219"/>
      <c r="JVS589" s="219"/>
      <c r="JVT589" s="219"/>
      <c r="JVU589" s="219"/>
      <c r="JVV589" s="219"/>
      <c r="JVW589" s="219"/>
      <c r="JVX589" s="219"/>
      <c r="JVY589" s="219"/>
      <c r="JVZ589" s="219"/>
      <c r="JWA589" s="219"/>
      <c r="JWB589" s="219"/>
      <c r="JWC589" s="219"/>
      <c r="JWD589" s="219"/>
      <c r="JWE589" s="219"/>
      <c r="JWF589" s="219"/>
      <c r="JWG589" s="219"/>
      <c r="JWH589" s="219"/>
      <c r="JWI589" s="219"/>
      <c r="JWJ589" s="219"/>
      <c r="JWK589" s="219"/>
      <c r="JWL589" s="219"/>
      <c r="JWM589" s="219"/>
      <c r="JWN589" s="219"/>
      <c r="JWO589" s="219"/>
      <c r="JWP589" s="219"/>
      <c r="JWQ589" s="219"/>
      <c r="JWR589" s="219"/>
      <c r="JWS589" s="219"/>
      <c r="JWT589" s="219"/>
      <c r="JWU589" s="219"/>
      <c r="JWV589" s="219"/>
      <c r="JWW589" s="219"/>
      <c r="JWX589" s="219"/>
      <c r="JWY589" s="219"/>
      <c r="JWZ589" s="219"/>
      <c r="JXA589" s="219"/>
      <c r="JXB589" s="219"/>
      <c r="JXC589" s="219"/>
      <c r="JXD589" s="219"/>
      <c r="JXE589" s="219"/>
      <c r="JXF589" s="219"/>
      <c r="JXG589" s="219"/>
      <c r="JXH589" s="219"/>
      <c r="JXI589" s="219"/>
      <c r="JXJ589" s="219"/>
      <c r="JXK589" s="219"/>
      <c r="JXL589" s="219"/>
      <c r="JXM589" s="219"/>
      <c r="JXN589" s="219"/>
      <c r="JXO589" s="219"/>
      <c r="JXP589" s="219"/>
      <c r="JXQ589" s="219"/>
      <c r="JXR589" s="219"/>
      <c r="JXS589" s="219"/>
      <c r="JXT589" s="219"/>
      <c r="JXU589" s="219"/>
      <c r="JXV589" s="219"/>
      <c r="JXW589" s="219"/>
      <c r="JXX589" s="219"/>
      <c r="JXY589" s="219"/>
      <c r="JXZ589" s="219"/>
      <c r="JYA589" s="219"/>
      <c r="JYB589" s="219"/>
      <c r="JYC589" s="219"/>
      <c r="JYD589" s="219"/>
      <c r="JYE589" s="219"/>
      <c r="JYF589" s="219"/>
      <c r="JYG589" s="219"/>
      <c r="JYH589" s="219"/>
      <c r="JYI589" s="219"/>
      <c r="JYJ589" s="219"/>
      <c r="JYK589" s="219"/>
      <c r="JYL589" s="219"/>
      <c r="JYM589" s="219"/>
      <c r="JYN589" s="219"/>
      <c r="JYO589" s="219"/>
      <c r="JYP589" s="219"/>
      <c r="JYQ589" s="219"/>
      <c r="JYR589" s="219"/>
      <c r="JYS589" s="219"/>
      <c r="JYT589" s="219"/>
      <c r="JYU589" s="219"/>
      <c r="JYV589" s="219"/>
      <c r="JYW589" s="219"/>
      <c r="JYX589" s="219"/>
      <c r="JYY589" s="219"/>
      <c r="JYZ589" s="219"/>
      <c r="JZA589" s="219"/>
      <c r="JZB589" s="219"/>
      <c r="JZC589" s="219"/>
      <c r="JZD589" s="219"/>
      <c r="JZE589" s="219"/>
      <c r="JZF589" s="219"/>
      <c r="JZG589" s="219"/>
      <c r="JZH589" s="219"/>
      <c r="JZI589" s="219"/>
      <c r="JZJ589" s="219"/>
      <c r="JZK589" s="219"/>
      <c r="JZL589" s="219"/>
      <c r="JZM589" s="219"/>
      <c r="JZN589" s="219"/>
      <c r="JZO589" s="219"/>
      <c r="JZP589" s="219"/>
      <c r="JZQ589" s="219"/>
      <c r="JZR589" s="219"/>
      <c r="JZS589" s="219"/>
      <c r="JZT589" s="219"/>
      <c r="JZU589" s="219"/>
      <c r="JZV589" s="219"/>
      <c r="JZW589" s="219"/>
      <c r="JZX589" s="219"/>
      <c r="JZY589" s="219"/>
      <c r="JZZ589" s="219"/>
      <c r="KAA589" s="219"/>
      <c r="KAB589" s="219"/>
      <c r="KAC589" s="219"/>
      <c r="KAD589" s="219"/>
      <c r="KAE589" s="219"/>
      <c r="KAF589" s="219"/>
      <c r="KAG589" s="219"/>
      <c r="KAH589" s="219"/>
      <c r="KAI589" s="219"/>
      <c r="KAJ589" s="219"/>
      <c r="KAK589" s="219"/>
      <c r="KAL589" s="219"/>
      <c r="KAM589" s="219"/>
      <c r="KAN589" s="219"/>
      <c r="KAO589" s="219"/>
      <c r="KAP589" s="219"/>
      <c r="KAQ589" s="219"/>
      <c r="KAR589" s="219"/>
      <c r="KAS589" s="219"/>
      <c r="KAT589" s="219"/>
      <c r="KAU589" s="219"/>
      <c r="KAV589" s="219"/>
      <c r="KAW589" s="219"/>
      <c r="KAX589" s="219"/>
      <c r="KAY589" s="219"/>
      <c r="KAZ589" s="219"/>
      <c r="KBA589" s="219"/>
      <c r="KBB589" s="219"/>
      <c r="KBC589" s="219"/>
      <c r="KBD589" s="219"/>
      <c r="KBE589" s="219"/>
      <c r="KBF589" s="219"/>
      <c r="KBG589" s="219"/>
      <c r="KBH589" s="219"/>
      <c r="KBI589" s="219"/>
      <c r="KBJ589" s="219"/>
      <c r="KBK589" s="219"/>
      <c r="KBL589" s="219"/>
      <c r="KBM589" s="219"/>
      <c r="KBN589" s="219"/>
      <c r="KBO589" s="219"/>
      <c r="KBP589" s="219"/>
      <c r="KBQ589" s="219"/>
      <c r="KBR589" s="219"/>
      <c r="KBS589" s="219"/>
      <c r="KBT589" s="219"/>
      <c r="KBU589" s="219"/>
      <c r="KBV589" s="219"/>
      <c r="KBW589" s="219"/>
      <c r="KBX589" s="219"/>
      <c r="KBY589" s="219"/>
      <c r="KBZ589" s="219"/>
      <c r="KCA589" s="219"/>
      <c r="KCB589" s="219"/>
      <c r="KCC589" s="219"/>
      <c r="KCD589" s="219"/>
      <c r="KCE589" s="219"/>
      <c r="KCF589" s="219"/>
      <c r="KCG589" s="219"/>
      <c r="KCH589" s="219"/>
      <c r="KCI589" s="219"/>
      <c r="KCJ589" s="219"/>
      <c r="KCK589" s="219"/>
      <c r="KCL589" s="219"/>
      <c r="KCM589" s="219"/>
      <c r="KCN589" s="219"/>
      <c r="KCO589" s="219"/>
      <c r="KCP589" s="219"/>
      <c r="KCQ589" s="219"/>
      <c r="KCR589" s="219"/>
      <c r="KCS589" s="219"/>
      <c r="KCT589" s="219"/>
      <c r="KCU589" s="219"/>
      <c r="KCV589" s="219"/>
      <c r="KCW589" s="219"/>
      <c r="KCX589" s="219"/>
      <c r="KCY589" s="219"/>
      <c r="KCZ589" s="219"/>
      <c r="KDA589" s="219"/>
      <c r="KDB589" s="219"/>
      <c r="KDC589" s="219"/>
      <c r="KDD589" s="219"/>
      <c r="KDE589" s="219"/>
      <c r="KDF589" s="219"/>
      <c r="KDG589" s="219"/>
      <c r="KDH589" s="219"/>
      <c r="KDI589" s="219"/>
      <c r="KDJ589" s="219"/>
      <c r="KDK589" s="219"/>
      <c r="KDL589" s="219"/>
      <c r="KDM589" s="219"/>
      <c r="KDN589" s="219"/>
      <c r="KDO589" s="219"/>
      <c r="KDP589" s="219"/>
      <c r="KDQ589" s="219"/>
      <c r="KDR589" s="219"/>
      <c r="KDS589" s="219"/>
      <c r="KDT589" s="219"/>
      <c r="KDU589" s="219"/>
      <c r="KDV589" s="219"/>
      <c r="KDW589" s="219"/>
      <c r="KDX589" s="219"/>
      <c r="KDY589" s="219"/>
      <c r="KDZ589" s="219"/>
      <c r="KEA589" s="219"/>
      <c r="KEB589" s="219"/>
      <c r="KEC589" s="219"/>
      <c r="KED589" s="219"/>
      <c r="KEE589" s="219"/>
      <c r="KEF589" s="219"/>
      <c r="KEG589" s="219"/>
      <c r="KEH589" s="219"/>
      <c r="KEI589" s="219"/>
      <c r="KEJ589" s="219"/>
      <c r="KEK589" s="219"/>
      <c r="KEL589" s="219"/>
      <c r="KEM589" s="219"/>
      <c r="KEN589" s="219"/>
      <c r="KEO589" s="219"/>
      <c r="KEP589" s="219"/>
      <c r="KEQ589" s="219"/>
      <c r="KER589" s="219"/>
      <c r="KES589" s="219"/>
      <c r="KET589" s="219"/>
      <c r="KEU589" s="219"/>
      <c r="KEV589" s="219"/>
      <c r="KEW589" s="219"/>
      <c r="KEX589" s="219"/>
      <c r="KEY589" s="219"/>
      <c r="KEZ589" s="219"/>
      <c r="KFA589" s="219"/>
      <c r="KFB589" s="219"/>
      <c r="KFC589" s="219"/>
      <c r="KFD589" s="219"/>
      <c r="KFE589" s="219"/>
      <c r="KFF589" s="219"/>
      <c r="KFG589" s="219"/>
      <c r="KFH589" s="219"/>
      <c r="KFI589" s="219"/>
      <c r="KFJ589" s="219"/>
      <c r="KFK589" s="219"/>
      <c r="KFL589" s="219"/>
      <c r="KFM589" s="219"/>
      <c r="KFN589" s="219"/>
      <c r="KFO589" s="219"/>
      <c r="KFP589" s="219"/>
      <c r="KFQ589" s="219"/>
      <c r="KFR589" s="219"/>
      <c r="KFS589" s="219"/>
      <c r="KFT589" s="219"/>
      <c r="KFU589" s="219"/>
      <c r="KFV589" s="219"/>
      <c r="KFW589" s="219"/>
      <c r="KFX589" s="219"/>
      <c r="KFY589" s="219"/>
      <c r="KFZ589" s="219"/>
      <c r="KGA589" s="219"/>
      <c r="KGB589" s="219"/>
      <c r="KGC589" s="219"/>
      <c r="KGD589" s="219"/>
      <c r="KGE589" s="219"/>
      <c r="KGF589" s="219"/>
      <c r="KGG589" s="219"/>
      <c r="KGH589" s="219"/>
      <c r="KGI589" s="219"/>
      <c r="KGJ589" s="219"/>
      <c r="KGK589" s="219"/>
      <c r="KGL589" s="219"/>
      <c r="KGM589" s="219"/>
      <c r="KGN589" s="219"/>
      <c r="KGO589" s="219"/>
      <c r="KGP589" s="219"/>
      <c r="KGQ589" s="219"/>
      <c r="KGR589" s="219"/>
      <c r="KGS589" s="219"/>
      <c r="KGT589" s="219"/>
      <c r="KGU589" s="219"/>
      <c r="KGV589" s="219"/>
      <c r="KGW589" s="219"/>
      <c r="KGX589" s="219"/>
      <c r="KGY589" s="219"/>
      <c r="KGZ589" s="219"/>
      <c r="KHA589" s="219"/>
      <c r="KHB589" s="219"/>
      <c r="KHC589" s="219"/>
      <c r="KHD589" s="219"/>
      <c r="KHE589" s="219"/>
      <c r="KHF589" s="219"/>
      <c r="KHG589" s="219"/>
      <c r="KHH589" s="219"/>
      <c r="KHI589" s="219"/>
      <c r="KHJ589" s="219"/>
      <c r="KHK589" s="219"/>
      <c r="KHL589" s="219"/>
      <c r="KHM589" s="219"/>
      <c r="KHN589" s="219"/>
      <c r="KHO589" s="219"/>
      <c r="KHP589" s="219"/>
      <c r="KHQ589" s="219"/>
      <c r="KHR589" s="219"/>
      <c r="KHS589" s="219"/>
      <c r="KHT589" s="219"/>
      <c r="KHU589" s="219"/>
      <c r="KHV589" s="219"/>
      <c r="KHW589" s="219"/>
      <c r="KHX589" s="219"/>
      <c r="KHY589" s="219"/>
      <c r="KHZ589" s="219"/>
      <c r="KIA589" s="219"/>
      <c r="KIB589" s="219"/>
      <c r="KIC589" s="219"/>
      <c r="KID589" s="219"/>
      <c r="KIE589" s="219"/>
      <c r="KIF589" s="219"/>
      <c r="KIG589" s="219"/>
      <c r="KIH589" s="219"/>
      <c r="KII589" s="219"/>
      <c r="KIJ589" s="219"/>
      <c r="KIK589" s="219"/>
      <c r="KIL589" s="219"/>
      <c r="KIM589" s="219"/>
      <c r="KIN589" s="219"/>
      <c r="KIO589" s="219"/>
      <c r="KIP589" s="219"/>
      <c r="KIQ589" s="219"/>
      <c r="KIR589" s="219"/>
      <c r="KIS589" s="219"/>
      <c r="KIT589" s="219"/>
      <c r="KIU589" s="219"/>
      <c r="KIV589" s="219"/>
      <c r="KIW589" s="219"/>
      <c r="KIX589" s="219"/>
      <c r="KIY589" s="219"/>
      <c r="KIZ589" s="219"/>
      <c r="KJA589" s="219"/>
      <c r="KJB589" s="219"/>
      <c r="KJC589" s="219"/>
      <c r="KJD589" s="219"/>
      <c r="KJE589" s="219"/>
      <c r="KJF589" s="219"/>
      <c r="KJG589" s="219"/>
      <c r="KJH589" s="219"/>
      <c r="KJI589" s="219"/>
      <c r="KJJ589" s="219"/>
      <c r="KJK589" s="219"/>
      <c r="KJL589" s="219"/>
      <c r="KJM589" s="219"/>
      <c r="KJN589" s="219"/>
      <c r="KJO589" s="219"/>
      <c r="KJP589" s="219"/>
      <c r="KJQ589" s="219"/>
      <c r="KJR589" s="219"/>
      <c r="KJS589" s="219"/>
      <c r="KJT589" s="219"/>
      <c r="KJU589" s="219"/>
      <c r="KJV589" s="219"/>
      <c r="KJW589" s="219"/>
      <c r="KJX589" s="219"/>
      <c r="KJY589" s="219"/>
      <c r="KJZ589" s="219"/>
      <c r="KKA589" s="219"/>
      <c r="KKB589" s="219"/>
      <c r="KKC589" s="219"/>
      <c r="KKD589" s="219"/>
      <c r="KKE589" s="219"/>
      <c r="KKF589" s="219"/>
      <c r="KKG589" s="219"/>
      <c r="KKH589" s="219"/>
      <c r="KKI589" s="219"/>
      <c r="KKJ589" s="219"/>
      <c r="KKK589" s="219"/>
      <c r="KKL589" s="219"/>
      <c r="KKM589" s="219"/>
      <c r="KKN589" s="219"/>
      <c r="KKO589" s="219"/>
      <c r="KKP589" s="219"/>
      <c r="KKQ589" s="219"/>
      <c r="KKR589" s="219"/>
      <c r="KKS589" s="219"/>
      <c r="KKT589" s="219"/>
      <c r="KKU589" s="219"/>
      <c r="KKV589" s="219"/>
      <c r="KKW589" s="219"/>
      <c r="KKX589" s="219"/>
      <c r="KKY589" s="219"/>
      <c r="KKZ589" s="219"/>
      <c r="KLA589" s="219"/>
      <c r="KLB589" s="219"/>
      <c r="KLC589" s="219"/>
      <c r="KLD589" s="219"/>
      <c r="KLE589" s="219"/>
      <c r="KLF589" s="219"/>
      <c r="KLG589" s="219"/>
      <c r="KLH589" s="219"/>
      <c r="KLI589" s="219"/>
      <c r="KLJ589" s="219"/>
      <c r="KLK589" s="219"/>
      <c r="KLL589" s="219"/>
      <c r="KLM589" s="219"/>
      <c r="KLN589" s="219"/>
      <c r="KLO589" s="219"/>
      <c r="KLP589" s="219"/>
      <c r="KLQ589" s="219"/>
      <c r="KLR589" s="219"/>
      <c r="KLS589" s="219"/>
      <c r="KLT589" s="219"/>
      <c r="KLU589" s="219"/>
      <c r="KLV589" s="219"/>
      <c r="KLW589" s="219"/>
      <c r="KLX589" s="219"/>
      <c r="KLY589" s="219"/>
      <c r="KLZ589" s="219"/>
      <c r="KMA589" s="219"/>
      <c r="KMB589" s="219"/>
      <c r="KMC589" s="219"/>
      <c r="KMD589" s="219"/>
      <c r="KME589" s="219"/>
      <c r="KMF589" s="219"/>
      <c r="KMG589" s="219"/>
      <c r="KMH589" s="219"/>
      <c r="KMI589" s="219"/>
      <c r="KMJ589" s="219"/>
      <c r="KMK589" s="219"/>
      <c r="KML589" s="219"/>
      <c r="KMM589" s="219"/>
      <c r="KMN589" s="219"/>
      <c r="KMO589" s="219"/>
      <c r="KMP589" s="219"/>
      <c r="KMQ589" s="219"/>
      <c r="KMR589" s="219"/>
      <c r="KMS589" s="219"/>
      <c r="KMT589" s="219"/>
      <c r="KMU589" s="219"/>
      <c r="KMV589" s="219"/>
      <c r="KMW589" s="219"/>
      <c r="KMX589" s="219"/>
      <c r="KMY589" s="219"/>
      <c r="KMZ589" s="219"/>
      <c r="KNA589" s="219"/>
      <c r="KNB589" s="219"/>
      <c r="KNC589" s="219"/>
      <c r="KND589" s="219"/>
      <c r="KNE589" s="219"/>
      <c r="KNF589" s="219"/>
      <c r="KNG589" s="219"/>
      <c r="KNH589" s="219"/>
      <c r="KNI589" s="219"/>
      <c r="KNJ589" s="219"/>
      <c r="KNK589" s="219"/>
      <c r="KNL589" s="219"/>
      <c r="KNM589" s="219"/>
      <c r="KNN589" s="219"/>
      <c r="KNO589" s="219"/>
      <c r="KNP589" s="219"/>
      <c r="KNQ589" s="219"/>
      <c r="KNR589" s="219"/>
      <c r="KNS589" s="219"/>
      <c r="KNT589" s="219"/>
      <c r="KNU589" s="219"/>
      <c r="KNV589" s="219"/>
      <c r="KNW589" s="219"/>
      <c r="KNX589" s="219"/>
      <c r="KNY589" s="219"/>
      <c r="KNZ589" s="219"/>
      <c r="KOA589" s="219"/>
      <c r="KOB589" s="219"/>
      <c r="KOC589" s="219"/>
      <c r="KOD589" s="219"/>
      <c r="KOE589" s="219"/>
      <c r="KOF589" s="219"/>
      <c r="KOG589" s="219"/>
      <c r="KOH589" s="219"/>
      <c r="KOI589" s="219"/>
      <c r="KOJ589" s="219"/>
      <c r="KOK589" s="219"/>
      <c r="KOL589" s="219"/>
      <c r="KOM589" s="219"/>
      <c r="KON589" s="219"/>
      <c r="KOO589" s="219"/>
      <c r="KOP589" s="219"/>
      <c r="KOQ589" s="219"/>
      <c r="KOR589" s="219"/>
      <c r="KOS589" s="219"/>
      <c r="KOT589" s="219"/>
      <c r="KOU589" s="219"/>
      <c r="KOV589" s="219"/>
      <c r="KOW589" s="219"/>
      <c r="KOX589" s="219"/>
      <c r="KOY589" s="219"/>
      <c r="KOZ589" s="219"/>
      <c r="KPA589" s="219"/>
      <c r="KPB589" s="219"/>
      <c r="KPC589" s="219"/>
      <c r="KPD589" s="219"/>
      <c r="KPE589" s="219"/>
      <c r="KPF589" s="219"/>
      <c r="KPG589" s="219"/>
      <c r="KPH589" s="219"/>
      <c r="KPI589" s="219"/>
      <c r="KPJ589" s="219"/>
      <c r="KPK589" s="219"/>
      <c r="KPL589" s="219"/>
      <c r="KPM589" s="219"/>
      <c r="KPN589" s="219"/>
      <c r="KPO589" s="219"/>
      <c r="KPP589" s="219"/>
      <c r="KPQ589" s="219"/>
      <c r="KPR589" s="219"/>
      <c r="KPS589" s="219"/>
      <c r="KPT589" s="219"/>
      <c r="KPU589" s="219"/>
      <c r="KPV589" s="219"/>
      <c r="KPW589" s="219"/>
      <c r="KPX589" s="219"/>
      <c r="KPY589" s="219"/>
      <c r="KPZ589" s="219"/>
      <c r="KQA589" s="219"/>
      <c r="KQB589" s="219"/>
      <c r="KQC589" s="219"/>
      <c r="KQD589" s="219"/>
      <c r="KQE589" s="219"/>
      <c r="KQF589" s="219"/>
      <c r="KQG589" s="219"/>
      <c r="KQH589" s="219"/>
      <c r="KQI589" s="219"/>
      <c r="KQJ589" s="219"/>
      <c r="KQK589" s="219"/>
      <c r="KQL589" s="219"/>
      <c r="KQM589" s="219"/>
      <c r="KQN589" s="219"/>
      <c r="KQO589" s="219"/>
      <c r="KQP589" s="219"/>
      <c r="KQQ589" s="219"/>
      <c r="KQR589" s="219"/>
      <c r="KQS589" s="219"/>
      <c r="KQT589" s="219"/>
      <c r="KQU589" s="219"/>
      <c r="KQV589" s="219"/>
      <c r="KQW589" s="219"/>
      <c r="KQX589" s="219"/>
      <c r="KQY589" s="219"/>
      <c r="KQZ589" s="219"/>
      <c r="KRA589" s="219"/>
      <c r="KRB589" s="219"/>
      <c r="KRC589" s="219"/>
      <c r="KRD589" s="219"/>
      <c r="KRE589" s="219"/>
      <c r="KRF589" s="219"/>
      <c r="KRG589" s="219"/>
      <c r="KRH589" s="219"/>
      <c r="KRI589" s="219"/>
      <c r="KRJ589" s="219"/>
      <c r="KRK589" s="219"/>
      <c r="KRL589" s="219"/>
      <c r="KRM589" s="219"/>
      <c r="KRN589" s="219"/>
      <c r="KRO589" s="219"/>
      <c r="KRP589" s="219"/>
      <c r="KRQ589" s="219"/>
      <c r="KRR589" s="219"/>
      <c r="KRS589" s="219"/>
      <c r="KRT589" s="219"/>
      <c r="KRU589" s="219"/>
      <c r="KRV589" s="219"/>
      <c r="KRW589" s="219"/>
      <c r="KRX589" s="219"/>
      <c r="KRY589" s="219"/>
      <c r="KRZ589" s="219"/>
      <c r="KSA589" s="219"/>
      <c r="KSB589" s="219"/>
      <c r="KSC589" s="219"/>
      <c r="KSD589" s="219"/>
      <c r="KSE589" s="219"/>
      <c r="KSF589" s="219"/>
      <c r="KSG589" s="219"/>
      <c r="KSH589" s="219"/>
      <c r="KSI589" s="219"/>
      <c r="KSJ589" s="219"/>
      <c r="KSK589" s="219"/>
      <c r="KSL589" s="219"/>
      <c r="KSM589" s="219"/>
      <c r="KSN589" s="219"/>
      <c r="KSO589" s="219"/>
      <c r="KSP589" s="219"/>
      <c r="KSQ589" s="219"/>
      <c r="KSR589" s="219"/>
      <c r="KSS589" s="219"/>
      <c r="KST589" s="219"/>
      <c r="KSU589" s="219"/>
      <c r="KSV589" s="219"/>
      <c r="KSW589" s="219"/>
      <c r="KSX589" s="219"/>
      <c r="KSY589" s="219"/>
      <c r="KSZ589" s="219"/>
      <c r="KTA589" s="219"/>
      <c r="KTB589" s="219"/>
      <c r="KTC589" s="219"/>
      <c r="KTD589" s="219"/>
      <c r="KTE589" s="219"/>
      <c r="KTF589" s="219"/>
      <c r="KTG589" s="219"/>
      <c r="KTH589" s="219"/>
      <c r="KTI589" s="219"/>
      <c r="KTJ589" s="219"/>
      <c r="KTK589" s="219"/>
      <c r="KTL589" s="219"/>
      <c r="KTM589" s="219"/>
      <c r="KTN589" s="219"/>
      <c r="KTO589" s="219"/>
      <c r="KTP589" s="219"/>
      <c r="KTQ589" s="219"/>
      <c r="KTR589" s="219"/>
      <c r="KTS589" s="219"/>
      <c r="KTT589" s="219"/>
      <c r="KTU589" s="219"/>
      <c r="KTV589" s="219"/>
      <c r="KTW589" s="219"/>
      <c r="KTX589" s="219"/>
      <c r="KTY589" s="219"/>
      <c r="KTZ589" s="219"/>
      <c r="KUA589" s="219"/>
      <c r="KUB589" s="219"/>
      <c r="KUC589" s="219"/>
      <c r="KUD589" s="219"/>
      <c r="KUE589" s="219"/>
      <c r="KUF589" s="219"/>
      <c r="KUG589" s="219"/>
      <c r="KUH589" s="219"/>
      <c r="KUI589" s="219"/>
      <c r="KUJ589" s="219"/>
      <c r="KUK589" s="219"/>
      <c r="KUL589" s="219"/>
      <c r="KUM589" s="219"/>
      <c r="KUN589" s="219"/>
      <c r="KUO589" s="219"/>
      <c r="KUP589" s="219"/>
      <c r="KUQ589" s="219"/>
      <c r="KUR589" s="219"/>
      <c r="KUS589" s="219"/>
      <c r="KUT589" s="219"/>
      <c r="KUU589" s="219"/>
      <c r="KUV589" s="219"/>
      <c r="KUW589" s="219"/>
      <c r="KUX589" s="219"/>
      <c r="KUY589" s="219"/>
      <c r="KUZ589" s="219"/>
      <c r="KVA589" s="219"/>
      <c r="KVB589" s="219"/>
      <c r="KVC589" s="219"/>
      <c r="KVD589" s="219"/>
      <c r="KVE589" s="219"/>
      <c r="KVF589" s="219"/>
      <c r="KVG589" s="219"/>
      <c r="KVH589" s="219"/>
      <c r="KVI589" s="219"/>
      <c r="KVJ589" s="219"/>
      <c r="KVK589" s="219"/>
      <c r="KVL589" s="219"/>
      <c r="KVM589" s="219"/>
      <c r="KVN589" s="219"/>
      <c r="KVO589" s="219"/>
      <c r="KVP589" s="219"/>
      <c r="KVQ589" s="219"/>
      <c r="KVR589" s="219"/>
      <c r="KVS589" s="219"/>
      <c r="KVT589" s="219"/>
      <c r="KVU589" s="219"/>
      <c r="KVV589" s="219"/>
      <c r="KVW589" s="219"/>
      <c r="KVX589" s="219"/>
      <c r="KVY589" s="219"/>
      <c r="KVZ589" s="219"/>
      <c r="KWA589" s="219"/>
      <c r="KWB589" s="219"/>
      <c r="KWC589" s="219"/>
      <c r="KWD589" s="219"/>
      <c r="KWE589" s="219"/>
      <c r="KWF589" s="219"/>
      <c r="KWG589" s="219"/>
      <c r="KWH589" s="219"/>
      <c r="KWI589" s="219"/>
      <c r="KWJ589" s="219"/>
      <c r="KWK589" s="219"/>
      <c r="KWL589" s="219"/>
      <c r="KWM589" s="219"/>
      <c r="KWN589" s="219"/>
      <c r="KWO589" s="219"/>
      <c r="KWP589" s="219"/>
      <c r="KWQ589" s="219"/>
      <c r="KWR589" s="219"/>
      <c r="KWS589" s="219"/>
      <c r="KWT589" s="219"/>
      <c r="KWU589" s="219"/>
      <c r="KWV589" s="219"/>
      <c r="KWW589" s="219"/>
      <c r="KWX589" s="219"/>
      <c r="KWY589" s="219"/>
      <c r="KWZ589" s="219"/>
      <c r="KXA589" s="219"/>
      <c r="KXB589" s="219"/>
      <c r="KXC589" s="219"/>
      <c r="KXD589" s="219"/>
      <c r="KXE589" s="219"/>
      <c r="KXF589" s="219"/>
      <c r="KXG589" s="219"/>
      <c r="KXH589" s="219"/>
      <c r="KXI589" s="219"/>
      <c r="KXJ589" s="219"/>
      <c r="KXK589" s="219"/>
      <c r="KXL589" s="219"/>
      <c r="KXM589" s="219"/>
      <c r="KXN589" s="219"/>
      <c r="KXO589" s="219"/>
      <c r="KXP589" s="219"/>
      <c r="KXQ589" s="219"/>
      <c r="KXR589" s="219"/>
      <c r="KXS589" s="219"/>
      <c r="KXT589" s="219"/>
      <c r="KXU589" s="219"/>
      <c r="KXV589" s="219"/>
      <c r="KXW589" s="219"/>
      <c r="KXX589" s="219"/>
      <c r="KXY589" s="219"/>
      <c r="KXZ589" s="219"/>
      <c r="KYA589" s="219"/>
      <c r="KYB589" s="219"/>
      <c r="KYC589" s="219"/>
      <c r="KYD589" s="219"/>
      <c r="KYE589" s="219"/>
      <c r="KYF589" s="219"/>
      <c r="KYG589" s="219"/>
      <c r="KYH589" s="219"/>
      <c r="KYI589" s="219"/>
      <c r="KYJ589" s="219"/>
      <c r="KYK589" s="219"/>
      <c r="KYL589" s="219"/>
      <c r="KYM589" s="219"/>
      <c r="KYN589" s="219"/>
      <c r="KYO589" s="219"/>
      <c r="KYP589" s="219"/>
      <c r="KYQ589" s="219"/>
      <c r="KYR589" s="219"/>
      <c r="KYS589" s="219"/>
      <c r="KYT589" s="219"/>
      <c r="KYU589" s="219"/>
      <c r="KYV589" s="219"/>
      <c r="KYW589" s="219"/>
      <c r="KYX589" s="219"/>
      <c r="KYY589" s="219"/>
      <c r="KYZ589" s="219"/>
      <c r="KZA589" s="219"/>
      <c r="KZB589" s="219"/>
      <c r="KZC589" s="219"/>
      <c r="KZD589" s="219"/>
      <c r="KZE589" s="219"/>
      <c r="KZF589" s="219"/>
      <c r="KZG589" s="219"/>
      <c r="KZH589" s="219"/>
      <c r="KZI589" s="219"/>
      <c r="KZJ589" s="219"/>
      <c r="KZK589" s="219"/>
      <c r="KZL589" s="219"/>
      <c r="KZM589" s="219"/>
      <c r="KZN589" s="219"/>
      <c r="KZO589" s="219"/>
      <c r="KZP589" s="219"/>
      <c r="KZQ589" s="219"/>
      <c r="KZR589" s="219"/>
      <c r="KZS589" s="219"/>
      <c r="KZT589" s="219"/>
      <c r="KZU589" s="219"/>
      <c r="KZV589" s="219"/>
      <c r="KZW589" s="219"/>
      <c r="KZX589" s="219"/>
      <c r="KZY589" s="219"/>
      <c r="KZZ589" s="219"/>
      <c r="LAA589" s="219"/>
      <c r="LAB589" s="219"/>
      <c r="LAC589" s="219"/>
      <c r="LAD589" s="219"/>
      <c r="LAE589" s="219"/>
      <c r="LAF589" s="219"/>
      <c r="LAG589" s="219"/>
      <c r="LAH589" s="219"/>
      <c r="LAI589" s="219"/>
      <c r="LAJ589" s="219"/>
      <c r="LAK589" s="219"/>
      <c r="LAL589" s="219"/>
      <c r="LAM589" s="219"/>
      <c r="LAN589" s="219"/>
      <c r="LAO589" s="219"/>
      <c r="LAP589" s="219"/>
      <c r="LAQ589" s="219"/>
      <c r="LAR589" s="219"/>
      <c r="LAS589" s="219"/>
      <c r="LAT589" s="219"/>
      <c r="LAU589" s="219"/>
      <c r="LAV589" s="219"/>
      <c r="LAW589" s="219"/>
      <c r="LAX589" s="219"/>
      <c r="LAY589" s="219"/>
      <c r="LAZ589" s="219"/>
      <c r="LBA589" s="219"/>
      <c r="LBB589" s="219"/>
      <c r="LBC589" s="219"/>
      <c r="LBD589" s="219"/>
      <c r="LBE589" s="219"/>
      <c r="LBF589" s="219"/>
      <c r="LBG589" s="219"/>
      <c r="LBH589" s="219"/>
      <c r="LBI589" s="219"/>
      <c r="LBJ589" s="219"/>
      <c r="LBK589" s="219"/>
      <c r="LBL589" s="219"/>
      <c r="LBM589" s="219"/>
      <c r="LBN589" s="219"/>
      <c r="LBO589" s="219"/>
      <c r="LBP589" s="219"/>
      <c r="LBQ589" s="219"/>
      <c r="LBR589" s="219"/>
      <c r="LBS589" s="219"/>
      <c r="LBT589" s="219"/>
      <c r="LBU589" s="219"/>
      <c r="LBV589" s="219"/>
      <c r="LBW589" s="219"/>
      <c r="LBX589" s="219"/>
      <c r="LBY589" s="219"/>
      <c r="LBZ589" s="219"/>
      <c r="LCA589" s="219"/>
      <c r="LCB589" s="219"/>
      <c r="LCC589" s="219"/>
      <c r="LCD589" s="219"/>
      <c r="LCE589" s="219"/>
      <c r="LCF589" s="219"/>
      <c r="LCG589" s="219"/>
      <c r="LCH589" s="219"/>
      <c r="LCI589" s="219"/>
      <c r="LCJ589" s="219"/>
      <c r="LCK589" s="219"/>
      <c r="LCL589" s="219"/>
      <c r="LCM589" s="219"/>
      <c r="LCN589" s="219"/>
      <c r="LCO589" s="219"/>
      <c r="LCP589" s="219"/>
      <c r="LCQ589" s="219"/>
      <c r="LCR589" s="219"/>
      <c r="LCS589" s="219"/>
      <c r="LCT589" s="219"/>
      <c r="LCU589" s="219"/>
      <c r="LCV589" s="219"/>
      <c r="LCW589" s="219"/>
      <c r="LCX589" s="219"/>
      <c r="LCY589" s="219"/>
      <c r="LCZ589" s="219"/>
      <c r="LDA589" s="219"/>
      <c r="LDB589" s="219"/>
      <c r="LDC589" s="219"/>
      <c r="LDD589" s="219"/>
      <c r="LDE589" s="219"/>
      <c r="LDF589" s="219"/>
      <c r="LDG589" s="219"/>
      <c r="LDH589" s="219"/>
      <c r="LDI589" s="219"/>
      <c r="LDJ589" s="219"/>
      <c r="LDK589" s="219"/>
      <c r="LDL589" s="219"/>
      <c r="LDM589" s="219"/>
      <c r="LDN589" s="219"/>
      <c r="LDO589" s="219"/>
      <c r="LDP589" s="219"/>
      <c r="LDQ589" s="219"/>
      <c r="LDR589" s="219"/>
      <c r="LDS589" s="219"/>
      <c r="LDT589" s="219"/>
      <c r="LDU589" s="219"/>
      <c r="LDV589" s="219"/>
      <c r="LDW589" s="219"/>
      <c r="LDX589" s="219"/>
      <c r="LDY589" s="219"/>
      <c r="LDZ589" s="219"/>
      <c r="LEA589" s="219"/>
      <c r="LEB589" s="219"/>
      <c r="LEC589" s="219"/>
      <c r="LED589" s="219"/>
      <c r="LEE589" s="219"/>
      <c r="LEF589" s="219"/>
      <c r="LEG589" s="219"/>
      <c r="LEH589" s="219"/>
      <c r="LEI589" s="219"/>
      <c r="LEJ589" s="219"/>
      <c r="LEK589" s="219"/>
      <c r="LEL589" s="219"/>
      <c r="LEM589" s="219"/>
      <c r="LEN589" s="219"/>
      <c r="LEO589" s="219"/>
      <c r="LEP589" s="219"/>
      <c r="LEQ589" s="219"/>
      <c r="LER589" s="219"/>
      <c r="LES589" s="219"/>
      <c r="LET589" s="219"/>
      <c r="LEU589" s="219"/>
      <c r="LEV589" s="219"/>
      <c r="LEW589" s="219"/>
      <c r="LEX589" s="219"/>
      <c r="LEY589" s="219"/>
      <c r="LEZ589" s="219"/>
      <c r="LFA589" s="219"/>
      <c r="LFB589" s="219"/>
      <c r="LFC589" s="219"/>
      <c r="LFD589" s="219"/>
      <c r="LFE589" s="219"/>
      <c r="LFF589" s="219"/>
      <c r="LFG589" s="219"/>
      <c r="LFH589" s="219"/>
      <c r="LFI589" s="219"/>
      <c r="LFJ589" s="219"/>
      <c r="LFK589" s="219"/>
      <c r="LFL589" s="219"/>
      <c r="LFM589" s="219"/>
      <c r="LFN589" s="219"/>
      <c r="LFO589" s="219"/>
      <c r="LFP589" s="219"/>
      <c r="LFQ589" s="219"/>
      <c r="LFR589" s="219"/>
      <c r="LFS589" s="219"/>
      <c r="LFT589" s="219"/>
      <c r="LFU589" s="219"/>
      <c r="LFV589" s="219"/>
      <c r="LFW589" s="219"/>
      <c r="LFX589" s="219"/>
      <c r="LFY589" s="219"/>
      <c r="LFZ589" s="219"/>
      <c r="LGA589" s="219"/>
      <c r="LGB589" s="219"/>
      <c r="LGC589" s="219"/>
      <c r="LGD589" s="219"/>
      <c r="LGE589" s="219"/>
      <c r="LGF589" s="219"/>
      <c r="LGG589" s="219"/>
      <c r="LGH589" s="219"/>
      <c r="LGI589" s="219"/>
      <c r="LGJ589" s="219"/>
      <c r="LGK589" s="219"/>
      <c r="LGL589" s="219"/>
      <c r="LGM589" s="219"/>
      <c r="LGN589" s="219"/>
      <c r="LGO589" s="219"/>
      <c r="LGP589" s="219"/>
      <c r="LGQ589" s="219"/>
      <c r="LGR589" s="219"/>
      <c r="LGS589" s="219"/>
      <c r="LGT589" s="219"/>
      <c r="LGU589" s="219"/>
      <c r="LGV589" s="219"/>
      <c r="LGW589" s="219"/>
      <c r="LGX589" s="219"/>
      <c r="LGY589" s="219"/>
      <c r="LGZ589" s="219"/>
      <c r="LHA589" s="219"/>
      <c r="LHB589" s="219"/>
      <c r="LHC589" s="219"/>
      <c r="LHD589" s="219"/>
      <c r="LHE589" s="219"/>
      <c r="LHF589" s="219"/>
      <c r="LHG589" s="219"/>
      <c r="LHH589" s="219"/>
      <c r="LHI589" s="219"/>
      <c r="LHJ589" s="219"/>
      <c r="LHK589" s="219"/>
      <c r="LHL589" s="219"/>
      <c r="LHM589" s="219"/>
      <c r="LHN589" s="219"/>
      <c r="LHO589" s="219"/>
      <c r="LHP589" s="219"/>
      <c r="LHQ589" s="219"/>
      <c r="LHR589" s="219"/>
      <c r="LHS589" s="219"/>
      <c r="LHT589" s="219"/>
      <c r="LHU589" s="219"/>
      <c r="LHV589" s="219"/>
      <c r="LHW589" s="219"/>
      <c r="LHX589" s="219"/>
      <c r="LHY589" s="219"/>
      <c r="LHZ589" s="219"/>
      <c r="LIA589" s="219"/>
      <c r="LIB589" s="219"/>
      <c r="LIC589" s="219"/>
      <c r="LID589" s="219"/>
      <c r="LIE589" s="219"/>
      <c r="LIF589" s="219"/>
      <c r="LIG589" s="219"/>
      <c r="LIH589" s="219"/>
      <c r="LII589" s="219"/>
      <c r="LIJ589" s="219"/>
      <c r="LIK589" s="219"/>
      <c r="LIL589" s="219"/>
      <c r="LIM589" s="219"/>
      <c r="LIN589" s="219"/>
      <c r="LIO589" s="219"/>
      <c r="LIP589" s="219"/>
      <c r="LIQ589" s="219"/>
      <c r="LIR589" s="219"/>
      <c r="LIS589" s="219"/>
      <c r="LIT589" s="219"/>
      <c r="LIU589" s="219"/>
      <c r="LIV589" s="219"/>
      <c r="LIW589" s="219"/>
      <c r="LIX589" s="219"/>
      <c r="LIY589" s="219"/>
      <c r="LIZ589" s="219"/>
      <c r="LJA589" s="219"/>
      <c r="LJB589" s="219"/>
      <c r="LJC589" s="219"/>
      <c r="LJD589" s="219"/>
      <c r="LJE589" s="219"/>
      <c r="LJF589" s="219"/>
      <c r="LJG589" s="219"/>
      <c r="LJH589" s="219"/>
      <c r="LJI589" s="219"/>
      <c r="LJJ589" s="219"/>
      <c r="LJK589" s="219"/>
      <c r="LJL589" s="219"/>
      <c r="LJM589" s="219"/>
      <c r="LJN589" s="219"/>
      <c r="LJO589" s="219"/>
      <c r="LJP589" s="219"/>
      <c r="LJQ589" s="219"/>
      <c r="LJR589" s="219"/>
      <c r="LJS589" s="219"/>
      <c r="LJT589" s="219"/>
      <c r="LJU589" s="219"/>
      <c r="LJV589" s="219"/>
      <c r="LJW589" s="219"/>
      <c r="LJX589" s="219"/>
      <c r="LJY589" s="219"/>
      <c r="LJZ589" s="219"/>
      <c r="LKA589" s="219"/>
      <c r="LKB589" s="219"/>
      <c r="LKC589" s="219"/>
      <c r="LKD589" s="219"/>
      <c r="LKE589" s="219"/>
      <c r="LKF589" s="219"/>
      <c r="LKG589" s="219"/>
      <c r="LKH589" s="219"/>
      <c r="LKI589" s="219"/>
      <c r="LKJ589" s="219"/>
      <c r="LKK589" s="219"/>
      <c r="LKL589" s="219"/>
      <c r="LKM589" s="219"/>
      <c r="LKN589" s="219"/>
      <c r="LKO589" s="219"/>
      <c r="LKP589" s="219"/>
      <c r="LKQ589" s="219"/>
      <c r="LKR589" s="219"/>
      <c r="LKS589" s="219"/>
      <c r="LKT589" s="219"/>
      <c r="LKU589" s="219"/>
      <c r="LKV589" s="219"/>
      <c r="LKW589" s="219"/>
      <c r="LKX589" s="219"/>
      <c r="LKY589" s="219"/>
      <c r="LKZ589" s="219"/>
      <c r="LLA589" s="219"/>
      <c r="LLB589" s="219"/>
      <c r="LLC589" s="219"/>
      <c r="LLD589" s="219"/>
      <c r="LLE589" s="219"/>
      <c r="LLF589" s="219"/>
      <c r="LLG589" s="219"/>
      <c r="LLH589" s="219"/>
      <c r="LLI589" s="219"/>
      <c r="LLJ589" s="219"/>
      <c r="LLK589" s="219"/>
      <c r="LLL589" s="219"/>
      <c r="LLM589" s="219"/>
      <c r="LLN589" s="219"/>
      <c r="LLO589" s="219"/>
      <c r="LLP589" s="219"/>
      <c r="LLQ589" s="219"/>
      <c r="LLR589" s="219"/>
      <c r="LLS589" s="219"/>
      <c r="LLT589" s="219"/>
      <c r="LLU589" s="219"/>
      <c r="LLV589" s="219"/>
      <c r="LLW589" s="219"/>
      <c r="LLX589" s="219"/>
      <c r="LLY589" s="219"/>
      <c r="LLZ589" s="219"/>
      <c r="LMA589" s="219"/>
      <c r="LMB589" s="219"/>
      <c r="LMC589" s="219"/>
      <c r="LMD589" s="219"/>
      <c r="LME589" s="219"/>
      <c r="LMF589" s="219"/>
      <c r="LMG589" s="219"/>
      <c r="LMH589" s="219"/>
      <c r="LMI589" s="219"/>
      <c r="LMJ589" s="219"/>
      <c r="LMK589" s="219"/>
      <c r="LML589" s="219"/>
      <c r="LMM589" s="219"/>
      <c r="LMN589" s="219"/>
      <c r="LMO589" s="219"/>
      <c r="LMP589" s="219"/>
      <c r="LMQ589" s="219"/>
      <c r="LMR589" s="219"/>
      <c r="LMS589" s="219"/>
      <c r="LMT589" s="219"/>
      <c r="LMU589" s="219"/>
      <c r="LMV589" s="219"/>
      <c r="LMW589" s="219"/>
      <c r="LMX589" s="219"/>
      <c r="LMY589" s="219"/>
      <c r="LMZ589" s="219"/>
      <c r="LNA589" s="219"/>
      <c r="LNB589" s="219"/>
      <c r="LNC589" s="219"/>
      <c r="LND589" s="219"/>
      <c r="LNE589" s="219"/>
      <c r="LNF589" s="219"/>
      <c r="LNG589" s="219"/>
      <c r="LNH589" s="219"/>
      <c r="LNI589" s="219"/>
      <c r="LNJ589" s="219"/>
      <c r="LNK589" s="219"/>
      <c r="LNL589" s="219"/>
      <c r="LNM589" s="219"/>
      <c r="LNN589" s="219"/>
      <c r="LNO589" s="219"/>
      <c r="LNP589" s="219"/>
      <c r="LNQ589" s="219"/>
      <c r="LNR589" s="219"/>
      <c r="LNS589" s="219"/>
      <c r="LNT589" s="219"/>
      <c r="LNU589" s="219"/>
      <c r="LNV589" s="219"/>
      <c r="LNW589" s="219"/>
      <c r="LNX589" s="219"/>
      <c r="LNY589" s="219"/>
      <c r="LNZ589" s="219"/>
      <c r="LOA589" s="219"/>
      <c r="LOB589" s="219"/>
      <c r="LOC589" s="219"/>
      <c r="LOD589" s="219"/>
      <c r="LOE589" s="219"/>
      <c r="LOF589" s="219"/>
      <c r="LOG589" s="219"/>
      <c r="LOH589" s="219"/>
      <c r="LOI589" s="219"/>
      <c r="LOJ589" s="219"/>
      <c r="LOK589" s="219"/>
      <c r="LOL589" s="219"/>
      <c r="LOM589" s="219"/>
      <c r="LON589" s="219"/>
      <c r="LOO589" s="219"/>
      <c r="LOP589" s="219"/>
      <c r="LOQ589" s="219"/>
      <c r="LOR589" s="219"/>
      <c r="LOS589" s="219"/>
      <c r="LOT589" s="219"/>
      <c r="LOU589" s="219"/>
      <c r="LOV589" s="219"/>
      <c r="LOW589" s="219"/>
      <c r="LOX589" s="219"/>
      <c r="LOY589" s="219"/>
      <c r="LOZ589" s="219"/>
      <c r="LPA589" s="219"/>
      <c r="LPB589" s="219"/>
      <c r="LPC589" s="219"/>
      <c r="LPD589" s="219"/>
      <c r="LPE589" s="219"/>
      <c r="LPF589" s="219"/>
      <c r="LPG589" s="219"/>
      <c r="LPH589" s="219"/>
      <c r="LPI589" s="219"/>
      <c r="LPJ589" s="219"/>
      <c r="LPK589" s="219"/>
      <c r="LPL589" s="219"/>
      <c r="LPM589" s="219"/>
      <c r="LPN589" s="219"/>
      <c r="LPO589" s="219"/>
      <c r="LPP589" s="219"/>
      <c r="LPQ589" s="219"/>
      <c r="LPR589" s="219"/>
      <c r="LPS589" s="219"/>
      <c r="LPT589" s="219"/>
      <c r="LPU589" s="219"/>
      <c r="LPV589" s="219"/>
      <c r="LPW589" s="219"/>
      <c r="LPX589" s="219"/>
      <c r="LPY589" s="219"/>
      <c r="LPZ589" s="219"/>
      <c r="LQA589" s="219"/>
      <c r="LQB589" s="219"/>
      <c r="LQC589" s="219"/>
      <c r="LQD589" s="219"/>
      <c r="LQE589" s="219"/>
      <c r="LQF589" s="219"/>
      <c r="LQG589" s="219"/>
      <c r="LQH589" s="219"/>
      <c r="LQI589" s="219"/>
      <c r="LQJ589" s="219"/>
      <c r="LQK589" s="219"/>
      <c r="LQL589" s="219"/>
      <c r="LQM589" s="219"/>
      <c r="LQN589" s="219"/>
      <c r="LQO589" s="219"/>
      <c r="LQP589" s="219"/>
      <c r="LQQ589" s="219"/>
      <c r="LQR589" s="219"/>
      <c r="LQS589" s="219"/>
      <c r="LQT589" s="219"/>
      <c r="LQU589" s="219"/>
      <c r="LQV589" s="219"/>
      <c r="LQW589" s="219"/>
      <c r="LQX589" s="219"/>
      <c r="LQY589" s="219"/>
      <c r="LQZ589" s="219"/>
      <c r="LRA589" s="219"/>
      <c r="LRB589" s="219"/>
      <c r="LRC589" s="219"/>
      <c r="LRD589" s="219"/>
      <c r="LRE589" s="219"/>
      <c r="LRF589" s="219"/>
      <c r="LRG589" s="219"/>
      <c r="LRH589" s="219"/>
      <c r="LRI589" s="219"/>
      <c r="LRJ589" s="219"/>
      <c r="LRK589" s="219"/>
      <c r="LRL589" s="219"/>
      <c r="LRM589" s="219"/>
      <c r="LRN589" s="219"/>
      <c r="LRO589" s="219"/>
      <c r="LRP589" s="219"/>
      <c r="LRQ589" s="219"/>
      <c r="LRR589" s="219"/>
      <c r="LRS589" s="219"/>
      <c r="LRT589" s="219"/>
      <c r="LRU589" s="219"/>
      <c r="LRV589" s="219"/>
      <c r="LRW589" s="219"/>
      <c r="LRX589" s="219"/>
      <c r="LRY589" s="219"/>
      <c r="LRZ589" s="219"/>
      <c r="LSA589" s="219"/>
      <c r="LSB589" s="219"/>
      <c r="LSC589" s="219"/>
      <c r="LSD589" s="219"/>
      <c r="LSE589" s="219"/>
      <c r="LSF589" s="219"/>
      <c r="LSG589" s="219"/>
      <c r="LSH589" s="219"/>
      <c r="LSI589" s="219"/>
      <c r="LSJ589" s="219"/>
      <c r="LSK589" s="219"/>
      <c r="LSL589" s="219"/>
      <c r="LSM589" s="219"/>
      <c r="LSN589" s="219"/>
      <c r="LSO589" s="219"/>
      <c r="LSP589" s="219"/>
      <c r="LSQ589" s="219"/>
      <c r="LSR589" s="219"/>
      <c r="LSS589" s="219"/>
      <c r="LST589" s="219"/>
      <c r="LSU589" s="219"/>
      <c r="LSV589" s="219"/>
      <c r="LSW589" s="219"/>
      <c r="LSX589" s="219"/>
      <c r="LSY589" s="219"/>
      <c r="LSZ589" s="219"/>
      <c r="LTA589" s="219"/>
      <c r="LTB589" s="219"/>
      <c r="LTC589" s="219"/>
      <c r="LTD589" s="219"/>
      <c r="LTE589" s="219"/>
      <c r="LTF589" s="219"/>
      <c r="LTG589" s="219"/>
      <c r="LTH589" s="219"/>
      <c r="LTI589" s="219"/>
      <c r="LTJ589" s="219"/>
      <c r="LTK589" s="219"/>
      <c r="LTL589" s="219"/>
      <c r="LTM589" s="219"/>
      <c r="LTN589" s="219"/>
      <c r="LTO589" s="219"/>
      <c r="LTP589" s="219"/>
      <c r="LTQ589" s="219"/>
      <c r="LTR589" s="219"/>
      <c r="LTS589" s="219"/>
      <c r="LTT589" s="219"/>
      <c r="LTU589" s="219"/>
      <c r="LTV589" s="219"/>
      <c r="LTW589" s="219"/>
      <c r="LTX589" s="219"/>
      <c r="LTY589" s="219"/>
      <c r="LTZ589" s="219"/>
      <c r="LUA589" s="219"/>
      <c r="LUB589" s="219"/>
      <c r="LUC589" s="219"/>
      <c r="LUD589" s="219"/>
      <c r="LUE589" s="219"/>
      <c r="LUF589" s="219"/>
      <c r="LUG589" s="219"/>
      <c r="LUH589" s="219"/>
      <c r="LUI589" s="219"/>
      <c r="LUJ589" s="219"/>
      <c r="LUK589" s="219"/>
      <c r="LUL589" s="219"/>
      <c r="LUM589" s="219"/>
      <c r="LUN589" s="219"/>
      <c r="LUO589" s="219"/>
      <c r="LUP589" s="219"/>
      <c r="LUQ589" s="219"/>
      <c r="LUR589" s="219"/>
      <c r="LUS589" s="219"/>
      <c r="LUT589" s="219"/>
      <c r="LUU589" s="219"/>
      <c r="LUV589" s="219"/>
      <c r="LUW589" s="219"/>
      <c r="LUX589" s="219"/>
      <c r="LUY589" s="219"/>
      <c r="LUZ589" s="219"/>
      <c r="LVA589" s="219"/>
      <c r="LVB589" s="219"/>
      <c r="LVC589" s="219"/>
      <c r="LVD589" s="219"/>
      <c r="LVE589" s="219"/>
      <c r="LVF589" s="219"/>
      <c r="LVG589" s="219"/>
      <c r="LVH589" s="219"/>
      <c r="LVI589" s="219"/>
      <c r="LVJ589" s="219"/>
      <c r="LVK589" s="219"/>
      <c r="LVL589" s="219"/>
      <c r="LVM589" s="219"/>
      <c r="LVN589" s="219"/>
      <c r="LVO589" s="219"/>
      <c r="LVP589" s="219"/>
      <c r="LVQ589" s="219"/>
      <c r="LVR589" s="219"/>
      <c r="LVS589" s="219"/>
      <c r="LVT589" s="219"/>
      <c r="LVU589" s="219"/>
      <c r="LVV589" s="219"/>
      <c r="LVW589" s="219"/>
      <c r="LVX589" s="219"/>
      <c r="LVY589" s="219"/>
      <c r="LVZ589" s="219"/>
      <c r="LWA589" s="219"/>
      <c r="LWB589" s="219"/>
      <c r="LWC589" s="219"/>
      <c r="LWD589" s="219"/>
      <c r="LWE589" s="219"/>
      <c r="LWF589" s="219"/>
      <c r="LWG589" s="219"/>
      <c r="LWH589" s="219"/>
      <c r="LWI589" s="219"/>
      <c r="LWJ589" s="219"/>
      <c r="LWK589" s="219"/>
      <c r="LWL589" s="219"/>
      <c r="LWM589" s="219"/>
      <c r="LWN589" s="219"/>
      <c r="LWO589" s="219"/>
      <c r="LWP589" s="219"/>
      <c r="LWQ589" s="219"/>
      <c r="LWR589" s="219"/>
      <c r="LWS589" s="219"/>
      <c r="LWT589" s="219"/>
      <c r="LWU589" s="219"/>
      <c r="LWV589" s="219"/>
      <c r="LWW589" s="219"/>
      <c r="LWX589" s="219"/>
      <c r="LWY589" s="219"/>
      <c r="LWZ589" s="219"/>
      <c r="LXA589" s="219"/>
      <c r="LXB589" s="219"/>
      <c r="LXC589" s="219"/>
      <c r="LXD589" s="219"/>
      <c r="LXE589" s="219"/>
      <c r="LXF589" s="219"/>
      <c r="LXG589" s="219"/>
      <c r="LXH589" s="219"/>
      <c r="LXI589" s="219"/>
      <c r="LXJ589" s="219"/>
      <c r="LXK589" s="219"/>
      <c r="LXL589" s="219"/>
      <c r="LXM589" s="219"/>
      <c r="LXN589" s="219"/>
      <c r="LXO589" s="219"/>
      <c r="LXP589" s="219"/>
      <c r="LXQ589" s="219"/>
      <c r="LXR589" s="219"/>
      <c r="LXS589" s="219"/>
      <c r="LXT589" s="219"/>
      <c r="LXU589" s="219"/>
      <c r="LXV589" s="219"/>
      <c r="LXW589" s="219"/>
      <c r="LXX589" s="219"/>
      <c r="LXY589" s="219"/>
      <c r="LXZ589" s="219"/>
      <c r="LYA589" s="219"/>
      <c r="LYB589" s="219"/>
      <c r="LYC589" s="219"/>
      <c r="LYD589" s="219"/>
      <c r="LYE589" s="219"/>
      <c r="LYF589" s="219"/>
      <c r="LYG589" s="219"/>
      <c r="LYH589" s="219"/>
      <c r="LYI589" s="219"/>
      <c r="LYJ589" s="219"/>
      <c r="LYK589" s="219"/>
      <c r="LYL589" s="219"/>
      <c r="LYM589" s="219"/>
      <c r="LYN589" s="219"/>
      <c r="LYO589" s="219"/>
      <c r="LYP589" s="219"/>
      <c r="LYQ589" s="219"/>
      <c r="LYR589" s="219"/>
      <c r="LYS589" s="219"/>
      <c r="LYT589" s="219"/>
      <c r="LYU589" s="219"/>
      <c r="LYV589" s="219"/>
      <c r="LYW589" s="219"/>
      <c r="LYX589" s="219"/>
      <c r="LYY589" s="219"/>
      <c r="LYZ589" s="219"/>
      <c r="LZA589" s="219"/>
      <c r="LZB589" s="219"/>
      <c r="LZC589" s="219"/>
      <c r="LZD589" s="219"/>
      <c r="LZE589" s="219"/>
      <c r="LZF589" s="219"/>
      <c r="LZG589" s="219"/>
      <c r="LZH589" s="219"/>
      <c r="LZI589" s="219"/>
      <c r="LZJ589" s="219"/>
      <c r="LZK589" s="219"/>
      <c r="LZL589" s="219"/>
      <c r="LZM589" s="219"/>
      <c r="LZN589" s="219"/>
      <c r="LZO589" s="219"/>
      <c r="LZP589" s="219"/>
      <c r="LZQ589" s="219"/>
      <c r="LZR589" s="219"/>
      <c r="LZS589" s="219"/>
      <c r="LZT589" s="219"/>
      <c r="LZU589" s="219"/>
      <c r="LZV589" s="219"/>
      <c r="LZW589" s="219"/>
      <c r="LZX589" s="219"/>
      <c r="LZY589" s="219"/>
      <c r="LZZ589" s="219"/>
      <c r="MAA589" s="219"/>
      <c r="MAB589" s="219"/>
      <c r="MAC589" s="219"/>
      <c r="MAD589" s="219"/>
      <c r="MAE589" s="219"/>
      <c r="MAF589" s="219"/>
      <c r="MAG589" s="219"/>
      <c r="MAH589" s="219"/>
      <c r="MAI589" s="219"/>
      <c r="MAJ589" s="219"/>
      <c r="MAK589" s="219"/>
      <c r="MAL589" s="219"/>
      <c r="MAM589" s="219"/>
      <c r="MAN589" s="219"/>
      <c r="MAO589" s="219"/>
      <c r="MAP589" s="219"/>
      <c r="MAQ589" s="219"/>
      <c r="MAR589" s="219"/>
      <c r="MAS589" s="219"/>
      <c r="MAT589" s="219"/>
      <c r="MAU589" s="219"/>
      <c r="MAV589" s="219"/>
      <c r="MAW589" s="219"/>
      <c r="MAX589" s="219"/>
      <c r="MAY589" s="219"/>
      <c r="MAZ589" s="219"/>
      <c r="MBA589" s="219"/>
      <c r="MBB589" s="219"/>
      <c r="MBC589" s="219"/>
      <c r="MBD589" s="219"/>
      <c r="MBE589" s="219"/>
      <c r="MBF589" s="219"/>
      <c r="MBG589" s="219"/>
      <c r="MBH589" s="219"/>
      <c r="MBI589" s="219"/>
      <c r="MBJ589" s="219"/>
      <c r="MBK589" s="219"/>
      <c r="MBL589" s="219"/>
      <c r="MBM589" s="219"/>
      <c r="MBN589" s="219"/>
      <c r="MBO589" s="219"/>
      <c r="MBP589" s="219"/>
      <c r="MBQ589" s="219"/>
      <c r="MBR589" s="219"/>
      <c r="MBS589" s="219"/>
      <c r="MBT589" s="219"/>
      <c r="MBU589" s="219"/>
      <c r="MBV589" s="219"/>
      <c r="MBW589" s="219"/>
      <c r="MBX589" s="219"/>
      <c r="MBY589" s="219"/>
      <c r="MBZ589" s="219"/>
      <c r="MCA589" s="219"/>
      <c r="MCB589" s="219"/>
      <c r="MCC589" s="219"/>
      <c r="MCD589" s="219"/>
      <c r="MCE589" s="219"/>
      <c r="MCF589" s="219"/>
      <c r="MCG589" s="219"/>
      <c r="MCH589" s="219"/>
      <c r="MCI589" s="219"/>
      <c r="MCJ589" s="219"/>
      <c r="MCK589" s="219"/>
      <c r="MCL589" s="219"/>
      <c r="MCM589" s="219"/>
      <c r="MCN589" s="219"/>
      <c r="MCO589" s="219"/>
      <c r="MCP589" s="219"/>
      <c r="MCQ589" s="219"/>
      <c r="MCR589" s="219"/>
      <c r="MCS589" s="219"/>
      <c r="MCT589" s="219"/>
      <c r="MCU589" s="219"/>
      <c r="MCV589" s="219"/>
      <c r="MCW589" s="219"/>
      <c r="MCX589" s="219"/>
      <c r="MCY589" s="219"/>
      <c r="MCZ589" s="219"/>
      <c r="MDA589" s="219"/>
      <c r="MDB589" s="219"/>
      <c r="MDC589" s="219"/>
      <c r="MDD589" s="219"/>
      <c r="MDE589" s="219"/>
      <c r="MDF589" s="219"/>
      <c r="MDG589" s="219"/>
      <c r="MDH589" s="219"/>
      <c r="MDI589" s="219"/>
      <c r="MDJ589" s="219"/>
      <c r="MDK589" s="219"/>
      <c r="MDL589" s="219"/>
      <c r="MDM589" s="219"/>
      <c r="MDN589" s="219"/>
      <c r="MDO589" s="219"/>
      <c r="MDP589" s="219"/>
      <c r="MDQ589" s="219"/>
      <c r="MDR589" s="219"/>
      <c r="MDS589" s="219"/>
      <c r="MDT589" s="219"/>
      <c r="MDU589" s="219"/>
      <c r="MDV589" s="219"/>
      <c r="MDW589" s="219"/>
      <c r="MDX589" s="219"/>
      <c r="MDY589" s="219"/>
      <c r="MDZ589" s="219"/>
      <c r="MEA589" s="219"/>
      <c r="MEB589" s="219"/>
      <c r="MEC589" s="219"/>
      <c r="MED589" s="219"/>
      <c r="MEE589" s="219"/>
      <c r="MEF589" s="219"/>
      <c r="MEG589" s="219"/>
      <c r="MEH589" s="219"/>
      <c r="MEI589" s="219"/>
      <c r="MEJ589" s="219"/>
      <c r="MEK589" s="219"/>
      <c r="MEL589" s="219"/>
      <c r="MEM589" s="219"/>
      <c r="MEN589" s="219"/>
      <c r="MEO589" s="219"/>
      <c r="MEP589" s="219"/>
      <c r="MEQ589" s="219"/>
      <c r="MER589" s="219"/>
      <c r="MES589" s="219"/>
      <c r="MET589" s="219"/>
      <c r="MEU589" s="219"/>
      <c r="MEV589" s="219"/>
      <c r="MEW589" s="219"/>
      <c r="MEX589" s="219"/>
      <c r="MEY589" s="219"/>
      <c r="MEZ589" s="219"/>
      <c r="MFA589" s="219"/>
      <c r="MFB589" s="219"/>
      <c r="MFC589" s="219"/>
      <c r="MFD589" s="219"/>
      <c r="MFE589" s="219"/>
      <c r="MFF589" s="219"/>
      <c r="MFG589" s="219"/>
      <c r="MFH589" s="219"/>
      <c r="MFI589" s="219"/>
      <c r="MFJ589" s="219"/>
      <c r="MFK589" s="219"/>
      <c r="MFL589" s="219"/>
      <c r="MFM589" s="219"/>
      <c r="MFN589" s="219"/>
      <c r="MFO589" s="219"/>
      <c r="MFP589" s="219"/>
      <c r="MFQ589" s="219"/>
      <c r="MFR589" s="219"/>
      <c r="MFS589" s="219"/>
      <c r="MFT589" s="219"/>
      <c r="MFU589" s="219"/>
      <c r="MFV589" s="219"/>
      <c r="MFW589" s="219"/>
      <c r="MFX589" s="219"/>
      <c r="MFY589" s="219"/>
      <c r="MFZ589" s="219"/>
      <c r="MGA589" s="219"/>
      <c r="MGB589" s="219"/>
      <c r="MGC589" s="219"/>
      <c r="MGD589" s="219"/>
      <c r="MGE589" s="219"/>
      <c r="MGF589" s="219"/>
      <c r="MGG589" s="219"/>
      <c r="MGH589" s="219"/>
      <c r="MGI589" s="219"/>
      <c r="MGJ589" s="219"/>
      <c r="MGK589" s="219"/>
      <c r="MGL589" s="219"/>
      <c r="MGM589" s="219"/>
      <c r="MGN589" s="219"/>
      <c r="MGO589" s="219"/>
      <c r="MGP589" s="219"/>
      <c r="MGQ589" s="219"/>
      <c r="MGR589" s="219"/>
      <c r="MGS589" s="219"/>
      <c r="MGT589" s="219"/>
      <c r="MGU589" s="219"/>
      <c r="MGV589" s="219"/>
      <c r="MGW589" s="219"/>
      <c r="MGX589" s="219"/>
      <c r="MGY589" s="219"/>
      <c r="MGZ589" s="219"/>
      <c r="MHA589" s="219"/>
      <c r="MHB589" s="219"/>
      <c r="MHC589" s="219"/>
      <c r="MHD589" s="219"/>
      <c r="MHE589" s="219"/>
      <c r="MHF589" s="219"/>
      <c r="MHG589" s="219"/>
      <c r="MHH589" s="219"/>
      <c r="MHI589" s="219"/>
      <c r="MHJ589" s="219"/>
      <c r="MHK589" s="219"/>
      <c r="MHL589" s="219"/>
      <c r="MHM589" s="219"/>
      <c r="MHN589" s="219"/>
      <c r="MHO589" s="219"/>
      <c r="MHP589" s="219"/>
      <c r="MHQ589" s="219"/>
      <c r="MHR589" s="219"/>
      <c r="MHS589" s="219"/>
      <c r="MHT589" s="219"/>
      <c r="MHU589" s="219"/>
      <c r="MHV589" s="219"/>
      <c r="MHW589" s="219"/>
      <c r="MHX589" s="219"/>
      <c r="MHY589" s="219"/>
      <c r="MHZ589" s="219"/>
      <c r="MIA589" s="219"/>
      <c r="MIB589" s="219"/>
      <c r="MIC589" s="219"/>
      <c r="MID589" s="219"/>
      <c r="MIE589" s="219"/>
      <c r="MIF589" s="219"/>
      <c r="MIG589" s="219"/>
      <c r="MIH589" s="219"/>
      <c r="MII589" s="219"/>
      <c r="MIJ589" s="219"/>
      <c r="MIK589" s="219"/>
      <c r="MIL589" s="219"/>
      <c r="MIM589" s="219"/>
      <c r="MIN589" s="219"/>
      <c r="MIO589" s="219"/>
      <c r="MIP589" s="219"/>
      <c r="MIQ589" s="219"/>
      <c r="MIR589" s="219"/>
      <c r="MIS589" s="219"/>
      <c r="MIT589" s="219"/>
      <c r="MIU589" s="219"/>
      <c r="MIV589" s="219"/>
      <c r="MIW589" s="219"/>
      <c r="MIX589" s="219"/>
      <c r="MIY589" s="219"/>
      <c r="MIZ589" s="219"/>
      <c r="MJA589" s="219"/>
      <c r="MJB589" s="219"/>
      <c r="MJC589" s="219"/>
      <c r="MJD589" s="219"/>
      <c r="MJE589" s="219"/>
      <c r="MJF589" s="219"/>
      <c r="MJG589" s="219"/>
      <c r="MJH589" s="219"/>
      <c r="MJI589" s="219"/>
      <c r="MJJ589" s="219"/>
      <c r="MJK589" s="219"/>
      <c r="MJL589" s="219"/>
      <c r="MJM589" s="219"/>
      <c r="MJN589" s="219"/>
      <c r="MJO589" s="219"/>
      <c r="MJP589" s="219"/>
      <c r="MJQ589" s="219"/>
      <c r="MJR589" s="219"/>
      <c r="MJS589" s="219"/>
      <c r="MJT589" s="219"/>
      <c r="MJU589" s="219"/>
      <c r="MJV589" s="219"/>
      <c r="MJW589" s="219"/>
      <c r="MJX589" s="219"/>
      <c r="MJY589" s="219"/>
      <c r="MJZ589" s="219"/>
      <c r="MKA589" s="219"/>
      <c r="MKB589" s="219"/>
      <c r="MKC589" s="219"/>
      <c r="MKD589" s="219"/>
      <c r="MKE589" s="219"/>
      <c r="MKF589" s="219"/>
      <c r="MKG589" s="219"/>
      <c r="MKH589" s="219"/>
      <c r="MKI589" s="219"/>
      <c r="MKJ589" s="219"/>
      <c r="MKK589" s="219"/>
      <c r="MKL589" s="219"/>
      <c r="MKM589" s="219"/>
      <c r="MKN589" s="219"/>
      <c r="MKO589" s="219"/>
      <c r="MKP589" s="219"/>
      <c r="MKQ589" s="219"/>
      <c r="MKR589" s="219"/>
      <c r="MKS589" s="219"/>
      <c r="MKT589" s="219"/>
      <c r="MKU589" s="219"/>
      <c r="MKV589" s="219"/>
      <c r="MKW589" s="219"/>
      <c r="MKX589" s="219"/>
      <c r="MKY589" s="219"/>
      <c r="MKZ589" s="219"/>
      <c r="MLA589" s="219"/>
      <c r="MLB589" s="219"/>
      <c r="MLC589" s="219"/>
      <c r="MLD589" s="219"/>
      <c r="MLE589" s="219"/>
      <c r="MLF589" s="219"/>
      <c r="MLG589" s="219"/>
      <c r="MLH589" s="219"/>
      <c r="MLI589" s="219"/>
      <c r="MLJ589" s="219"/>
      <c r="MLK589" s="219"/>
      <c r="MLL589" s="219"/>
      <c r="MLM589" s="219"/>
      <c r="MLN589" s="219"/>
      <c r="MLO589" s="219"/>
      <c r="MLP589" s="219"/>
      <c r="MLQ589" s="219"/>
      <c r="MLR589" s="219"/>
      <c r="MLS589" s="219"/>
      <c r="MLT589" s="219"/>
      <c r="MLU589" s="219"/>
      <c r="MLV589" s="219"/>
      <c r="MLW589" s="219"/>
      <c r="MLX589" s="219"/>
      <c r="MLY589" s="219"/>
      <c r="MLZ589" s="219"/>
      <c r="MMA589" s="219"/>
      <c r="MMB589" s="219"/>
      <c r="MMC589" s="219"/>
      <c r="MMD589" s="219"/>
      <c r="MME589" s="219"/>
      <c r="MMF589" s="219"/>
      <c r="MMG589" s="219"/>
      <c r="MMH589" s="219"/>
      <c r="MMI589" s="219"/>
      <c r="MMJ589" s="219"/>
      <c r="MMK589" s="219"/>
      <c r="MML589" s="219"/>
      <c r="MMM589" s="219"/>
      <c r="MMN589" s="219"/>
      <c r="MMO589" s="219"/>
      <c r="MMP589" s="219"/>
      <c r="MMQ589" s="219"/>
      <c r="MMR589" s="219"/>
      <c r="MMS589" s="219"/>
      <c r="MMT589" s="219"/>
      <c r="MMU589" s="219"/>
      <c r="MMV589" s="219"/>
      <c r="MMW589" s="219"/>
      <c r="MMX589" s="219"/>
      <c r="MMY589" s="219"/>
      <c r="MMZ589" s="219"/>
      <c r="MNA589" s="219"/>
      <c r="MNB589" s="219"/>
      <c r="MNC589" s="219"/>
      <c r="MND589" s="219"/>
      <c r="MNE589" s="219"/>
      <c r="MNF589" s="219"/>
      <c r="MNG589" s="219"/>
      <c r="MNH589" s="219"/>
      <c r="MNI589" s="219"/>
      <c r="MNJ589" s="219"/>
      <c r="MNK589" s="219"/>
      <c r="MNL589" s="219"/>
      <c r="MNM589" s="219"/>
      <c r="MNN589" s="219"/>
      <c r="MNO589" s="219"/>
      <c r="MNP589" s="219"/>
      <c r="MNQ589" s="219"/>
      <c r="MNR589" s="219"/>
      <c r="MNS589" s="219"/>
      <c r="MNT589" s="219"/>
      <c r="MNU589" s="219"/>
      <c r="MNV589" s="219"/>
      <c r="MNW589" s="219"/>
      <c r="MNX589" s="219"/>
      <c r="MNY589" s="219"/>
      <c r="MNZ589" s="219"/>
      <c r="MOA589" s="219"/>
      <c r="MOB589" s="219"/>
      <c r="MOC589" s="219"/>
      <c r="MOD589" s="219"/>
      <c r="MOE589" s="219"/>
      <c r="MOF589" s="219"/>
      <c r="MOG589" s="219"/>
      <c r="MOH589" s="219"/>
      <c r="MOI589" s="219"/>
      <c r="MOJ589" s="219"/>
      <c r="MOK589" s="219"/>
      <c r="MOL589" s="219"/>
      <c r="MOM589" s="219"/>
      <c r="MON589" s="219"/>
      <c r="MOO589" s="219"/>
      <c r="MOP589" s="219"/>
      <c r="MOQ589" s="219"/>
      <c r="MOR589" s="219"/>
      <c r="MOS589" s="219"/>
      <c r="MOT589" s="219"/>
      <c r="MOU589" s="219"/>
      <c r="MOV589" s="219"/>
      <c r="MOW589" s="219"/>
      <c r="MOX589" s="219"/>
      <c r="MOY589" s="219"/>
      <c r="MOZ589" s="219"/>
      <c r="MPA589" s="219"/>
      <c r="MPB589" s="219"/>
      <c r="MPC589" s="219"/>
      <c r="MPD589" s="219"/>
      <c r="MPE589" s="219"/>
      <c r="MPF589" s="219"/>
      <c r="MPG589" s="219"/>
      <c r="MPH589" s="219"/>
      <c r="MPI589" s="219"/>
      <c r="MPJ589" s="219"/>
      <c r="MPK589" s="219"/>
      <c r="MPL589" s="219"/>
      <c r="MPM589" s="219"/>
      <c r="MPN589" s="219"/>
      <c r="MPO589" s="219"/>
      <c r="MPP589" s="219"/>
      <c r="MPQ589" s="219"/>
      <c r="MPR589" s="219"/>
      <c r="MPS589" s="219"/>
      <c r="MPT589" s="219"/>
      <c r="MPU589" s="219"/>
      <c r="MPV589" s="219"/>
      <c r="MPW589" s="219"/>
      <c r="MPX589" s="219"/>
      <c r="MPY589" s="219"/>
      <c r="MPZ589" s="219"/>
      <c r="MQA589" s="219"/>
      <c r="MQB589" s="219"/>
      <c r="MQC589" s="219"/>
      <c r="MQD589" s="219"/>
      <c r="MQE589" s="219"/>
      <c r="MQF589" s="219"/>
      <c r="MQG589" s="219"/>
      <c r="MQH589" s="219"/>
      <c r="MQI589" s="219"/>
      <c r="MQJ589" s="219"/>
      <c r="MQK589" s="219"/>
      <c r="MQL589" s="219"/>
      <c r="MQM589" s="219"/>
      <c r="MQN589" s="219"/>
      <c r="MQO589" s="219"/>
      <c r="MQP589" s="219"/>
      <c r="MQQ589" s="219"/>
      <c r="MQR589" s="219"/>
      <c r="MQS589" s="219"/>
      <c r="MQT589" s="219"/>
      <c r="MQU589" s="219"/>
      <c r="MQV589" s="219"/>
      <c r="MQW589" s="219"/>
      <c r="MQX589" s="219"/>
      <c r="MQY589" s="219"/>
      <c r="MQZ589" s="219"/>
      <c r="MRA589" s="219"/>
      <c r="MRB589" s="219"/>
      <c r="MRC589" s="219"/>
      <c r="MRD589" s="219"/>
      <c r="MRE589" s="219"/>
      <c r="MRF589" s="219"/>
      <c r="MRG589" s="219"/>
      <c r="MRH589" s="219"/>
      <c r="MRI589" s="219"/>
      <c r="MRJ589" s="219"/>
      <c r="MRK589" s="219"/>
      <c r="MRL589" s="219"/>
      <c r="MRM589" s="219"/>
      <c r="MRN589" s="219"/>
      <c r="MRO589" s="219"/>
      <c r="MRP589" s="219"/>
      <c r="MRQ589" s="219"/>
      <c r="MRR589" s="219"/>
      <c r="MRS589" s="219"/>
      <c r="MRT589" s="219"/>
      <c r="MRU589" s="219"/>
      <c r="MRV589" s="219"/>
      <c r="MRW589" s="219"/>
      <c r="MRX589" s="219"/>
      <c r="MRY589" s="219"/>
      <c r="MRZ589" s="219"/>
      <c r="MSA589" s="219"/>
      <c r="MSB589" s="219"/>
      <c r="MSC589" s="219"/>
      <c r="MSD589" s="219"/>
      <c r="MSE589" s="219"/>
      <c r="MSF589" s="219"/>
      <c r="MSG589" s="219"/>
      <c r="MSH589" s="219"/>
      <c r="MSI589" s="219"/>
      <c r="MSJ589" s="219"/>
      <c r="MSK589" s="219"/>
      <c r="MSL589" s="219"/>
      <c r="MSM589" s="219"/>
      <c r="MSN589" s="219"/>
      <c r="MSO589" s="219"/>
      <c r="MSP589" s="219"/>
      <c r="MSQ589" s="219"/>
      <c r="MSR589" s="219"/>
      <c r="MSS589" s="219"/>
      <c r="MST589" s="219"/>
      <c r="MSU589" s="219"/>
      <c r="MSV589" s="219"/>
      <c r="MSW589" s="219"/>
      <c r="MSX589" s="219"/>
      <c r="MSY589" s="219"/>
      <c r="MSZ589" s="219"/>
      <c r="MTA589" s="219"/>
      <c r="MTB589" s="219"/>
      <c r="MTC589" s="219"/>
      <c r="MTD589" s="219"/>
      <c r="MTE589" s="219"/>
      <c r="MTF589" s="219"/>
      <c r="MTG589" s="219"/>
      <c r="MTH589" s="219"/>
      <c r="MTI589" s="219"/>
      <c r="MTJ589" s="219"/>
      <c r="MTK589" s="219"/>
      <c r="MTL589" s="219"/>
      <c r="MTM589" s="219"/>
      <c r="MTN589" s="219"/>
      <c r="MTO589" s="219"/>
      <c r="MTP589" s="219"/>
      <c r="MTQ589" s="219"/>
      <c r="MTR589" s="219"/>
      <c r="MTS589" s="219"/>
      <c r="MTT589" s="219"/>
      <c r="MTU589" s="219"/>
      <c r="MTV589" s="219"/>
      <c r="MTW589" s="219"/>
      <c r="MTX589" s="219"/>
      <c r="MTY589" s="219"/>
      <c r="MTZ589" s="219"/>
      <c r="MUA589" s="219"/>
      <c r="MUB589" s="219"/>
      <c r="MUC589" s="219"/>
      <c r="MUD589" s="219"/>
      <c r="MUE589" s="219"/>
      <c r="MUF589" s="219"/>
      <c r="MUG589" s="219"/>
      <c r="MUH589" s="219"/>
      <c r="MUI589" s="219"/>
      <c r="MUJ589" s="219"/>
      <c r="MUK589" s="219"/>
      <c r="MUL589" s="219"/>
      <c r="MUM589" s="219"/>
      <c r="MUN589" s="219"/>
      <c r="MUO589" s="219"/>
      <c r="MUP589" s="219"/>
      <c r="MUQ589" s="219"/>
      <c r="MUR589" s="219"/>
      <c r="MUS589" s="219"/>
      <c r="MUT589" s="219"/>
      <c r="MUU589" s="219"/>
      <c r="MUV589" s="219"/>
      <c r="MUW589" s="219"/>
      <c r="MUX589" s="219"/>
      <c r="MUY589" s="219"/>
      <c r="MUZ589" s="219"/>
      <c r="MVA589" s="219"/>
      <c r="MVB589" s="219"/>
      <c r="MVC589" s="219"/>
      <c r="MVD589" s="219"/>
      <c r="MVE589" s="219"/>
      <c r="MVF589" s="219"/>
      <c r="MVG589" s="219"/>
      <c r="MVH589" s="219"/>
      <c r="MVI589" s="219"/>
      <c r="MVJ589" s="219"/>
      <c r="MVK589" s="219"/>
      <c r="MVL589" s="219"/>
      <c r="MVM589" s="219"/>
      <c r="MVN589" s="219"/>
      <c r="MVO589" s="219"/>
      <c r="MVP589" s="219"/>
      <c r="MVQ589" s="219"/>
      <c r="MVR589" s="219"/>
      <c r="MVS589" s="219"/>
      <c r="MVT589" s="219"/>
      <c r="MVU589" s="219"/>
      <c r="MVV589" s="219"/>
      <c r="MVW589" s="219"/>
      <c r="MVX589" s="219"/>
      <c r="MVY589" s="219"/>
      <c r="MVZ589" s="219"/>
      <c r="MWA589" s="219"/>
      <c r="MWB589" s="219"/>
      <c r="MWC589" s="219"/>
      <c r="MWD589" s="219"/>
      <c r="MWE589" s="219"/>
      <c r="MWF589" s="219"/>
      <c r="MWG589" s="219"/>
      <c r="MWH589" s="219"/>
      <c r="MWI589" s="219"/>
      <c r="MWJ589" s="219"/>
      <c r="MWK589" s="219"/>
      <c r="MWL589" s="219"/>
      <c r="MWM589" s="219"/>
      <c r="MWN589" s="219"/>
      <c r="MWO589" s="219"/>
      <c r="MWP589" s="219"/>
      <c r="MWQ589" s="219"/>
      <c r="MWR589" s="219"/>
      <c r="MWS589" s="219"/>
      <c r="MWT589" s="219"/>
      <c r="MWU589" s="219"/>
      <c r="MWV589" s="219"/>
      <c r="MWW589" s="219"/>
      <c r="MWX589" s="219"/>
      <c r="MWY589" s="219"/>
      <c r="MWZ589" s="219"/>
      <c r="MXA589" s="219"/>
      <c r="MXB589" s="219"/>
      <c r="MXC589" s="219"/>
      <c r="MXD589" s="219"/>
      <c r="MXE589" s="219"/>
      <c r="MXF589" s="219"/>
      <c r="MXG589" s="219"/>
      <c r="MXH589" s="219"/>
      <c r="MXI589" s="219"/>
      <c r="MXJ589" s="219"/>
      <c r="MXK589" s="219"/>
      <c r="MXL589" s="219"/>
      <c r="MXM589" s="219"/>
      <c r="MXN589" s="219"/>
      <c r="MXO589" s="219"/>
      <c r="MXP589" s="219"/>
      <c r="MXQ589" s="219"/>
      <c r="MXR589" s="219"/>
      <c r="MXS589" s="219"/>
      <c r="MXT589" s="219"/>
      <c r="MXU589" s="219"/>
      <c r="MXV589" s="219"/>
      <c r="MXW589" s="219"/>
      <c r="MXX589" s="219"/>
      <c r="MXY589" s="219"/>
      <c r="MXZ589" s="219"/>
      <c r="MYA589" s="219"/>
      <c r="MYB589" s="219"/>
      <c r="MYC589" s="219"/>
      <c r="MYD589" s="219"/>
      <c r="MYE589" s="219"/>
      <c r="MYF589" s="219"/>
      <c r="MYG589" s="219"/>
      <c r="MYH589" s="219"/>
      <c r="MYI589" s="219"/>
      <c r="MYJ589" s="219"/>
      <c r="MYK589" s="219"/>
      <c r="MYL589" s="219"/>
      <c r="MYM589" s="219"/>
      <c r="MYN589" s="219"/>
      <c r="MYO589" s="219"/>
      <c r="MYP589" s="219"/>
      <c r="MYQ589" s="219"/>
      <c r="MYR589" s="219"/>
      <c r="MYS589" s="219"/>
      <c r="MYT589" s="219"/>
      <c r="MYU589" s="219"/>
      <c r="MYV589" s="219"/>
      <c r="MYW589" s="219"/>
      <c r="MYX589" s="219"/>
      <c r="MYY589" s="219"/>
      <c r="MYZ589" s="219"/>
      <c r="MZA589" s="219"/>
      <c r="MZB589" s="219"/>
      <c r="MZC589" s="219"/>
      <c r="MZD589" s="219"/>
      <c r="MZE589" s="219"/>
      <c r="MZF589" s="219"/>
      <c r="MZG589" s="219"/>
      <c r="MZH589" s="219"/>
      <c r="MZI589" s="219"/>
      <c r="MZJ589" s="219"/>
      <c r="MZK589" s="219"/>
      <c r="MZL589" s="219"/>
      <c r="MZM589" s="219"/>
      <c r="MZN589" s="219"/>
      <c r="MZO589" s="219"/>
      <c r="MZP589" s="219"/>
      <c r="MZQ589" s="219"/>
      <c r="MZR589" s="219"/>
      <c r="MZS589" s="219"/>
      <c r="MZT589" s="219"/>
      <c r="MZU589" s="219"/>
      <c r="MZV589" s="219"/>
      <c r="MZW589" s="219"/>
      <c r="MZX589" s="219"/>
      <c r="MZY589" s="219"/>
      <c r="MZZ589" s="219"/>
      <c r="NAA589" s="219"/>
      <c r="NAB589" s="219"/>
      <c r="NAC589" s="219"/>
      <c r="NAD589" s="219"/>
      <c r="NAE589" s="219"/>
      <c r="NAF589" s="219"/>
      <c r="NAG589" s="219"/>
      <c r="NAH589" s="219"/>
      <c r="NAI589" s="219"/>
      <c r="NAJ589" s="219"/>
      <c r="NAK589" s="219"/>
      <c r="NAL589" s="219"/>
      <c r="NAM589" s="219"/>
      <c r="NAN589" s="219"/>
      <c r="NAO589" s="219"/>
      <c r="NAP589" s="219"/>
      <c r="NAQ589" s="219"/>
      <c r="NAR589" s="219"/>
      <c r="NAS589" s="219"/>
      <c r="NAT589" s="219"/>
      <c r="NAU589" s="219"/>
      <c r="NAV589" s="219"/>
      <c r="NAW589" s="219"/>
      <c r="NAX589" s="219"/>
      <c r="NAY589" s="219"/>
      <c r="NAZ589" s="219"/>
      <c r="NBA589" s="219"/>
      <c r="NBB589" s="219"/>
      <c r="NBC589" s="219"/>
      <c r="NBD589" s="219"/>
      <c r="NBE589" s="219"/>
      <c r="NBF589" s="219"/>
      <c r="NBG589" s="219"/>
      <c r="NBH589" s="219"/>
      <c r="NBI589" s="219"/>
      <c r="NBJ589" s="219"/>
      <c r="NBK589" s="219"/>
      <c r="NBL589" s="219"/>
      <c r="NBM589" s="219"/>
      <c r="NBN589" s="219"/>
      <c r="NBO589" s="219"/>
      <c r="NBP589" s="219"/>
      <c r="NBQ589" s="219"/>
      <c r="NBR589" s="219"/>
      <c r="NBS589" s="219"/>
      <c r="NBT589" s="219"/>
      <c r="NBU589" s="219"/>
      <c r="NBV589" s="219"/>
      <c r="NBW589" s="219"/>
      <c r="NBX589" s="219"/>
      <c r="NBY589" s="219"/>
      <c r="NBZ589" s="219"/>
      <c r="NCA589" s="219"/>
      <c r="NCB589" s="219"/>
      <c r="NCC589" s="219"/>
      <c r="NCD589" s="219"/>
      <c r="NCE589" s="219"/>
      <c r="NCF589" s="219"/>
      <c r="NCG589" s="219"/>
      <c r="NCH589" s="219"/>
      <c r="NCI589" s="219"/>
      <c r="NCJ589" s="219"/>
      <c r="NCK589" s="219"/>
      <c r="NCL589" s="219"/>
      <c r="NCM589" s="219"/>
      <c r="NCN589" s="219"/>
      <c r="NCO589" s="219"/>
      <c r="NCP589" s="219"/>
      <c r="NCQ589" s="219"/>
      <c r="NCR589" s="219"/>
      <c r="NCS589" s="219"/>
      <c r="NCT589" s="219"/>
      <c r="NCU589" s="219"/>
      <c r="NCV589" s="219"/>
      <c r="NCW589" s="219"/>
      <c r="NCX589" s="219"/>
      <c r="NCY589" s="219"/>
      <c r="NCZ589" s="219"/>
      <c r="NDA589" s="219"/>
      <c r="NDB589" s="219"/>
      <c r="NDC589" s="219"/>
      <c r="NDD589" s="219"/>
      <c r="NDE589" s="219"/>
      <c r="NDF589" s="219"/>
      <c r="NDG589" s="219"/>
      <c r="NDH589" s="219"/>
      <c r="NDI589" s="219"/>
      <c r="NDJ589" s="219"/>
      <c r="NDK589" s="219"/>
      <c r="NDL589" s="219"/>
      <c r="NDM589" s="219"/>
      <c r="NDN589" s="219"/>
      <c r="NDO589" s="219"/>
      <c r="NDP589" s="219"/>
      <c r="NDQ589" s="219"/>
      <c r="NDR589" s="219"/>
      <c r="NDS589" s="219"/>
      <c r="NDT589" s="219"/>
      <c r="NDU589" s="219"/>
      <c r="NDV589" s="219"/>
      <c r="NDW589" s="219"/>
      <c r="NDX589" s="219"/>
      <c r="NDY589" s="219"/>
      <c r="NDZ589" s="219"/>
      <c r="NEA589" s="219"/>
      <c r="NEB589" s="219"/>
      <c r="NEC589" s="219"/>
      <c r="NED589" s="219"/>
      <c r="NEE589" s="219"/>
      <c r="NEF589" s="219"/>
      <c r="NEG589" s="219"/>
      <c r="NEH589" s="219"/>
      <c r="NEI589" s="219"/>
      <c r="NEJ589" s="219"/>
      <c r="NEK589" s="219"/>
      <c r="NEL589" s="219"/>
      <c r="NEM589" s="219"/>
      <c r="NEN589" s="219"/>
      <c r="NEO589" s="219"/>
      <c r="NEP589" s="219"/>
      <c r="NEQ589" s="219"/>
      <c r="NER589" s="219"/>
      <c r="NES589" s="219"/>
      <c r="NET589" s="219"/>
      <c r="NEU589" s="219"/>
      <c r="NEV589" s="219"/>
      <c r="NEW589" s="219"/>
      <c r="NEX589" s="219"/>
      <c r="NEY589" s="219"/>
      <c r="NEZ589" s="219"/>
      <c r="NFA589" s="219"/>
      <c r="NFB589" s="219"/>
      <c r="NFC589" s="219"/>
      <c r="NFD589" s="219"/>
      <c r="NFE589" s="219"/>
      <c r="NFF589" s="219"/>
      <c r="NFG589" s="219"/>
      <c r="NFH589" s="219"/>
      <c r="NFI589" s="219"/>
      <c r="NFJ589" s="219"/>
      <c r="NFK589" s="219"/>
      <c r="NFL589" s="219"/>
      <c r="NFM589" s="219"/>
      <c r="NFN589" s="219"/>
      <c r="NFO589" s="219"/>
      <c r="NFP589" s="219"/>
      <c r="NFQ589" s="219"/>
      <c r="NFR589" s="219"/>
      <c r="NFS589" s="219"/>
      <c r="NFT589" s="219"/>
      <c r="NFU589" s="219"/>
      <c r="NFV589" s="219"/>
      <c r="NFW589" s="219"/>
      <c r="NFX589" s="219"/>
      <c r="NFY589" s="219"/>
      <c r="NFZ589" s="219"/>
      <c r="NGA589" s="219"/>
      <c r="NGB589" s="219"/>
      <c r="NGC589" s="219"/>
      <c r="NGD589" s="219"/>
      <c r="NGE589" s="219"/>
      <c r="NGF589" s="219"/>
      <c r="NGG589" s="219"/>
      <c r="NGH589" s="219"/>
      <c r="NGI589" s="219"/>
      <c r="NGJ589" s="219"/>
      <c r="NGK589" s="219"/>
      <c r="NGL589" s="219"/>
      <c r="NGM589" s="219"/>
      <c r="NGN589" s="219"/>
      <c r="NGO589" s="219"/>
      <c r="NGP589" s="219"/>
      <c r="NGQ589" s="219"/>
      <c r="NGR589" s="219"/>
      <c r="NGS589" s="219"/>
      <c r="NGT589" s="219"/>
      <c r="NGU589" s="219"/>
      <c r="NGV589" s="219"/>
      <c r="NGW589" s="219"/>
      <c r="NGX589" s="219"/>
      <c r="NGY589" s="219"/>
      <c r="NGZ589" s="219"/>
      <c r="NHA589" s="219"/>
      <c r="NHB589" s="219"/>
      <c r="NHC589" s="219"/>
      <c r="NHD589" s="219"/>
      <c r="NHE589" s="219"/>
      <c r="NHF589" s="219"/>
      <c r="NHG589" s="219"/>
      <c r="NHH589" s="219"/>
      <c r="NHI589" s="219"/>
      <c r="NHJ589" s="219"/>
      <c r="NHK589" s="219"/>
      <c r="NHL589" s="219"/>
      <c r="NHM589" s="219"/>
      <c r="NHN589" s="219"/>
      <c r="NHO589" s="219"/>
      <c r="NHP589" s="219"/>
      <c r="NHQ589" s="219"/>
      <c r="NHR589" s="219"/>
      <c r="NHS589" s="219"/>
      <c r="NHT589" s="219"/>
      <c r="NHU589" s="219"/>
      <c r="NHV589" s="219"/>
      <c r="NHW589" s="219"/>
      <c r="NHX589" s="219"/>
      <c r="NHY589" s="219"/>
      <c r="NHZ589" s="219"/>
      <c r="NIA589" s="219"/>
      <c r="NIB589" s="219"/>
      <c r="NIC589" s="219"/>
      <c r="NID589" s="219"/>
      <c r="NIE589" s="219"/>
      <c r="NIF589" s="219"/>
      <c r="NIG589" s="219"/>
      <c r="NIH589" s="219"/>
      <c r="NII589" s="219"/>
      <c r="NIJ589" s="219"/>
      <c r="NIK589" s="219"/>
      <c r="NIL589" s="219"/>
      <c r="NIM589" s="219"/>
      <c r="NIN589" s="219"/>
      <c r="NIO589" s="219"/>
      <c r="NIP589" s="219"/>
      <c r="NIQ589" s="219"/>
      <c r="NIR589" s="219"/>
      <c r="NIS589" s="219"/>
      <c r="NIT589" s="219"/>
      <c r="NIU589" s="219"/>
      <c r="NIV589" s="219"/>
      <c r="NIW589" s="219"/>
      <c r="NIX589" s="219"/>
      <c r="NIY589" s="219"/>
      <c r="NIZ589" s="219"/>
      <c r="NJA589" s="219"/>
      <c r="NJB589" s="219"/>
      <c r="NJC589" s="219"/>
      <c r="NJD589" s="219"/>
      <c r="NJE589" s="219"/>
      <c r="NJF589" s="219"/>
      <c r="NJG589" s="219"/>
      <c r="NJH589" s="219"/>
      <c r="NJI589" s="219"/>
      <c r="NJJ589" s="219"/>
      <c r="NJK589" s="219"/>
      <c r="NJL589" s="219"/>
      <c r="NJM589" s="219"/>
      <c r="NJN589" s="219"/>
      <c r="NJO589" s="219"/>
      <c r="NJP589" s="219"/>
      <c r="NJQ589" s="219"/>
      <c r="NJR589" s="219"/>
      <c r="NJS589" s="219"/>
      <c r="NJT589" s="219"/>
      <c r="NJU589" s="219"/>
      <c r="NJV589" s="219"/>
      <c r="NJW589" s="219"/>
      <c r="NJX589" s="219"/>
      <c r="NJY589" s="219"/>
      <c r="NJZ589" s="219"/>
      <c r="NKA589" s="219"/>
      <c r="NKB589" s="219"/>
      <c r="NKC589" s="219"/>
      <c r="NKD589" s="219"/>
      <c r="NKE589" s="219"/>
      <c r="NKF589" s="219"/>
      <c r="NKG589" s="219"/>
      <c r="NKH589" s="219"/>
      <c r="NKI589" s="219"/>
      <c r="NKJ589" s="219"/>
      <c r="NKK589" s="219"/>
      <c r="NKL589" s="219"/>
      <c r="NKM589" s="219"/>
      <c r="NKN589" s="219"/>
      <c r="NKO589" s="219"/>
      <c r="NKP589" s="219"/>
      <c r="NKQ589" s="219"/>
      <c r="NKR589" s="219"/>
      <c r="NKS589" s="219"/>
      <c r="NKT589" s="219"/>
      <c r="NKU589" s="219"/>
      <c r="NKV589" s="219"/>
      <c r="NKW589" s="219"/>
      <c r="NKX589" s="219"/>
      <c r="NKY589" s="219"/>
      <c r="NKZ589" s="219"/>
      <c r="NLA589" s="219"/>
      <c r="NLB589" s="219"/>
      <c r="NLC589" s="219"/>
      <c r="NLD589" s="219"/>
      <c r="NLE589" s="219"/>
      <c r="NLF589" s="219"/>
      <c r="NLG589" s="219"/>
      <c r="NLH589" s="219"/>
      <c r="NLI589" s="219"/>
      <c r="NLJ589" s="219"/>
      <c r="NLK589" s="219"/>
      <c r="NLL589" s="219"/>
      <c r="NLM589" s="219"/>
      <c r="NLN589" s="219"/>
      <c r="NLO589" s="219"/>
      <c r="NLP589" s="219"/>
      <c r="NLQ589" s="219"/>
      <c r="NLR589" s="219"/>
      <c r="NLS589" s="219"/>
      <c r="NLT589" s="219"/>
      <c r="NLU589" s="219"/>
      <c r="NLV589" s="219"/>
      <c r="NLW589" s="219"/>
      <c r="NLX589" s="219"/>
      <c r="NLY589" s="219"/>
      <c r="NLZ589" s="219"/>
      <c r="NMA589" s="219"/>
      <c r="NMB589" s="219"/>
      <c r="NMC589" s="219"/>
      <c r="NMD589" s="219"/>
      <c r="NME589" s="219"/>
      <c r="NMF589" s="219"/>
      <c r="NMG589" s="219"/>
      <c r="NMH589" s="219"/>
      <c r="NMI589" s="219"/>
      <c r="NMJ589" s="219"/>
      <c r="NMK589" s="219"/>
      <c r="NML589" s="219"/>
      <c r="NMM589" s="219"/>
      <c r="NMN589" s="219"/>
      <c r="NMO589" s="219"/>
      <c r="NMP589" s="219"/>
      <c r="NMQ589" s="219"/>
      <c r="NMR589" s="219"/>
      <c r="NMS589" s="219"/>
      <c r="NMT589" s="219"/>
      <c r="NMU589" s="219"/>
      <c r="NMV589" s="219"/>
      <c r="NMW589" s="219"/>
      <c r="NMX589" s="219"/>
      <c r="NMY589" s="219"/>
      <c r="NMZ589" s="219"/>
      <c r="NNA589" s="219"/>
      <c r="NNB589" s="219"/>
      <c r="NNC589" s="219"/>
      <c r="NND589" s="219"/>
      <c r="NNE589" s="219"/>
      <c r="NNF589" s="219"/>
      <c r="NNG589" s="219"/>
      <c r="NNH589" s="219"/>
      <c r="NNI589" s="219"/>
      <c r="NNJ589" s="219"/>
      <c r="NNK589" s="219"/>
      <c r="NNL589" s="219"/>
      <c r="NNM589" s="219"/>
      <c r="NNN589" s="219"/>
      <c r="NNO589" s="219"/>
      <c r="NNP589" s="219"/>
      <c r="NNQ589" s="219"/>
      <c r="NNR589" s="219"/>
      <c r="NNS589" s="219"/>
      <c r="NNT589" s="219"/>
      <c r="NNU589" s="219"/>
      <c r="NNV589" s="219"/>
      <c r="NNW589" s="219"/>
      <c r="NNX589" s="219"/>
      <c r="NNY589" s="219"/>
      <c r="NNZ589" s="219"/>
      <c r="NOA589" s="219"/>
      <c r="NOB589" s="219"/>
      <c r="NOC589" s="219"/>
      <c r="NOD589" s="219"/>
      <c r="NOE589" s="219"/>
      <c r="NOF589" s="219"/>
      <c r="NOG589" s="219"/>
      <c r="NOH589" s="219"/>
      <c r="NOI589" s="219"/>
      <c r="NOJ589" s="219"/>
      <c r="NOK589" s="219"/>
      <c r="NOL589" s="219"/>
      <c r="NOM589" s="219"/>
      <c r="NON589" s="219"/>
      <c r="NOO589" s="219"/>
      <c r="NOP589" s="219"/>
      <c r="NOQ589" s="219"/>
      <c r="NOR589" s="219"/>
      <c r="NOS589" s="219"/>
      <c r="NOT589" s="219"/>
      <c r="NOU589" s="219"/>
      <c r="NOV589" s="219"/>
      <c r="NOW589" s="219"/>
      <c r="NOX589" s="219"/>
      <c r="NOY589" s="219"/>
      <c r="NOZ589" s="219"/>
      <c r="NPA589" s="219"/>
      <c r="NPB589" s="219"/>
      <c r="NPC589" s="219"/>
      <c r="NPD589" s="219"/>
      <c r="NPE589" s="219"/>
      <c r="NPF589" s="219"/>
      <c r="NPG589" s="219"/>
      <c r="NPH589" s="219"/>
      <c r="NPI589" s="219"/>
      <c r="NPJ589" s="219"/>
      <c r="NPK589" s="219"/>
      <c r="NPL589" s="219"/>
      <c r="NPM589" s="219"/>
      <c r="NPN589" s="219"/>
      <c r="NPO589" s="219"/>
      <c r="NPP589" s="219"/>
      <c r="NPQ589" s="219"/>
      <c r="NPR589" s="219"/>
      <c r="NPS589" s="219"/>
      <c r="NPT589" s="219"/>
      <c r="NPU589" s="219"/>
      <c r="NPV589" s="219"/>
      <c r="NPW589" s="219"/>
      <c r="NPX589" s="219"/>
      <c r="NPY589" s="219"/>
      <c r="NPZ589" s="219"/>
      <c r="NQA589" s="219"/>
      <c r="NQB589" s="219"/>
      <c r="NQC589" s="219"/>
      <c r="NQD589" s="219"/>
      <c r="NQE589" s="219"/>
      <c r="NQF589" s="219"/>
      <c r="NQG589" s="219"/>
      <c r="NQH589" s="219"/>
      <c r="NQI589" s="219"/>
      <c r="NQJ589" s="219"/>
      <c r="NQK589" s="219"/>
      <c r="NQL589" s="219"/>
      <c r="NQM589" s="219"/>
      <c r="NQN589" s="219"/>
      <c r="NQO589" s="219"/>
      <c r="NQP589" s="219"/>
      <c r="NQQ589" s="219"/>
      <c r="NQR589" s="219"/>
      <c r="NQS589" s="219"/>
      <c r="NQT589" s="219"/>
      <c r="NQU589" s="219"/>
      <c r="NQV589" s="219"/>
      <c r="NQW589" s="219"/>
      <c r="NQX589" s="219"/>
      <c r="NQY589" s="219"/>
      <c r="NQZ589" s="219"/>
      <c r="NRA589" s="219"/>
      <c r="NRB589" s="219"/>
      <c r="NRC589" s="219"/>
      <c r="NRD589" s="219"/>
      <c r="NRE589" s="219"/>
      <c r="NRF589" s="219"/>
      <c r="NRG589" s="219"/>
      <c r="NRH589" s="219"/>
      <c r="NRI589" s="219"/>
      <c r="NRJ589" s="219"/>
      <c r="NRK589" s="219"/>
      <c r="NRL589" s="219"/>
      <c r="NRM589" s="219"/>
      <c r="NRN589" s="219"/>
      <c r="NRO589" s="219"/>
      <c r="NRP589" s="219"/>
      <c r="NRQ589" s="219"/>
      <c r="NRR589" s="219"/>
      <c r="NRS589" s="219"/>
      <c r="NRT589" s="219"/>
      <c r="NRU589" s="219"/>
      <c r="NRV589" s="219"/>
      <c r="NRW589" s="219"/>
      <c r="NRX589" s="219"/>
      <c r="NRY589" s="219"/>
      <c r="NRZ589" s="219"/>
      <c r="NSA589" s="219"/>
      <c r="NSB589" s="219"/>
      <c r="NSC589" s="219"/>
      <c r="NSD589" s="219"/>
      <c r="NSE589" s="219"/>
      <c r="NSF589" s="219"/>
      <c r="NSG589" s="219"/>
      <c r="NSH589" s="219"/>
      <c r="NSI589" s="219"/>
      <c r="NSJ589" s="219"/>
      <c r="NSK589" s="219"/>
      <c r="NSL589" s="219"/>
      <c r="NSM589" s="219"/>
      <c r="NSN589" s="219"/>
      <c r="NSO589" s="219"/>
      <c r="NSP589" s="219"/>
      <c r="NSQ589" s="219"/>
      <c r="NSR589" s="219"/>
      <c r="NSS589" s="219"/>
      <c r="NST589" s="219"/>
      <c r="NSU589" s="219"/>
      <c r="NSV589" s="219"/>
      <c r="NSW589" s="219"/>
      <c r="NSX589" s="219"/>
      <c r="NSY589" s="219"/>
      <c r="NSZ589" s="219"/>
      <c r="NTA589" s="219"/>
      <c r="NTB589" s="219"/>
      <c r="NTC589" s="219"/>
      <c r="NTD589" s="219"/>
      <c r="NTE589" s="219"/>
      <c r="NTF589" s="219"/>
      <c r="NTG589" s="219"/>
      <c r="NTH589" s="219"/>
      <c r="NTI589" s="219"/>
      <c r="NTJ589" s="219"/>
      <c r="NTK589" s="219"/>
      <c r="NTL589" s="219"/>
      <c r="NTM589" s="219"/>
      <c r="NTN589" s="219"/>
      <c r="NTO589" s="219"/>
      <c r="NTP589" s="219"/>
      <c r="NTQ589" s="219"/>
      <c r="NTR589" s="219"/>
      <c r="NTS589" s="219"/>
      <c r="NTT589" s="219"/>
      <c r="NTU589" s="219"/>
      <c r="NTV589" s="219"/>
      <c r="NTW589" s="219"/>
      <c r="NTX589" s="219"/>
      <c r="NTY589" s="219"/>
      <c r="NTZ589" s="219"/>
      <c r="NUA589" s="219"/>
      <c r="NUB589" s="219"/>
      <c r="NUC589" s="219"/>
      <c r="NUD589" s="219"/>
      <c r="NUE589" s="219"/>
      <c r="NUF589" s="219"/>
      <c r="NUG589" s="219"/>
      <c r="NUH589" s="219"/>
      <c r="NUI589" s="219"/>
      <c r="NUJ589" s="219"/>
      <c r="NUK589" s="219"/>
      <c r="NUL589" s="219"/>
      <c r="NUM589" s="219"/>
      <c r="NUN589" s="219"/>
      <c r="NUO589" s="219"/>
      <c r="NUP589" s="219"/>
      <c r="NUQ589" s="219"/>
      <c r="NUR589" s="219"/>
      <c r="NUS589" s="219"/>
      <c r="NUT589" s="219"/>
      <c r="NUU589" s="219"/>
      <c r="NUV589" s="219"/>
      <c r="NUW589" s="219"/>
      <c r="NUX589" s="219"/>
      <c r="NUY589" s="219"/>
      <c r="NUZ589" s="219"/>
      <c r="NVA589" s="219"/>
      <c r="NVB589" s="219"/>
      <c r="NVC589" s="219"/>
      <c r="NVD589" s="219"/>
      <c r="NVE589" s="219"/>
      <c r="NVF589" s="219"/>
      <c r="NVG589" s="219"/>
      <c r="NVH589" s="219"/>
      <c r="NVI589" s="219"/>
      <c r="NVJ589" s="219"/>
      <c r="NVK589" s="219"/>
      <c r="NVL589" s="219"/>
      <c r="NVM589" s="219"/>
      <c r="NVN589" s="219"/>
      <c r="NVO589" s="219"/>
      <c r="NVP589" s="219"/>
      <c r="NVQ589" s="219"/>
      <c r="NVR589" s="219"/>
      <c r="NVS589" s="219"/>
      <c r="NVT589" s="219"/>
      <c r="NVU589" s="219"/>
      <c r="NVV589" s="219"/>
      <c r="NVW589" s="219"/>
      <c r="NVX589" s="219"/>
      <c r="NVY589" s="219"/>
      <c r="NVZ589" s="219"/>
      <c r="NWA589" s="219"/>
      <c r="NWB589" s="219"/>
      <c r="NWC589" s="219"/>
      <c r="NWD589" s="219"/>
      <c r="NWE589" s="219"/>
      <c r="NWF589" s="219"/>
      <c r="NWG589" s="219"/>
      <c r="NWH589" s="219"/>
      <c r="NWI589" s="219"/>
      <c r="NWJ589" s="219"/>
      <c r="NWK589" s="219"/>
      <c r="NWL589" s="219"/>
      <c r="NWM589" s="219"/>
      <c r="NWN589" s="219"/>
      <c r="NWO589" s="219"/>
      <c r="NWP589" s="219"/>
      <c r="NWQ589" s="219"/>
      <c r="NWR589" s="219"/>
      <c r="NWS589" s="219"/>
      <c r="NWT589" s="219"/>
      <c r="NWU589" s="219"/>
      <c r="NWV589" s="219"/>
      <c r="NWW589" s="219"/>
      <c r="NWX589" s="219"/>
      <c r="NWY589" s="219"/>
      <c r="NWZ589" s="219"/>
      <c r="NXA589" s="219"/>
      <c r="NXB589" s="219"/>
      <c r="NXC589" s="219"/>
      <c r="NXD589" s="219"/>
      <c r="NXE589" s="219"/>
      <c r="NXF589" s="219"/>
      <c r="NXG589" s="219"/>
      <c r="NXH589" s="219"/>
      <c r="NXI589" s="219"/>
      <c r="NXJ589" s="219"/>
      <c r="NXK589" s="219"/>
      <c r="NXL589" s="219"/>
      <c r="NXM589" s="219"/>
      <c r="NXN589" s="219"/>
      <c r="NXO589" s="219"/>
      <c r="NXP589" s="219"/>
      <c r="NXQ589" s="219"/>
      <c r="NXR589" s="219"/>
      <c r="NXS589" s="219"/>
      <c r="NXT589" s="219"/>
      <c r="NXU589" s="219"/>
      <c r="NXV589" s="219"/>
      <c r="NXW589" s="219"/>
      <c r="NXX589" s="219"/>
      <c r="NXY589" s="219"/>
      <c r="NXZ589" s="219"/>
      <c r="NYA589" s="219"/>
      <c r="NYB589" s="219"/>
      <c r="NYC589" s="219"/>
      <c r="NYD589" s="219"/>
      <c r="NYE589" s="219"/>
      <c r="NYF589" s="219"/>
      <c r="NYG589" s="219"/>
      <c r="NYH589" s="219"/>
      <c r="NYI589" s="219"/>
      <c r="NYJ589" s="219"/>
      <c r="NYK589" s="219"/>
      <c r="NYL589" s="219"/>
      <c r="NYM589" s="219"/>
      <c r="NYN589" s="219"/>
      <c r="NYO589" s="219"/>
      <c r="NYP589" s="219"/>
      <c r="NYQ589" s="219"/>
      <c r="NYR589" s="219"/>
      <c r="NYS589" s="219"/>
      <c r="NYT589" s="219"/>
      <c r="NYU589" s="219"/>
      <c r="NYV589" s="219"/>
      <c r="NYW589" s="219"/>
      <c r="NYX589" s="219"/>
      <c r="NYY589" s="219"/>
      <c r="NYZ589" s="219"/>
      <c r="NZA589" s="219"/>
      <c r="NZB589" s="219"/>
      <c r="NZC589" s="219"/>
      <c r="NZD589" s="219"/>
      <c r="NZE589" s="219"/>
      <c r="NZF589" s="219"/>
      <c r="NZG589" s="219"/>
      <c r="NZH589" s="219"/>
      <c r="NZI589" s="219"/>
      <c r="NZJ589" s="219"/>
      <c r="NZK589" s="219"/>
      <c r="NZL589" s="219"/>
      <c r="NZM589" s="219"/>
      <c r="NZN589" s="219"/>
      <c r="NZO589" s="219"/>
      <c r="NZP589" s="219"/>
      <c r="NZQ589" s="219"/>
      <c r="NZR589" s="219"/>
      <c r="NZS589" s="219"/>
      <c r="NZT589" s="219"/>
      <c r="NZU589" s="219"/>
      <c r="NZV589" s="219"/>
      <c r="NZW589" s="219"/>
      <c r="NZX589" s="219"/>
      <c r="NZY589" s="219"/>
      <c r="NZZ589" s="219"/>
      <c r="OAA589" s="219"/>
      <c r="OAB589" s="219"/>
      <c r="OAC589" s="219"/>
      <c r="OAD589" s="219"/>
      <c r="OAE589" s="219"/>
      <c r="OAF589" s="219"/>
      <c r="OAG589" s="219"/>
      <c r="OAH589" s="219"/>
      <c r="OAI589" s="219"/>
      <c r="OAJ589" s="219"/>
      <c r="OAK589" s="219"/>
      <c r="OAL589" s="219"/>
      <c r="OAM589" s="219"/>
      <c r="OAN589" s="219"/>
      <c r="OAO589" s="219"/>
      <c r="OAP589" s="219"/>
      <c r="OAQ589" s="219"/>
      <c r="OAR589" s="219"/>
      <c r="OAS589" s="219"/>
      <c r="OAT589" s="219"/>
      <c r="OAU589" s="219"/>
      <c r="OAV589" s="219"/>
      <c r="OAW589" s="219"/>
      <c r="OAX589" s="219"/>
      <c r="OAY589" s="219"/>
      <c r="OAZ589" s="219"/>
      <c r="OBA589" s="219"/>
      <c r="OBB589" s="219"/>
      <c r="OBC589" s="219"/>
      <c r="OBD589" s="219"/>
      <c r="OBE589" s="219"/>
      <c r="OBF589" s="219"/>
      <c r="OBG589" s="219"/>
      <c r="OBH589" s="219"/>
      <c r="OBI589" s="219"/>
      <c r="OBJ589" s="219"/>
      <c r="OBK589" s="219"/>
      <c r="OBL589" s="219"/>
      <c r="OBM589" s="219"/>
      <c r="OBN589" s="219"/>
      <c r="OBO589" s="219"/>
      <c r="OBP589" s="219"/>
      <c r="OBQ589" s="219"/>
      <c r="OBR589" s="219"/>
      <c r="OBS589" s="219"/>
      <c r="OBT589" s="219"/>
      <c r="OBU589" s="219"/>
      <c r="OBV589" s="219"/>
      <c r="OBW589" s="219"/>
      <c r="OBX589" s="219"/>
      <c r="OBY589" s="219"/>
      <c r="OBZ589" s="219"/>
      <c r="OCA589" s="219"/>
      <c r="OCB589" s="219"/>
      <c r="OCC589" s="219"/>
      <c r="OCD589" s="219"/>
      <c r="OCE589" s="219"/>
      <c r="OCF589" s="219"/>
      <c r="OCG589" s="219"/>
      <c r="OCH589" s="219"/>
      <c r="OCI589" s="219"/>
      <c r="OCJ589" s="219"/>
      <c r="OCK589" s="219"/>
      <c r="OCL589" s="219"/>
      <c r="OCM589" s="219"/>
      <c r="OCN589" s="219"/>
      <c r="OCO589" s="219"/>
      <c r="OCP589" s="219"/>
      <c r="OCQ589" s="219"/>
      <c r="OCR589" s="219"/>
      <c r="OCS589" s="219"/>
      <c r="OCT589" s="219"/>
      <c r="OCU589" s="219"/>
      <c r="OCV589" s="219"/>
      <c r="OCW589" s="219"/>
      <c r="OCX589" s="219"/>
      <c r="OCY589" s="219"/>
      <c r="OCZ589" s="219"/>
      <c r="ODA589" s="219"/>
      <c r="ODB589" s="219"/>
      <c r="ODC589" s="219"/>
      <c r="ODD589" s="219"/>
      <c r="ODE589" s="219"/>
      <c r="ODF589" s="219"/>
      <c r="ODG589" s="219"/>
      <c r="ODH589" s="219"/>
      <c r="ODI589" s="219"/>
      <c r="ODJ589" s="219"/>
      <c r="ODK589" s="219"/>
      <c r="ODL589" s="219"/>
      <c r="ODM589" s="219"/>
      <c r="ODN589" s="219"/>
      <c r="ODO589" s="219"/>
      <c r="ODP589" s="219"/>
      <c r="ODQ589" s="219"/>
      <c r="ODR589" s="219"/>
      <c r="ODS589" s="219"/>
      <c r="ODT589" s="219"/>
      <c r="ODU589" s="219"/>
      <c r="ODV589" s="219"/>
      <c r="ODW589" s="219"/>
      <c r="ODX589" s="219"/>
      <c r="ODY589" s="219"/>
      <c r="ODZ589" s="219"/>
      <c r="OEA589" s="219"/>
      <c r="OEB589" s="219"/>
      <c r="OEC589" s="219"/>
      <c r="OED589" s="219"/>
      <c r="OEE589" s="219"/>
      <c r="OEF589" s="219"/>
      <c r="OEG589" s="219"/>
      <c r="OEH589" s="219"/>
      <c r="OEI589" s="219"/>
      <c r="OEJ589" s="219"/>
      <c r="OEK589" s="219"/>
      <c r="OEL589" s="219"/>
      <c r="OEM589" s="219"/>
      <c r="OEN589" s="219"/>
      <c r="OEO589" s="219"/>
      <c r="OEP589" s="219"/>
      <c r="OEQ589" s="219"/>
      <c r="OER589" s="219"/>
      <c r="OES589" s="219"/>
      <c r="OET589" s="219"/>
      <c r="OEU589" s="219"/>
      <c r="OEV589" s="219"/>
      <c r="OEW589" s="219"/>
      <c r="OEX589" s="219"/>
      <c r="OEY589" s="219"/>
      <c r="OEZ589" s="219"/>
      <c r="OFA589" s="219"/>
      <c r="OFB589" s="219"/>
      <c r="OFC589" s="219"/>
      <c r="OFD589" s="219"/>
      <c r="OFE589" s="219"/>
      <c r="OFF589" s="219"/>
      <c r="OFG589" s="219"/>
      <c r="OFH589" s="219"/>
      <c r="OFI589" s="219"/>
      <c r="OFJ589" s="219"/>
      <c r="OFK589" s="219"/>
      <c r="OFL589" s="219"/>
      <c r="OFM589" s="219"/>
      <c r="OFN589" s="219"/>
      <c r="OFO589" s="219"/>
      <c r="OFP589" s="219"/>
      <c r="OFQ589" s="219"/>
      <c r="OFR589" s="219"/>
      <c r="OFS589" s="219"/>
      <c r="OFT589" s="219"/>
      <c r="OFU589" s="219"/>
      <c r="OFV589" s="219"/>
      <c r="OFW589" s="219"/>
      <c r="OFX589" s="219"/>
      <c r="OFY589" s="219"/>
      <c r="OFZ589" s="219"/>
      <c r="OGA589" s="219"/>
      <c r="OGB589" s="219"/>
      <c r="OGC589" s="219"/>
      <c r="OGD589" s="219"/>
      <c r="OGE589" s="219"/>
      <c r="OGF589" s="219"/>
      <c r="OGG589" s="219"/>
      <c r="OGH589" s="219"/>
      <c r="OGI589" s="219"/>
      <c r="OGJ589" s="219"/>
      <c r="OGK589" s="219"/>
      <c r="OGL589" s="219"/>
      <c r="OGM589" s="219"/>
      <c r="OGN589" s="219"/>
      <c r="OGO589" s="219"/>
      <c r="OGP589" s="219"/>
      <c r="OGQ589" s="219"/>
      <c r="OGR589" s="219"/>
      <c r="OGS589" s="219"/>
      <c r="OGT589" s="219"/>
      <c r="OGU589" s="219"/>
      <c r="OGV589" s="219"/>
      <c r="OGW589" s="219"/>
      <c r="OGX589" s="219"/>
      <c r="OGY589" s="219"/>
      <c r="OGZ589" s="219"/>
      <c r="OHA589" s="219"/>
      <c r="OHB589" s="219"/>
      <c r="OHC589" s="219"/>
      <c r="OHD589" s="219"/>
      <c r="OHE589" s="219"/>
      <c r="OHF589" s="219"/>
      <c r="OHG589" s="219"/>
      <c r="OHH589" s="219"/>
      <c r="OHI589" s="219"/>
      <c r="OHJ589" s="219"/>
      <c r="OHK589" s="219"/>
      <c r="OHL589" s="219"/>
      <c r="OHM589" s="219"/>
      <c r="OHN589" s="219"/>
      <c r="OHO589" s="219"/>
      <c r="OHP589" s="219"/>
      <c r="OHQ589" s="219"/>
      <c r="OHR589" s="219"/>
      <c r="OHS589" s="219"/>
      <c r="OHT589" s="219"/>
      <c r="OHU589" s="219"/>
      <c r="OHV589" s="219"/>
      <c r="OHW589" s="219"/>
      <c r="OHX589" s="219"/>
      <c r="OHY589" s="219"/>
      <c r="OHZ589" s="219"/>
      <c r="OIA589" s="219"/>
      <c r="OIB589" s="219"/>
      <c r="OIC589" s="219"/>
      <c r="OID589" s="219"/>
      <c r="OIE589" s="219"/>
      <c r="OIF589" s="219"/>
      <c r="OIG589" s="219"/>
      <c r="OIH589" s="219"/>
      <c r="OII589" s="219"/>
      <c r="OIJ589" s="219"/>
      <c r="OIK589" s="219"/>
      <c r="OIL589" s="219"/>
      <c r="OIM589" s="219"/>
      <c r="OIN589" s="219"/>
      <c r="OIO589" s="219"/>
      <c r="OIP589" s="219"/>
      <c r="OIQ589" s="219"/>
      <c r="OIR589" s="219"/>
      <c r="OIS589" s="219"/>
      <c r="OIT589" s="219"/>
      <c r="OIU589" s="219"/>
      <c r="OIV589" s="219"/>
      <c r="OIW589" s="219"/>
      <c r="OIX589" s="219"/>
      <c r="OIY589" s="219"/>
      <c r="OIZ589" s="219"/>
      <c r="OJA589" s="219"/>
      <c r="OJB589" s="219"/>
      <c r="OJC589" s="219"/>
      <c r="OJD589" s="219"/>
      <c r="OJE589" s="219"/>
      <c r="OJF589" s="219"/>
      <c r="OJG589" s="219"/>
      <c r="OJH589" s="219"/>
      <c r="OJI589" s="219"/>
      <c r="OJJ589" s="219"/>
      <c r="OJK589" s="219"/>
      <c r="OJL589" s="219"/>
      <c r="OJM589" s="219"/>
      <c r="OJN589" s="219"/>
      <c r="OJO589" s="219"/>
      <c r="OJP589" s="219"/>
      <c r="OJQ589" s="219"/>
      <c r="OJR589" s="219"/>
      <c r="OJS589" s="219"/>
      <c r="OJT589" s="219"/>
      <c r="OJU589" s="219"/>
      <c r="OJV589" s="219"/>
      <c r="OJW589" s="219"/>
      <c r="OJX589" s="219"/>
      <c r="OJY589" s="219"/>
      <c r="OJZ589" s="219"/>
      <c r="OKA589" s="219"/>
      <c r="OKB589" s="219"/>
      <c r="OKC589" s="219"/>
      <c r="OKD589" s="219"/>
      <c r="OKE589" s="219"/>
      <c r="OKF589" s="219"/>
      <c r="OKG589" s="219"/>
      <c r="OKH589" s="219"/>
      <c r="OKI589" s="219"/>
      <c r="OKJ589" s="219"/>
      <c r="OKK589" s="219"/>
      <c r="OKL589" s="219"/>
      <c r="OKM589" s="219"/>
      <c r="OKN589" s="219"/>
      <c r="OKO589" s="219"/>
      <c r="OKP589" s="219"/>
      <c r="OKQ589" s="219"/>
      <c r="OKR589" s="219"/>
      <c r="OKS589" s="219"/>
      <c r="OKT589" s="219"/>
      <c r="OKU589" s="219"/>
      <c r="OKV589" s="219"/>
      <c r="OKW589" s="219"/>
      <c r="OKX589" s="219"/>
      <c r="OKY589" s="219"/>
      <c r="OKZ589" s="219"/>
      <c r="OLA589" s="219"/>
      <c r="OLB589" s="219"/>
      <c r="OLC589" s="219"/>
      <c r="OLD589" s="219"/>
      <c r="OLE589" s="219"/>
      <c r="OLF589" s="219"/>
      <c r="OLG589" s="219"/>
      <c r="OLH589" s="219"/>
      <c r="OLI589" s="219"/>
      <c r="OLJ589" s="219"/>
      <c r="OLK589" s="219"/>
      <c r="OLL589" s="219"/>
      <c r="OLM589" s="219"/>
      <c r="OLN589" s="219"/>
      <c r="OLO589" s="219"/>
      <c r="OLP589" s="219"/>
      <c r="OLQ589" s="219"/>
      <c r="OLR589" s="219"/>
      <c r="OLS589" s="219"/>
      <c r="OLT589" s="219"/>
      <c r="OLU589" s="219"/>
      <c r="OLV589" s="219"/>
      <c r="OLW589" s="219"/>
      <c r="OLX589" s="219"/>
      <c r="OLY589" s="219"/>
      <c r="OLZ589" s="219"/>
      <c r="OMA589" s="219"/>
      <c r="OMB589" s="219"/>
      <c r="OMC589" s="219"/>
      <c r="OMD589" s="219"/>
      <c r="OME589" s="219"/>
      <c r="OMF589" s="219"/>
      <c r="OMG589" s="219"/>
      <c r="OMH589" s="219"/>
      <c r="OMI589" s="219"/>
      <c r="OMJ589" s="219"/>
      <c r="OMK589" s="219"/>
      <c r="OML589" s="219"/>
      <c r="OMM589" s="219"/>
      <c r="OMN589" s="219"/>
      <c r="OMO589" s="219"/>
      <c r="OMP589" s="219"/>
      <c r="OMQ589" s="219"/>
      <c r="OMR589" s="219"/>
      <c r="OMS589" s="219"/>
      <c r="OMT589" s="219"/>
      <c r="OMU589" s="219"/>
      <c r="OMV589" s="219"/>
      <c r="OMW589" s="219"/>
      <c r="OMX589" s="219"/>
      <c r="OMY589" s="219"/>
      <c r="OMZ589" s="219"/>
      <c r="ONA589" s="219"/>
      <c r="ONB589" s="219"/>
      <c r="ONC589" s="219"/>
      <c r="OND589" s="219"/>
      <c r="ONE589" s="219"/>
      <c r="ONF589" s="219"/>
      <c r="ONG589" s="219"/>
      <c r="ONH589" s="219"/>
      <c r="ONI589" s="219"/>
      <c r="ONJ589" s="219"/>
      <c r="ONK589" s="219"/>
      <c r="ONL589" s="219"/>
      <c r="ONM589" s="219"/>
      <c r="ONN589" s="219"/>
      <c r="ONO589" s="219"/>
      <c r="ONP589" s="219"/>
      <c r="ONQ589" s="219"/>
      <c r="ONR589" s="219"/>
      <c r="ONS589" s="219"/>
      <c r="ONT589" s="219"/>
      <c r="ONU589" s="219"/>
      <c r="ONV589" s="219"/>
      <c r="ONW589" s="219"/>
      <c r="ONX589" s="219"/>
      <c r="ONY589" s="219"/>
      <c r="ONZ589" s="219"/>
      <c r="OOA589" s="219"/>
      <c r="OOB589" s="219"/>
      <c r="OOC589" s="219"/>
      <c r="OOD589" s="219"/>
      <c r="OOE589" s="219"/>
      <c r="OOF589" s="219"/>
      <c r="OOG589" s="219"/>
      <c r="OOH589" s="219"/>
      <c r="OOI589" s="219"/>
      <c r="OOJ589" s="219"/>
      <c r="OOK589" s="219"/>
      <c r="OOL589" s="219"/>
      <c r="OOM589" s="219"/>
      <c r="OON589" s="219"/>
      <c r="OOO589" s="219"/>
      <c r="OOP589" s="219"/>
      <c r="OOQ589" s="219"/>
      <c r="OOR589" s="219"/>
      <c r="OOS589" s="219"/>
      <c r="OOT589" s="219"/>
      <c r="OOU589" s="219"/>
      <c r="OOV589" s="219"/>
      <c r="OOW589" s="219"/>
      <c r="OOX589" s="219"/>
      <c r="OOY589" s="219"/>
      <c r="OOZ589" s="219"/>
      <c r="OPA589" s="219"/>
      <c r="OPB589" s="219"/>
      <c r="OPC589" s="219"/>
      <c r="OPD589" s="219"/>
      <c r="OPE589" s="219"/>
      <c r="OPF589" s="219"/>
      <c r="OPG589" s="219"/>
      <c r="OPH589" s="219"/>
      <c r="OPI589" s="219"/>
      <c r="OPJ589" s="219"/>
      <c r="OPK589" s="219"/>
      <c r="OPL589" s="219"/>
      <c r="OPM589" s="219"/>
      <c r="OPN589" s="219"/>
      <c r="OPO589" s="219"/>
      <c r="OPP589" s="219"/>
      <c r="OPQ589" s="219"/>
      <c r="OPR589" s="219"/>
      <c r="OPS589" s="219"/>
      <c r="OPT589" s="219"/>
      <c r="OPU589" s="219"/>
      <c r="OPV589" s="219"/>
      <c r="OPW589" s="219"/>
      <c r="OPX589" s="219"/>
      <c r="OPY589" s="219"/>
      <c r="OPZ589" s="219"/>
      <c r="OQA589" s="219"/>
      <c r="OQB589" s="219"/>
      <c r="OQC589" s="219"/>
      <c r="OQD589" s="219"/>
      <c r="OQE589" s="219"/>
      <c r="OQF589" s="219"/>
      <c r="OQG589" s="219"/>
      <c r="OQH589" s="219"/>
      <c r="OQI589" s="219"/>
      <c r="OQJ589" s="219"/>
      <c r="OQK589" s="219"/>
      <c r="OQL589" s="219"/>
      <c r="OQM589" s="219"/>
      <c r="OQN589" s="219"/>
      <c r="OQO589" s="219"/>
      <c r="OQP589" s="219"/>
      <c r="OQQ589" s="219"/>
      <c r="OQR589" s="219"/>
      <c r="OQS589" s="219"/>
      <c r="OQT589" s="219"/>
      <c r="OQU589" s="219"/>
      <c r="OQV589" s="219"/>
      <c r="OQW589" s="219"/>
      <c r="OQX589" s="219"/>
      <c r="OQY589" s="219"/>
      <c r="OQZ589" s="219"/>
      <c r="ORA589" s="219"/>
      <c r="ORB589" s="219"/>
      <c r="ORC589" s="219"/>
      <c r="ORD589" s="219"/>
      <c r="ORE589" s="219"/>
      <c r="ORF589" s="219"/>
      <c r="ORG589" s="219"/>
      <c r="ORH589" s="219"/>
      <c r="ORI589" s="219"/>
      <c r="ORJ589" s="219"/>
      <c r="ORK589" s="219"/>
      <c r="ORL589" s="219"/>
      <c r="ORM589" s="219"/>
      <c r="ORN589" s="219"/>
      <c r="ORO589" s="219"/>
      <c r="ORP589" s="219"/>
      <c r="ORQ589" s="219"/>
      <c r="ORR589" s="219"/>
      <c r="ORS589" s="219"/>
      <c r="ORT589" s="219"/>
      <c r="ORU589" s="219"/>
      <c r="ORV589" s="219"/>
      <c r="ORW589" s="219"/>
      <c r="ORX589" s="219"/>
      <c r="ORY589" s="219"/>
      <c r="ORZ589" s="219"/>
      <c r="OSA589" s="219"/>
      <c r="OSB589" s="219"/>
      <c r="OSC589" s="219"/>
      <c r="OSD589" s="219"/>
      <c r="OSE589" s="219"/>
      <c r="OSF589" s="219"/>
      <c r="OSG589" s="219"/>
      <c r="OSH589" s="219"/>
      <c r="OSI589" s="219"/>
      <c r="OSJ589" s="219"/>
      <c r="OSK589" s="219"/>
      <c r="OSL589" s="219"/>
      <c r="OSM589" s="219"/>
      <c r="OSN589" s="219"/>
      <c r="OSO589" s="219"/>
      <c r="OSP589" s="219"/>
      <c r="OSQ589" s="219"/>
      <c r="OSR589" s="219"/>
      <c r="OSS589" s="219"/>
      <c r="OST589" s="219"/>
      <c r="OSU589" s="219"/>
      <c r="OSV589" s="219"/>
      <c r="OSW589" s="219"/>
      <c r="OSX589" s="219"/>
      <c r="OSY589" s="219"/>
      <c r="OSZ589" s="219"/>
      <c r="OTA589" s="219"/>
      <c r="OTB589" s="219"/>
      <c r="OTC589" s="219"/>
      <c r="OTD589" s="219"/>
      <c r="OTE589" s="219"/>
      <c r="OTF589" s="219"/>
      <c r="OTG589" s="219"/>
      <c r="OTH589" s="219"/>
      <c r="OTI589" s="219"/>
      <c r="OTJ589" s="219"/>
      <c r="OTK589" s="219"/>
      <c r="OTL589" s="219"/>
      <c r="OTM589" s="219"/>
      <c r="OTN589" s="219"/>
      <c r="OTO589" s="219"/>
      <c r="OTP589" s="219"/>
      <c r="OTQ589" s="219"/>
      <c r="OTR589" s="219"/>
      <c r="OTS589" s="219"/>
      <c r="OTT589" s="219"/>
      <c r="OTU589" s="219"/>
      <c r="OTV589" s="219"/>
      <c r="OTW589" s="219"/>
      <c r="OTX589" s="219"/>
      <c r="OTY589" s="219"/>
      <c r="OTZ589" s="219"/>
      <c r="OUA589" s="219"/>
      <c r="OUB589" s="219"/>
      <c r="OUC589" s="219"/>
      <c r="OUD589" s="219"/>
      <c r="OUE589" s="219"/>
      <c r="OUF589" s="219"/>
      <c r="OUG589" s="219"/>
      <c r="OUH589" s="219"/>
      <c r="OUI589" s="219"/>
      <c r="OUJ589" s="219"/>
      <c r="OUK589" s="219"/>
      <c r="OUL589" s="219"/>
      <c r="OUM589" s="219"/>
      <c r="OUN589" s="219"/>
      <c r="OUO589" s="219"/>
      <c r="OUP589" s="219"/>
      <c r="OUQ589" s="219"/>
      <c r="OUR589" s="219"/>
      <c r="OUS589" s="219"/>
      <c r="OUT589" s="219"/>
      <c r="OUU589" s="219"/>
      <c r="OUV589" s="219"/>
      <c r="OUW589" s="219"/>
      <c r="OUX589" s="219"/>
      <c r="OUY589" s="219"/>
      <c r="OUZ589" s="219"/>
      <c r="OVA589" s="219"/>
      <c r="OVB589" s="219"/>
      <c r="OVC589" s="219"/>
      <c r="OVD589" s="219"/>
      <c r="OVE589" s="219"/>
      <c r="OVF589" s="219"/>
      <c r="OVG589" s="219"/>
      <c r="OVH589" s="219"/>
      <c r="OVI589" s="219"/>
      <c r="OVJ589" s="219"/>
      <c r="OVK589" s="219"/>
      <c r="OVL589" s="219"/>
      <c r="OVM589" s="219"/>
      <c r="OVN589" s="219"/>
      <c r="OVO589" s="219"/>
      <c r="OVP589" s="219"/>
      <c r="OVQ589" s="219"/>
      <c r="OVR589" s="219"/>
      <c r="OVS589" s="219"/>
      <c r="OVT589" s="219"/>
      <c r="OVU589" s="219"/>
      <c r="OVV589" s="219"/>
      <c r="OVW589" s="219"/>
      <c r="OVX589" s="219"/>
      <c r="OVY589" s="219"/>
      <c r="OVZ589" s="219"/>
      <c r="OWA589" s="219"/>
      <c r="OWB589" s="219"/>
      <c r="OWC589" s="219"/>
      <c r="OWD589" s="219"/>
      <c r="OWE589" s="219"/>
      <c r="OWF589" s="219"/>
      <c r="OWG589" s="219"/>
      <c r="OWH589" s="219"/>
      <c r="OWI589" s="219"/>
      <c r="OWJ589" s="219"/>
      <c r="OWK589" s="219"/>
      <c r="OWL589" s="219"/>
      <c r="OWM589" s="219"/>
      <c r="OWN589" s="219"/>
      <c r="OWO589" s="219"/>
      <c r="OWP589" s="219"/>
      <c r="OWQ589" s="219"/>
      <c r="OWR589" s="219"/>
      <c r="OWS589" s="219"/>
      <c r="OWT589" s="219"/>
      <c r="OWU589" s="219"/>
      <c r="OWV589" s="219"/>
      <c r="OWW589" s="219"/>
      <c r="OWX589" s="219"/>
      <c r="OWY589" s="219"/>
      <c r="OWZ589" s="219"/>
      <c r="OXA589" s="219"/>
      <c r="OXB589" s="219"/>
      <c r="OXC589" s="219"/>
      <c r="OXD589" s="219"/>
      <c r="OXE589" s="219"/>
      <c r="OXF589" s="219"/>
      <c r="OXG589" s="219"/>
      <c r="OXH589" s="219"/>
      <c r="OXI589" s="219"/>
      <c r="OXJ589" s="219"/>
      <c r="OXK589" s="219"/>
      <c r="OXL589" s="219"/>
      <c r="OXM589" s="219"/>
      <c r="OXN589" s="219"/>
      <c r="OXO589" s="219"/>
      <c r="OXP589" s="219"/>
      <c r="OXQ589" s="219"/>
      <c r="OXR589" s="219"/>
      <c r="OXS589" s="219"/>
      <c r="OXT589" s="219"/>
      <c r="OXU589" s="219"/>
      <c r="OXV589" s="219"/>
      <c r="OXW589" s="219"/>
      <c r="OXX589" s="219"/>
      <c r="OXY589" s="219"/>
      <c r="OXZ589" s="219"/>
      <c r="OYA589" s="219"/>
      <c r="OYB589" s="219"/>
      <c r="OYC589" s="219"/>
      <c r="OYD589" s="219"/>
      <c r="OYE589" s="219"/>
      <c r="OYF589" s="219"/>
      <c r="OYG589" s="219"/>
      <c r="OYH589" s="219"/>
      <c r="OYI589" s="219"/>
      <c r="OYJ589" s="219"/>
      <c r="OYK589" s="219"/>
      <c r="OYL589" s="219"/>
      <c r="OYM589" s="219"/>
      <c r="OYN589" s="219"/>
      <c r="OYO589" s="219"/>
      <c r="OYP589" s="219"/>
      <c r="OYQ589" s="219"/>
      <c r="OYR589" s="219"/>
      <c r="OYS589" s="219"/>
      <c r="OYT589" s="219"/>
      <c r="OYU589" s="219"/>
      <c r="OYV589" s="219"/>
      <c r="OYW589" s="219"/>
      <c r="OYX589" s="219"/>
      <c r="OYY589" s="219"/>
      <c r="OYZ589" s="219"/>
      <c r="OZA589" s="219"/>
      <c r="OZB589" s="219"/>
      <c r="OZC589" s="219"/>
      <c r="OZD589" s="219"/>
      <c r="OZE589" s="219"/>
      <c r="OZF589" s="219"/>
      <c r="OZG589" s="219"/>
      <c r="OZH589" s="219"/>
      <c r="OZI589" s="219"/>
      <c r="OZJ589" s="219"/>
      <c r="OZK589" s="219"/>
      <c r="OZL589" s="219"/>
      <c r="OZM589" s="219"/>
      <c r="OZN589" s="219"/>
      <c r="OZO589" s="219"/>
      <c r="OZP589" s="219"/>
      <c r="OZQ589" s="219"/>
      <c r="OZR589" s="219"/>
      <c r="OZS589" s="219"/>
      <c r="OZT589" s="219"/>
      <c r="OZU589" s="219"/>
      <c r="OZV589" s="219"/>
      <c r="OZW589" s="219"/>
      <c r="OZX589" s="219"/>
      <c r="OZY589" s="219"/>
      <c r="OZZ589" s="219"/>
      <c r="PAA589" s="219"/>
      <c r="PAB589" s="219"/>
      <c r="PAC589" s="219"/>
      <c r="PAD589" s="219"/>
      <c r="PAE589" s="219"/>
      <c r="PAF589" s="219"/>
      <c r="PAG589" s="219"/>
      <c r="PAH589" s="219"/>
      <c r="PAI589" s="219"/>
      <c r="PAJ589" s="219"/>
      <c r="PAK589" s="219"/>
      <c r="PAL589" s="219"/>
      <c r="PAM589" s="219"/>
      <c r="PAN589" s="219"/>
      <c r="PAO589" s="219"/>
      <c r="PAP589" s="219"/>
      <c r="PAQ589" s="219"/>
      <c r="PAR589" s="219"/>
      <c r="PAS589" s="219"/>
      <c r="PAT589" s="219"/>
      <c r="PAU589" s="219"/>
      <c r="PAV589" s="219"/>
      <c r="PAW589" s="219"/>
      <c r="PAX589" s="219"/>
      <c r="PAY589" s="219"/>
      <c r="PAZ589" s="219"/>
      <c r="PBA589" s="219"/>
      <c r="PBB589" s="219"/>
      <c r="PBC589" s="219"/>
      <c r="PBD589" s="219"/>
      <c r="PBE589" s="219"/>
      <c r="PBF589" s="219"/>
      <c r="PBG589" s="219"/>
      <c r="PBH589" s="219"/>
      <c r="PBI589" s="219"/>
      <c r="PBJ589" s="219"/>
      <c r="PBK589" s="219"/>
      <c r="PBL589" s="219"/>
      <c r="PBM589" s="219"/>
      <c r="PBN589" s="219"/>
      <c r="PBO589" s="219"/>
      <c r="PBP589" s="219"/>
      <c r="PBQ589" s="219"/>
      <c r="PBR589" s="219"/>
      <c r="PBS589" s="219"/>
      <c r="PBT589" s="219"/>
      <c r="PBU589" s="219"/>
      <c r="PBV589" s="219"/>
      <c r="PBW589" s="219"/>
      <c r="PBX589" s="219"/>
      <c r="PBY589" s="219"/>
      <c r="PBZ589" s="219"/>
      <c r="PCA589" s="219"/>
      <c r="PCB589" s="219"/>
      <c r="PCC589" s="219"/>
      <c r="PCD589" s="219"/>
      <c r="PCE589" s="219"/>
      <c r="PCF589" s="219"/>
      <c r="PCG589" s="219"/>
      <c r="PCH589" s="219"/>
      <c r="PCI589" s="219"/>
      <c r="PCJ589" s="219"/>
      <c r="PCK589" s="219"/>
      <c r="PCL589" s="219"/>
      <c r="PCM589" s="219"/>
      <c r="PCN589" s="219"/>
      <c r="PCO589" s="219"/>
      <c r="PCP589" s="219"/>
      <c r="PCQ589" s="219"/>
      <c r="PCR589" s="219"/>
      <c r="PCS589" s="219"/>
      <c r="PCT589" s="219"/>
      <c r="PCU589" s="219"/>
      <c r="PCV589" s="219"/>
      <c r="PCW589" s="219"/>
      <c r="PCX589" s="219"/>
      <c r="PCY589" s="219"/>
      <c r="PCZ589" s="219"/>
      <c r="PDA589" s="219"/>
      <c r="PDB589" s="219"/>
      <c r="PDC589" s="219"/>
      <c r="PDD589" s="219"/>
      <c r="PDE589" s="219"/>
      <c r="PDF589" s="219"/>
      <c r="PDG589" s="219"/>
      <c r="PDH589" s="219"/>
      <c r="PDI589" s="219"/>
      <c r="PDJ589" s="219"/>
      <c r="PDK589" s="219"/>
      <c r="PDL589" s="219"/>
      <c r="PDM589" s="219"/>
      <c r="PDN589" s="219"/>
      <c r="PDO589" s="219"/>
      <c r="PDP589" s="219"/>
      <c r="PDQ589" s="219"/>
      <c r="PDR589" s="219"/>
      <c r="PDS589" s="219"/>
      <c r="PDT589" s="219"/>
      <c r="PDU589" s="219"/>
      <c r="PDV589" s="219"/>
      <c r="PDW589" s="219"/>
      <c r="PDX589" s="219"/>
      <c r="PDY589" s="219"/>
      <c r="PDZ589" s="219"/>
      <c r="PEA589" s="219"/>
      <c r="PEB589" s="219"/>
      <c r="PEC589" s="219"/>
      <c r="PED589" s="219"/>
      <c r="PEE589" s="219"/>
      <c r="PEF589" s="219"/>
      <c r="PEG589" s="219"/>
      <c r="PEH589" s="219"/>
      <c r="PEI589" s="219"/>
      <c r="PEJ589" s="219"/>
      <c r="PEK589" s="219"/>
      <c r="PEL589" s="219"/>
      <c r="PEM589" s="219"/>
      <c r="PEN589" s="219"/>
      <c r="PEO589" s="219"/>
      <c r="PEP589" s="219"/>
      <c r="PEQ589" s="219"/>
      <c r="PER589" s="219"/>
      <c r="PES589" s="219"/>
      <c r="PET589" s="219"/>
      <c r="PEU589" s="219"/>
      <c r="PEV589" s="219"/>
      <c r="PEW589" s="219"/>
      <c r="PEX589" s="219"/>
      <c r="PEY589" s="219"/>
      <c r="PEZ589" s="219"/>
      <c r="PFA589" s="219"/>
      <c r="PFB589" s="219"/>
      <c r="PFC589" s="219"/>
      <c r="PFD589" s="219"/>
      <c r="PFE589" s="219"/>
      <c r="PFF589" s="219"/>
      <c r="PFG589" s="219"/>
      <c r="PFH589" s="219"/>
      <c r="PFI589" s="219"/>
      <c r="PFJ589" s="219"/>
      <c r="PFK589" s="219"/>
      <c r="PFL589" s="219"/>
      <c r="PFM589" s="219"/>
      <c r="PFN589" s="219"/>
      <c r="PFO589" s="219"/>
      <c r="PFP589" s="219"/>
      <c r="PFQ589" s="219"/>
      <c r="PFR589" s="219"/>
      <c r="PFS589" s="219"/>
      <c r="PFT589" s="219"/>
      <c r="PFU589" s="219"/>
      <c r="PFV589" s="219"/>
      <c r="PFW589" s="219"/>
      <c r="PFX589" s="219"/>
      <c r="PFY589" s="219"/>
      <c r="PFZ589" s="219"/>
      <c r="PGA589" s="219"/>
      <c r="PGB589" s="219"/>
      <c r="PGC589" s="219"/>
      <c r="PGD589" s="219"/>
      <c r="PGE589" s="219"/>
      <c r="PGF589" s="219"/>
      <c r="PGG589" s="219"/>
      <c r="PGH589" s="219"/>
      <c r="PGI589" s="219"/>
      <c r="PGJ589" s="219"/>
      <c r="PGK589" s="219"/>
      <c r="PGL589" s="219"/>
      <c r="PGM589" s="219"/>
      <c r="PGN589" s="219"/>
      <c r="PGO589" s="219"/>
      <c r="PGP589" s="219"/>
      <c r="PGQ589" s="219"/>
      <c r="PGR589" s="219"/>
      <c r="PGS589" s="219"/>
      <c r="PGT589" s="219"/>
      <c r="PGU589" s="219"/>
      <c r="PGV589" s="219"/>
      <c r="PGW589" s="219"/>
      <c r="PGX589" s="219"/>
      <c r="PGY589" s="219"/>
      <c r="PGZ589" s="219"/>
      <c r="PHA589" s="219"/>
      <c r="PHB589" s="219"/>
      <c r="PHC589" s="219"/>
      <c r="PHD589" s="219"/>
      <c r="PHE589" s="219"/>
      <c r="PHF589" s="219"/>
      <c r="PHG589" s="219"/>
      <c r="PHH589" s="219"/>
      <c r="PHI589" s="219"/>
      <c r="PHJ589" s="219"/>
      <c r="PHK589" s="219"/>
      <c r="PHL589" s="219"/>
      <c r="PHM589" s="219"/>
      <c r="PHN589" s="219"/>
      <c r="PHO589" s="219"/>
      <c r="PHP589" s="219"/>
      <c r="PHQ589" s="219"/>
      <c r="PHR589" s="219"/>
      <c r="PHS589" s="219"/>
      <c r="PHT589" s="219"/>
      <c r="PHU589" s="219"/>
      <c r="PHV589" s="219"/>
      <c r="PHW589" s="219"/>
      <c r="PHX589" s="219"/>
      <c r="PHY589" s="219"/>
      <c r="PHZ589" s="219"/>
      <c r="PIA589" s="219"/>
      <c r="PIB589" s="219"/>
      <c r="PIC589" s="219"/>
      <c r="PID589" s="219"/>
      <c r="PIE589" s="219"/>
      <c r="PIF589" s="219"/>
      <c r="PIG589" s="219"/>
      <c r="PIH589" s="219"/>
      <c r="PII589" s="219"/>
      <c r="PIJ589" s="219"/>
      <c r="PIK589" s="219"/>
      <c r="PIL589" s="219"/>
      <c r="PIM589" s="219"/>
      <c r="PIN589" s="219"/>
      <c r="PIO589" s="219"/>
      <c r="PIP589" s="219"/>
      <c r="PIQ589" s="219"/>
      <c r="PIR589" s="219"/>
      <c r="PIS589" s="219"/>
      <c r="PIT589" s="219"/>
      <c r="PIU589" s="219"/>
      <c r="PIV589" s="219"/>
      <c r="PIW589" s="219"/>
      <c r="PIX589" s="219"/>
      <c r="PIY589" s="219"/>
      <c r="PIZ589" s="219"/>
      <c r="PJA589" s="219"/>
      <c r="PJB589" s="219"/>
      <c r="PJC589" s="219"/>
      <c r="PJD589" s="219"/>
      <c r="PJE589" s="219"/>
      <c r="PJF589" s="219"/>
      <c r="PJG589" s="219"/>
      <c r="PJH589" s="219"/>
      <c r="PJI589" s="219"/>
      <c r="PJJ589" s="219"/>
      <c r="PJK589" s="219"/>
      <c r="PJL589" s="219"/>
      <c r="PJM589" s="219"/>
      <c r="PJN589" s="219"/>
      <c r="PJO589" s="219"/>
      <c r="PJP589" s="219"/>
      <c r="PJQ589" s="219"/>
      <c r="PJR589" s="219"/>
      <c r="PJS589" s="219"/>
      <c r="PJT589" s="219"/>
      <c r="PJU589" s="219"/>
      <c r="PJV589" s="219"/>
      <c r="PJW589" s="219"/>
      <c r="PJX589" s="219"/>
      <c r="PJY589" s="219"/>
      <c r="PJZ589" s="219"/>
      <c r="PKA589" s="219"/>
      <c r="PKB589" s="219"/>
      <c r="PKC589" s="219"/>
      <c r="PKD589" s="219"/>
      <c r="PKE589" s="219"/>
      <c r="PKF589" s="219"/>
      <c r="PKG589" s="219"/>
      <c r="PKH589" s="219"/>
      <c r="PKI589" s="219"/>
      <c r="PKJ589" s="219"/>
      <c r="PKK589" s="219"/>
      <c r="PKL589" s="219"/>
      <c r="PKM589" s="219"/>
      <c r="PKN589" s="219"/>
      <c r="PKO589" s="219"/>
      <c r="PKP589" s="219"/>
      <c r="PKQ589" s="219"/>
      <c r="PKR589" s="219"/>
      <c r="PKS589" s="219"/>
      <c r="PKT589" s="219"/>
      <c r="PKU589" s="219"/>
      <c r="PKV589" s="219"/>
      <c r="PKW589" s="219"/>
      <c r="PKX589" s="219"/>
      <c r="PKY589" s="219"/>
      <c r="PKZ589" s="219"/>
      <c r="PLA589" s="219"/>
      <c r="PLB589" s="219"/>
      <c r="PLC589" s="219"/>
      <c r="PLD589" s="219"/>
      <c r="PLE589" s="219"/>
      <c r="PLF589" s="219"/>
      <c r="PLG589" s="219"/>
      <c r="PLH589" s="219"/>
      <c r="PLI589" s="219"/>
      <c r="PLJ589" s="219"/>
      <c r="PLK589" s="219"/>
      <c r="PLL589" s="219"/>
      <c r="PLM589" s="219"/>
      <c r="PLN589" s="219"/>
      <c r="PLO589" s="219"/>
      <c r="PLP589" s="219"/>
      <c r="PLQ589" s="219"/>
      <c r="PLR589" s="219"/>
      <c r="PLS589" s="219"/>
      <c r="PLT589" s="219"/>
      <c r="PLU589" s="219"/>
      <c r="PLV589" s="219"/>
      <c r="PLW589" s="219"/>
      <c r="PLX589" s="219"/>
      <c r="PLY589" s="219"/>
      <c r="PLZ589" s="219"/>
      <c r="PMA589" s="219"/>
      <c r="PMB589" s="219"/>
      <c r="PMC589" s="219"/>
      <c r="PMD589" s="219"/>
      <c r="PME589" s="219"/>
      <c r="PMF589" s="219"/>
      <c r="PMG589" s="219"/>
      <c r="PMH589" s="219"/>
      <c r="PMI589" s="219"/>
      <c r="PMJ589" s="219"/>
      <c r="PMK589" s="219"/>
      <c r="PML589" s="219"/>
      <c r="PMM589" s="219"/>
      <c r="PMN589" s="219"/>
      <c r="PMO589" s="219"/>
      <c r="PMP589" s="219"/>
      <c r="PMQ589" s="219"/>
      <c r="PMR589" s="219"/>
      <c r="PMS589" s="219"/>
      <c r="PMT589" s="219"/>
      <c r="PMU589" s="219"/>
      <c r="PMV589" s="219"/>
      <c r="PMW589" s="219"/>
      <c r="PMX589" s="219"/>
      <c r="PMY589" s="219"/>
      <c r="PMZ589" s="219"/>
      <c r="PNA589" s="219"/>
      <c r="PNB589" s="219"/>
      <c r="PNC589" s="219"/>
      <c r="PND589" s="219"/>
      <c r="PNE589" s="219"/>
      <c r="PNF589" s="219"/>
      <c r="PNG589" s="219"/>
      <c r="PNH589" s="219"/>
      <c r="PNI589" s="219"/>
      <c r="PNJ589" s="219"/>
      <c r="PNK589" s="219"/>
      <c r="PNL589" s="219"/>
      <c r="PNM589" s="219"/>
      <c r="PNN589" s="219"/>
      <c r="PNO589" s="219"/>
      <c r="PNP589" s="219"/>
      <c r="PNQ589" s="219"/>
      <c r="PNR589" s="219"/>
      <c r="PNS589" s="219"/>
      <c r="PNT589" s="219"/>
      <c r="PNU589" s="219"/>
      <c r="PNV589" s="219"/>
      <c r="PNW589" s="219"/>
      <c r="PNX589" s="219"/>
      <c r="PNY589" s="219"/>
      <c r="PNZ589" s="219"/>
      <c r="POA589" s="219"/>
      <c r="POB589" s="219"/>
      <c r="POC589" s="219"/>
      <c r="POD589" s="219"/>
      <c r="POE589" s="219"/>
      <c r="POF589" s="219"/>
      <c r="POG589" s="219"/>
      <c r="POH589" s="219"/>
      <c r="POI589" s="219"/>
      <c r="POJ589" s="219"/>
      <c r="POK589" s="219"/>
      <c r="POL589" s="219"/>
      <c r="POM589" s="219"/>
      <c r="PON589" s="219"/>
      <c r="POO589" s="219"/>
      <c r="POP589" s="219"/>
      <c r="POQ589" s="219"/>
      <c r="POR589" s="219"/>
      <c r="POS589" s="219"/>
      <c r="POT589" s="219"/>
      <c r="POU589" s="219"/>
      <c r="POV589" s="219"/>
      <c r="POW589" s="219"/>
      <c r="POX589" s="219"/>
      <c r="POY589" s="219"/>
      <c r="POZ589" s="219"/>
      <c r="PPA589" s="219"/>
      <c r="PPB589" s="219"/>
      <c r="PPC589" s="219"/>
      <c r="PPD589" s="219"/>
      <c r="PPE589" s="219"/>
      <c r="PPF589" s="219"/>
      <c r="PPG589" s="219"/>
      <c r="PPH589" s="219"/>
      <c r="PPI589" s="219"/>
      <c r="PPJ589" s="219"/>
      <c r="PPK589" s="219"/>
      <c r="PPL589" s="219"/>
      <c r="PPM589" s="219"/>
      <c r="PPN589" s="219"/>
      <c r="PPO589" s="219"/>
      <c r="PPP589" s="219"/>
      <c r="PPQ589" s="219"/>
      <c r="PPR589" s="219"/>
      <c r="PPS589" s="219"/>
      <c r="PPT589" s="219"/>
      <c r="PPU589" s="219"/>
      <c r="PPV589" s="219"/>
      <c r="PPW589" s="219"/>
      <c r="PPX589" s="219"/>
      <c r="PPY589" s="219"/>
      <c r="PPZ589" s="219"/>
      <c r="PQA589" s="219"/>
      <c r="PQB589" s="219"/>
      <c r="PQC589" s="219"/>
      <c r="PQD589" s="219"/>
      <c r="PQE589" s="219"/>
      <c r="PQF589" s="219"/>
      <c r="PQG589" s="219"/>
      <c r="PQH589" s="219"/>
      <c r="PQI589" s="219"/>
      <c r="PQJ589" s="219"/>
      <c r="PQK589" s="219"/>
      <c r="PQL589" s="219"/>
      <c r="PQM589" s="219"/>
      <c r="PQN589" s="219"/>
      <c r="PQO589" s="219"/>
      <c r="PQP589" s="219"/>
      <c r="PQQ589" s="219"/>
      <c r="PQR589" s="219"/>
      <c r="PQS589" s="219"/>
      <c r="PQT589" s="219"/>
      <c r="PQU589" s="219"/>
      <c r="PQV589" s="219"/>
      <c r="PQW589" s="219"/>
      <c r="PQX589" s="219"/>
      <c r="PQY589" s="219"/>
      <c r="PQZ589" s="219"/>
      <c r="PRA589" s="219"/>
      <c r="PRB589" s="219"/>
      <c r="PRC589" s="219"/>
      <c r="PRD589" s="219"/>
      <c r="PRE589" s="219"/>
      <c r="PRF589" s="219"/>
      <c r="PRG589" s="219"/>
      <c r="PRH589" s="219"/>
      <c r="PRI589" s="219"/>
      <c r="PRJ589" s="219"/>
      <c r="PRK589" s="219"/>
      <c r="PRL589" s="219"/>
      <c r="PRM589" s="219"/>
      <c r="PRN589" s="219"/>
      <c r="PRO589" s="219"/>
      <c r="PRP589" s="219"/>
      <c r="PRQ589" s="219"/>
      <c r="PRR589" s="219"/>
      <c r="PRS589" s="219"/>
      <c r="PRT589" s="219"/>
      <c r="PRU589" s="219"/>
      <c r="PRV589" s="219"/>
      <c r="PRW589" s="219"/>
      <c r="PRX589" s="219"/>
      <c r="PRY589" s="219"/>
      <c r="PRZ589" s="219"/>
      <c r="PSA589" s="219"/>
      <c r="PSB589" s="219"/>
      <c r="PSC589" s="219"/>
      <c r="PSD589" s="219"/>
      <c r="PSE589" s="219"/>
      <c r="PSF589" s="219"/>
      <c r="PSG589" s="219"/>
      <c r="PSH589" s="219"/>
      <c r="PSI589" s="219"/>
      <c r="PSJ589" s="219"/>
      <c r="PSK589" s="219"/>
      <c r="PSL589" s="219"/>
      <c r="PSM589" s="219"/>
      <c r="PSN589" s="219"/>
      <c r="PSO589" s="219"/>
      <c r="PSP589" s="219"/>
      <c r="PSQ589" s="219"/>
      <c r="PSR589" s="219"/>
      <c r="PSS589" s="219"/>
      <c r="PST589" s="219"/>
      <c r="PSU589" s="219"/>
      <c r="PSV589" s="219"/>
      <c r="PSW589" s="219"/>
      <c r="PSX589" s="219"/>
      <c r="PSY589" s="219"/>
      <c r="PSZ589" s="219"/>
      <c r="PTA589" s="219"/>
      <c r="PTB589" s="219"/>
      <c r="PTC589" s="219"/>
      <c r="PTD589" s="219"/>
      <c r="PTE589" s="219"/>
      <c r="PTF589" s="219"/>
      <c r="PTG589" s="219"/>
      <c r="PTH589" s="219"/>
      <c r="PTI589" s="219"/>
      <c r="PTJ589" s="219"/>
      <c r="PTK589" s="219"/>
      <c r="PTL589" s="219"/>
      <c r="PTM589" s="219"/>
      <c r="PTN589" s="219"/>
      <c r="PTO589" s="219"/>
      <c r="PTP589" s="219"/>
      <c r="PTQ589" s="219"/>
      <c r="PTR589" s="219"/>
      <c r="PTS589" s="219"/>
      <c r="PTT589" s="219"/>
      <c r="PTU589" s="219"/>
      <c r="PTV589" s="219"/>
      <c r="PTW589" s="219"/>
      <c r="PTX589" s="219"/>
      <c r="PTY589" s="219"/>
      <c r="PTZ589" s="219"/>
      <c r="PUA589" s="219"/>
      <c r="PUB589" s="219"/>
      <c r="PUC589" s="219"/>
      <c r="PUD589" s="219"/>
      <c r="PUE589" s="219"/>
      <c r="PUF589" s="219"/>
      <c r="PUG589" s="219"/>
      <c r="PUH589" s="219"/>
      <c r="PUI589" s="219"/>
      <c r="PUJ589" s="219"/>
      <c r="PUK589" s="219"/>
      <c r="PUL589" s="219"/>
      <c r="PUM589" s="219"/>
      <c r="PUN589" s="219"/>
      <c r="PUO589" s="219"/>
      <c r="PUP589" s="219"/>
      <c r="PUQ589" s="219"/>
      <c r="PUR589" s="219"/>
      <c r="PUS589" s="219"/>
      <c r="PUT589" s="219"/>
      <c r="PUU589" s="219"/>
      <c r="PUV589" s="219"/>
      <c r="PUW589" s="219"/>
      <c r="PUX589" s="219"/>
      <c r="PUY589" s="219"/>
      <c r="PUZ589" s="219"/>
      <c r="PVA589" s="219"/>
      <c r="PVB589" s="219"/>
      <c r="PVC589" s="219"/>
      <c r="PVD589" s="219"/>
      <c r="PVE589" s="219"/>
      <c r="PVF589" s="219"/>
      <c r="PVG589" s="219"/>
      <c r="PVH589" s="219"/>
      <c r="PVI589" s="219"/>
      <c r="PVJ589" s="219"/>
      <c r="PVK589" s="219"/>
      <c r="PVL589" s="219"/>
      <c r="PVM589" s="219"/>
      <c r="PVN589" s="219"/>
      <c r="PVO589" s="219"/>
      <c r="PVP589" s="219"/>
      <c r="PVQ589" s="219"/>
      <c r="PVR589" s="219"/>
      <c r="PVS589" s="219"/>
      <c r="PVT589" s="219"/>
      <c r="PVU589" s="219"/>
      <c r="PVV589" s="219"/>
      <c r="PVW589" s="219"/>
      <c r="PVX589" s="219"/>
      <c r="PVY589" s="219"/>
      <c r="PVZ589" s="219"/>
      <c r="PWA589" s="219"/>
      <c r="PWB589" s="219"/>
      <c r="PWC589" s="219"/>
      <c r="PWD589" s="219"/>
      <c r="PWE589" s="219"/>
      <c r="PWF589" s="219"/>
      <c r="PWG589" s="219"/>
      <c r="PWH589" s="219"/>
      <c r="PWI589" s="219"/>
      <c r="PWJ589" s="219"/>
      <c r="PWK589" s="219"/>
      <c r="PWL589" s="219"/>
      <c r="PWM589" s="219"/>
      <c r="PWN589" s="219"/>
      <c r="PWO589" s="219"/>
      <c r="PWP589" s="219"/>
      <c r="PWQ589" s="219"/>
      <c r="PWR589" s="219"/>
      <c r="PWS589" s="219"/>
      <c r="PWT589" s="219"/>
      <c r="PWU589" s="219"/>
      <c r="PWV589" s="219"/>
      <c r="PWW589" s="219"/>
      <c r="PWX589" s="219"/>
      <c r="PWY589" s="219"/>
      <c r="PWZ589" s="219"/>
      <c r="PXA589" s="219"/>
      <c r="PXB589" s="219"/>
      <c r="PXC589" s="219"/>
      <c r="PXD589" s="219"/>
      <c r="PXE589" s="219"/>
      <c r="PXF589" s="219"/>
      <c r="PXG589" s="219"/>
      <c r="PXH589" s="219"/>
      <c r="PXI589" s="219"/>
      <c r="PXJ589" s="219"/>
      <c r="PXK589" s="219"/>
      <c r="PXL589" s="219"/>
      <c r="PXM589" s="219"/>
      <c r="PXN589" s="219"/>
      <c r="PXO589" s="219"/>
      <c r="PXP589" s="219"/>
      <c r="PXQ589" s="219"/>
      <c r="PXR589" s="219"/>
      <c r="PXS589" s="219"/>
      <c r="PXT589" s="219"/>
      <c r="PXU589" s="219"/>
      <c r="PXV589" s="219"/>
      <c r="PXW589" s="219"/>
      <c r="PXX589" s="219"/>
      <c r="PXY589" s="219"/>
      <c r="PXZ589" s="219"/>
      <c r="PYA589" s="219"/>
      <c r="PYB589" s="219"/>
      <c r="PYC589" s="219"/>
      <c r="PYD589" s="219"/>
      <c r="PYE589" s="219"/>
      <c r="PYF589" s="219"/>
      <c r="PYG589" s="219"/>
      <c r="PYH589" s="219"/>
      <c r="PYI589" s="219"/>
      <c r="PYJ589" s="219"/>
      <c r="PYK589" s="219"/>
      <c r="PYL589" s="219"/>
      <c r="PYM589" s="219"/>
      <c r="PYN589" s="219"/>
      <c r="PYO589" s="219"/>
      <c r="PYP589" s="219"/>
      <c r="PYQ589" s="219"/>
      <c r="PYR589" s="219"/>
      <c r="PYS589" s="219"/>
      <c r="PYT589" s="219"/>
      <c r="PYU589" s="219"/>
      <c r="PYV589" s="219"/>
      <c r="PYW589" s="219"/>
      <c r="PYX589" s="219"/>
      <c r="PYY589" s="219"/>
      <c r="PYZ589" s="219"/>
      <c r="PZA589" s="219"/>
      <c r="PZB589" s="219"/>
      <c r="PZC589" s="219"/>
      <c r="PZD589" s="219"/>
      <c r="PZE589" s="219"/>
      <c r="PZF589" s="219"/>
      <c r="PZG589" s="219"/>
      <c r="PZH589" s="219"/>
      <c r="PZI589" s="219"/>
      <c r="PZJ589" s="219"/>
      <c r="PZK589" s="219"/>
      <c r="PZL589" s="219"/>
      <c r="PZM589" s="219"/>
      <c r="PZN589" s="219"/>
      <c r="PZO589" s="219"/>
      <c r="PZP589" s="219"/>
      <c r="PZQ589" s="219"/>
      <c r="PZR589" s="219"/>
      <c r="PZS589" s="219"/>
      <c r="PZT589" s="219"/>
      <c r="PZU589" s="219"/>
      <c r="PZV589" s="219"/>
      <c r="PZW589" s="219"/>
      <c r="PZX589" s="219"/>
      <c r="PZY589" s="219"/>
      <c r="PZZ589" s="219"/>
      <c r="QAA589" s="219"/>
      <c r="QAB589" s="219"/>
      <c r="QAC589" s="219"/>
      <c r="QAD589" s="219"/>
      <c r="QAE589" s="219"/>
      <c r="QAF589" s="219"/>
      <c r="QAG589" s="219"/>
      <c r="QAH589" s="219"/>
      <c r="QAI589" s="219"/>
      <c r="QAJ589" s="219"/>
      <c r="QAK589" s="219"/>
      <c r="QAL589" s="219"/>
      <c r="QAM589" s="219"/>
      <c r="QAN589" s="219"/>
      <c r="QAO589" s="219"/>
      <c r="QAP589" s="219"/>
      <c r="QAQ589" s="219"/>
      <c r="QAR589" s="219"/>
      <c r="QAS589" s="219"/>
      <c r="QAT589" s="219"/>
      <c r="QAU589" s="219"/>
      <c r="QAV589" s="219"/>
      <c r="QAW589" s="219"/>
      <c r="QAX589" s="219"/>
      <c r="QAY589" s="219"/>
      <c r="QAZ589" s="219"/>
      <c r="QBA589" s="219"/>
      <c r="QBB589" s="219"/>
      <c r="QBC589" s="219"/>
      <c r="QBD589" s="219"/>
      <c r="QBE589" s="219"/>
      <c r="QBF589" s="219"/>
      <c r="QBG589" s="219"/>
      <c r="QBH589" s="219"/>
      <c r="QBI589" s="219"/>
      <c r="QBJ589" s="219"/>
      <c r="QBK589" s="219"/>
      <c r="QBL589" s="219"/>
      <c r="QBM589" s="219"/>
      <c r="QBN589" s="219"/>
      <c r="QBO589" s="219"/>
      <c r="QBP589" s="219"/>
      <c r="QBQ589" s="219"/>
      <c r="QBR589" s="219"/>
      <c r="QBS589" s="219"/>
      <c r="QBT589" s="219"/>
      <c r="QBU589" s="219"/>
      <c r="QBV589" s="219"/>
      <c r="QBW589" s="219"/>
      <c r="QBX589" s="219"/>
      <c r="QBY589" s="219"/>
      <c r="QBZ589" s="219"/>
      <c r="QCA589" s="219"/>
      <c r="QCB589" s="219"/>
      <c r="QCC589" s="219"/>
      <c r="QCD589" s="219"/>
      <c r="QCE589" s="219"/>
      <c r="QCF589" s="219"/>
      <c r="QCG589" s="219"/>
      <c r="QCH589" s="219"/>
      <c r="QCI589" s="219"/>
      <c r="QCJ589" s="219"/>
      <c r="QCK589" s="219"/>
      <c r="QCL589" s="219"/>
      <c r="QCM589" s="219"/>
      <c r="QCN589" s="219"/>
      <c r="QCO589" s="219"/>
      <c r="QCP589" s="219"/>
      <c r="QCQ589" s="219"/>
      <c r="QCR589" s="219"/>
      <c r="QCS589" s="219"/>
      <c r="QCT589" s="219"/>
      <c r="QCU589" s="219"/>
      <c r="QCV589" s="219"/>
      <c r="QCW589" s="219"/>
      <c r="QCX589" s="219"/>
      <c r="QCY589" s="219"/>
      <c r="QCZ589" s="219"/>
      <c r="QDA589" s="219"/>
      <c r="QDB589" s="219"/>
      <c r="QDC589" s="219"/>
      <c r="QDD589" s="219"/>
      <c r="QDE589" s="219"/>
      <c r="QDF589" s="219"/>
      <c r="QDG589" s="219"/>
      <c r="QDH589" s="219"/>
      <c r="QDI589" s="219"/>
      <c r="QDJ589" s="219"/>
      <c r="QDK589" s="219"/>
      <c r="QDL589" s="219"/>
      <c r="QDM589" s="219"/>
      <c r="QDN589" s="219"/>
      <c r="QDO589" s="219"/>
      <c r="QDP589" s="219"/>
      <c r="QDQ589" s="219"/>
      <c r="QDR589" s="219"/>
      <c r="QDS589" s="219"/>
      <c r="QDT589" s="219"/>
      <c r="QDU589" s="219"/>
      <c r="QDV589" s="219"/>
      <c r="QDW589" s="219"/>
      <c r="QDX589" s="219"/>
      <c r="QDY589" s="219"/>
      <c r="QDZ589" s="219"/>
      <c r="QEA589" s="219"/>
      <c r="QEB589" s="219"/>
      <c r="QEC589" s="219"/>
      <c r="QED589" s="219"/>
      <c r="QEE589" s="219"/>
      <c r="QEF589" s="219"/>
      <c r="QEG589" s="219"/>
      <c r="QEH589" s="219"/>
      <c r="QEI589" s="219"/>
      <c r="QEJ589" s="219"/>
      <c r="QEK589" s="219"/>
      <c r="QEL589" s="219"/>
      <c r="QEM589" s="219"/>
      <c r="QEN589" s="219"/>
      <c r="QEO589" s="219"/>
      <c r="QEP589" s="219"/>
      <c r="QEQ589" s="219"/>
      <c r="QER589" s="219"/>
      <c r="QES589" s="219"/>
      <c r="QET589" s="219"/>
      <c r="QEU589" s="219"/>
      <c r="QEV589" s="219"/>
      <c r="QEW589" s="219"/>
      <c r="QEX589" s="219"/>
      <c r="QEY589" s="219"/>
      <c r="QEZ589" s="219"/>
      <c r="QFA589" s="219"/>
      <c r="QFB589" s="219"/>
      <c r="QFC589" s="219"/>
      <c r="QFD589" s="219"/>
      <c r="QFE589" s="219"/>
      <c r="QFF589" s="219"/>
      <c r="QFG589" s="219"/>
      <c r="QFH589" s="219"/>
      <c r="QFI589" s="219"/>
      <c r="QFJ589" s="219"/>
      <c r="QFK589" s="219"/>
      <c r="QFL589" s="219"/>
      <c r="QFM589" s="219"/>
      <c r="QFN589" s="219"/>
      <c r="QFO589" s="219"/>
      <c r="QFP589" s="219"/>
      <c r="QFQ589" s="219"/>
      <c r="QFR589" s="219"/>
      <c r="QFS589" s="219"/>
      <c r="QFT589" s="219"/>
      <c r="QFU589" s="219"/>
      <c r="QFV589" s="219"/>
      <c r="QFW589" s="219"/>
      <c r="QFX589" s="219"/>
      <c r="QFY589" s="219"/>
      <c r="QFZ589" s="219"/>
      <c r="QGA589" s="219"/>
      <c r="QGB589" s="219"/>
      <c r="QGC589" s="219"/>
      <c r="QGD589" s="219"/>
      <c r="QGE589" s="219"/>
      <c r="QGF589" s="219"/>
      <c r="QGG589" s="219"/>
      <c r="QGH589" s="219"/>
      <c r="QGI589" s="219"/>
      <c r="QGJ589" s="219"/>
      <c r="QGK589" s="219"/>
      <c r="QGL589" s="219"/>
      <c r="QGM589" s="219"/>
      <c r="QGN589" s="219"/>
      <c r="QGO589" s="219"/>
      <c r="QGP589" s="219"/>
      <c r="QGQ589" s="219"/>
      <c r="QGR589" s="219"/>
      <c r="QGS589" s="219"/>
      <c r="QGT589" s="219"/>
      <c r="QGU589" s="219"/>
      <c r="QGV589" s="219"/>
      <c r="QGW589" s="219"/>
      <c r="QGX589" s="219"/>
      <c r="QGY589" s="219"/>
      <c r="QGZ589" s="219"/>
      <c r="QHA589" s="219"/>
      <c r="QHB589" s="219"/>
      <c r="QHC589" s="219"/>
      <c r="QHD589" s="219"/>
      <c r="QHE589" s="219"/>
      <c r="QHF589" s="219"/>
      <c r="QHG589" s="219"/>
      <c r="QHH589" s="219"/>
      <c r="QHI589" s="219"/>
      <c r="QHJ589" s="219"/>
      <c r="QHK589" s="219"/>
      <c r="QHL589" s="219"/>
      <c r="QHM589" s="219"/>
      <c r="QHN589" s="219"/>
      <c r="QHO589" s="219"/>
      <c r="QHP589" s="219"/>
      <c r="QHQ589" s="219"/>
      <c r="QHR589" s="219"/>
      <c r="QHS589" s="219"/>
      <c r="QHT589" s="219"/>
      <c r="QHU589" s="219"/>
      <c r="QHV589" s="219"/>
      <c r="QHW589" s="219"/>
      <c r="QHX589" s="219"/>
      <c r="QHY589" s="219"/>
      <c r="QHZ589" s="219"/>
      <c r="QIA589" s="219"/>
      <c r="QIB589" s="219"/>
      <c r="QIC589" s="219"/>
      <c r="QID589" s="219"/>
      <c r="QIE589" s="219"/>
      <c r="QIF589" s="219"/>
      <c r="QIG589" s="219"/>
      <c r="QIH589" s="219"/>
      <c r="QII589" s="219"/>
      <c r="QIJ589" s="219"/>
      <c r="QIK589" s="219"/>
      <c r="QIL589" s="219"/>
      <c r="QIM589" s="219"/>
      <c r="QIN589" s="219"/>
      <c r="QIO589" s="219"/>
      <c r="QIP589" s="219"/>
      <c r="QIQ589" s="219"/>
      <c r="QIR589" s="219"/>
      <c r="QIS589" s="219"/>
      <c r="QIT589" s="219"/>
      <c r="QIU589" s="219"/>
      <c r="QIV589" s="219"/>
      <c r="QIW589" s="219"/>
      <c r="QIX589" s="219"/>
      <c r="QIY589" s="219"/>
      <c r="QIZ589" s="219"/>
      <c r="QJA589" s="219"/>
      <c r="QJB589" s="219"/>
      <c r="QJC589" s="219"/>
      <c r="QJD589" s="219"/>
      <c r="QJE589" s="219"/>
      <c r="QJF589" s="219"/>
      <c r="QJG589" s="219"/>
      <c r="QJH589" s="219"/>
      <c r="QJI589" s="219"/>
      <c r="QJJ589" s="219"/>
      <c r="QJK589" s="219"/>
      <c r="QJL589" s="219"/>
      <c r="QJM589" s="219"/>
      <c r="QJN589" s="219"/>
      <c r="QJO589" s="219"/>
      <c r="QJP589" s="219"/>
      <c r="QJQ589" s="219"/>
      <c r="QJR589" s="219"/>
      <c r="QJS589" s="219"/>
      <c r="QJT589" s="219"/>
      <c r="QJU589" s="219"/>
      <c r="QJV589" s="219"/>
      <c r="QJW589" s="219"/>
      <c r="QJX589" s="219"/>
      <c r="QJY589" s="219"/>
      <c r="QJZ589" s="219"/>
      <c r="QKA589" s="219"/>
      <c r="QKB589" s="219"/>
      <c r="QKC589" s="219"/>
      <c r="QKD589" s="219"/>
      <c r="QKE589" s="219"/>
      <c r="QKF589" s="219"/>
      <c r="QKG589" s="219"/>
      <c r="QKH589" s="219"/>
      <c r="QKI589" s="219"/>
      <c r="QKJ589" s="219"/>
      <c r="QKK589" s="219"/>
      <c r="QKL589" s="219"/>
      <c r="QKM589" s="219"/>
      <c r="QKN589" s="219"/>
      <c r="QKO589" s="219"/>
      <c r="QKP589" s="219"/>
      <c r="QKQ589" s="219"/>
      <c r="QKR589" s="219"/>
      <c r="QKS589" s="219"/>
      <c r="QKT589" s="219"/>
      <c r="QKU589" s="219"/>
      <c r="QKV589" s="219"/>
      <c r="QKW589" s="219"/>
      <c r="QKX589" s="219"/>
      <c r="QKY589" s="219"/>
      <c r="QKZ589" s="219"/>
      <c r="QLA589" s="219"/>
      <c r="QLB589" s="219"/>
      <c r="QLC589" s="219"/>
      <c r="QLD589" s="219"/>
      <c r="QLE589" s="219"/>
      <c r="QLF589" s="219"/>
      <c r="QLG589" s="219"/>
      <c r="QLH589" s="219"/>
      <c r="QLI589" s="219"/>
      <c r="QLJ589" s="219"/>
      <c r="QLK589" s="219"/>
      <c r="QLL589" s="219"/>
      <c r="QLM589" s="219"/>
      <c r="QLN589" s="219"/>
      <c r="QLO589" s="219"/>
      <c r="QLP589" s="219"/>
      <c r="QLQ589" s="219"/>
      <c r="QLR589" s="219"/>
      <c r="QLS589" s="219"/>
      <c r="QLT589" s="219"/>
      <c r="QLU589" s="219"/>
      <c r="QLV589" s="219"/>
      <c r="QLW589" s="219"/>
      <c r="QLX589" s="219"/>
      <c r="QLY589" s="219"/>
      <c r="QLZ589" s="219"/>
      <c r="QMA589" s="219"/>
      <c r="QMB589" s="219"/>
      <c r="QMC589" s="219"/>
      <c r="QMD589" s="219"/>
      <c r="QME589" s="219"/>
      <c r="QMF589" s="219"/>
      <c r="QMG589" s="219"/>
      <c r="QMH589" s="219"/>
      <c r="QMI589" s="219"/>
      <c r="QMJ589" s="219"/>
      <c r="QMK589" s="219"/>
      <c r="QML589" s="219"/>
      <c r="QMM589" s="219"/>
      <c r="QMN589" s="219"/>
      <c r="QMO589" s="219"/>
      <c r="QMP589" s="219"/>
      <c r="QMQ589" s="219"/>
      <c r="QMR589" s="219"/>
      <c r="QMS589" s="219"/>
      <c r="QMT589" s="219"/>
      <c r="QMU589" s="219"/>
      <c r="QMV589" s="219"/>
      <c r="QMW589" s="219"/>
      <c r="QMX589" s="219"/>
      <c r="QMY589" s="219"/>
      <c r="QMZ589" s="219"/>
      <c r="QNA589" s="219"/>
      <c r="QNB589" s="219"/>
      <c r="QNC589" s="219"/>
      <c r="QND589" s="219"/>
      <c r="QNE589" s="219"/>
      <c r="QNF589" s="219"/>
      <c r="QNG589" s="219"/>
      <c r="QNH589" s="219"/>
      <c r="QNI589" s="219"/>
      <c r="QNJ589" s="219"/>
      <c r="QNK589" s="219"/>
      <c r="QNL589" s="219"/>
      <c r="QNM589" s="219"/>
      <c r="QNN589" s="219"/>
      <c r="QNO589" s="219"/>
      <c r="QNP589" s="219"/>
      <c r="QNQ589" s="219"/>
      <c r="QNR589" s="219"/>
      <c r="QNS589" s="219"/>
      <c r="QNT589" s="219"/>
      <c r="QNU589" s="219"/>
      <c r="QNV589" s="219"/>
      <c r="QNW589" s="219"/>
      <c r="QNX589" s="219"/>
      <c r="QNY589" s="219"/>
      <c r="QNZ589" s="219"/>
      <c r="QOA589" s="219"/>
      <c r="QOB589" s="219"/>
      <c r="QOC589" s="219"/>
      <c r="QOD589" s="219"/>
      <c r="QOE589" s="219"/>
      <c r="QOF589" s="219"/>
      <c r="QOG589" s="219"/>
      <c r="QOH589" s="219"/>
      <c r="QOI589" s="219"/>
      <c r="QOJ589" s="219"/>
      <c r="QOK589" s="219"/>
      <c r="QOL589" s="219"/>
      <c r="QOM589" s="219"/>
      <c r="QON589" s="219"/>
      <c r="QOO589" s="219"/>
      <c r="QOP589" s="219"/>
      <c r="QOQ589" s="219"/>
      <c r="QOR589" s="219"/>
      <c r="QOS589" s="219"/>
      <c r="QOT589" s="219"/>
      <c r="QOU589" s="219"/>
      <c r="QOV589" s="219"/>
      <c r="QOW589" s="219"/>
      <c r="QOX589" s="219"/>
      <c r="QOY589" s="219"/>
      <c r="QOZ589" s="219"/>
      <c r="QPA589" s="219"/>
      <c r="QPB589" s="219"/>
      <c r="QPC589" s="219"/>
      <c r="QPD589" s="219"/>
      <c r="QPE589" s="219"/>
      <c r="QPF589" s="219"/>
      <c r="QPG589" s="219"/>
      <c r="QPH589" s="219"/>
      <c r="QPI589" s="219"/>
      <c r="QPJ589" s="219"/>
      <c r="QPK589" s="219"/>
      <c r="QPL589" s="219"/>
      <c r="QPM589" s="219"/>
      <c r="QPN589" s="219"/>
      <c r="QPO589" s="219"/>
      <c r="QPP589" s="219"/>
      <c r="QPQ589" s="219"/>
      <c r="QPR589" s="219"/>
      <c r="QPS589" s="219"/>
      <c r="QPT589" s="219"/>
      <c r="QPU589" s="219"/>
      <c r="QPV589" s="219"/>
      <c r="QPW589" s="219"/>
      <c r="QPX589" s="219"/>
      <c r="QPY589" s="219"/>
      <c r="QPZ589" s="219"/>
      <c r="QQA589" s="219"/>
      <c r="QQB589" s="219"/>
      <c r="QQC589" s="219"/>
      <c r="QQD589" s="219"/>
      <c r="QQE589" s="219"/>
      <c r="QQF589" s="219"/>
      <c r="QQG589" s="219"/>
      <c r="QQH589" s="219"/>
      <c r="QQI589" s="219"/>
      <c r="QQJ589" s="219"/>
      <c r="QQK589" s="219"/>
      <c r="QQL589" s="219"/>
      <c r="QQM589" s="219"/>
      <c r="QQN589" s="219"/>
      <c r="QQO589" s="219"/>
      <c r="QQP589" s="219"/>
      <c r="QQQ589" s="219"/>
      <c r="QQR589" s="219"/>
      <c r="QQS589" s="219"/>
      <c r="QQT589" s="219"/>
      <c r="QQU589" s="219"/>
      <c r="QQV589" s="219"/>
      <c r="QQW589" s="219"/>
      <c r="QQX589" s="219"/>
      <c r="QQY589" s="219"/>
      <c r="QQZ589" s="219"/>
      <c r="QRA589" s="219"/>
      <c r="QRB589" s="219"/>
      <c r="QRC589" s="219"/>
      <c r="QRD589" s="219"/>
      <c r="QRE589" s="219"/>
      <c r="QRF589" s="219"/>
      <c r="QRG589" s="219"/>
      <c r="QRH589" s="219"/>
      <c r="QRI589" s="219"/>
      <c r="QRJ589" s="219"/>
      <c r="QRK589" s="219"/>
      <c r="QRL589" s="219"/>
      <c r="QRM589" s="219"/>
      <c r="QRN589" s="219"/>
      <c r="QRO589" s="219"/>
      <c r="QRP589" s="219"/>
      <c r="QRQ589" s="219"/>
      <c r="QRR589" s="219"/>
      <c r="QRS589" s="219"/>
      <c r="QRT589" s="219"/>
      <c r="QRU589" s="219"/>
      <c r="QRV589" s="219"/>
      <c r="QRW589" s="219"/>
      <c r="QRX589" s="219"/>
      <c r="QRY589" s="219"/>
      <c r="QRZ589" s="219"/>
      <c r="QSA589" s="219"/>
      <c r="QSB589" s="219"/>
      <c r="QSC589" s="219"/>
      <c r="QSD589" s="219"/>
      <c r="QSE589" s="219"/>
      <c r="QSF589" s="219"/>
      <c r="QSG589" s="219"/>
      <c r="QSH589" s="219"/>
      <c r="QSI589" s="219"/>
      <c r="QSJ589" s="219"/>
      <c r="QSK589" s="219"/>
      <c r="QSL589" s="219"/>
      <c r="QSM589" s="219"/>
      <c r="QSN589" s="219"/>
      <c r="QSO589" s="219"/>
      <c r="QSP589" s="219"/>
      <c r="QSQ589" s="219"/>
      <c r="QSR589" s="219"/>
      <c r="QSS589" s="219"/>
      <c r="QST589" s="219"/>
      <c r="QSU589" s="219"/>
      <c r="QSV589" s="219"/>
      <c r="QSW589" s="219"/>
      <c r="QSX589" s="219"/>
      <c r="QSY589" s="219"/>
      <c r="QSZ589" s="219"/>
      <c r="QTA589" s="219"/>
      <c r="QTB589" s="219"/>
      <c r="QTC589" s="219"/>
      <c r="QTD589" s="219"/>
      <c r="QTE589" s="219"/>
      <c r="QTF589" s="219"/>
      <c r="QTG589" s="219"/>
      <c r="QTH589" s="219"/>
      <c r="QTI589" s="219"/>
      <c r="QTJ589" s="219"/>
      <c r="QTK589" s="219"/>
      <c r="QTL589" s="219"/>
      <c r="QTM589" s="219"/>
      <c r="QTN589" s="219"/>
      <c r="QTO589" s="219"/>
      <c r="QTP589" s="219"/>
      <c r="QTQ589" s="219"/>
      <c r="QTR589" s="219"/>
      <c r="QTS589" s="219"/>
      <c r="QTT589" s="219"/>
      <c r="QTU589" s="219"/>
      <c r="QTV589" s="219"/>
      <c r="QTW589" s="219"/>
      <c r="QTX589" s="219"/>
      <c r="QTY589" s="219"/>
      <c r="QTZ589" s="219"/>
      <c r="QUA589" s="219"/>
      <c r="QUB589" s="219"/>
      <c r="QUC589" s="219"/>
      <c r="QUD589" s="219"/>
      <c r="QUE589" s="219"/>
      <c r="QUF589" s="219"/>
      <c r="QUG589" s="219"/>
      <c r="QUH589" s="219"/>
      <c r="QUI589" s="219"/>
      <c r="QUJ589" s="219"/>
      <c r="QUK589" s="219"/>
      <c r="QUL589" s="219"/>
      <c r="QUM589" s="219"/>
      <c r="QUN589" s="219"/>
      <c r="QUO589" s="219"/>
      <c r="QUP589" s="219"/>
      <c r="QUQ589" s="219"/>
      <c r="QUR589" s="219"/>
      <c r="QUS589" s="219"/>
      <c r="QUT589" s="219"/>
      <c r="QUU589" s="219"/>
      <c r="QUV589" s="219"/>
      <c r="QUW589" s="219"/>
      <c r="QUX589" s="219"/>
      <c r="QUY589" s="219"/>
      <c r="QUZ589" s="219"/>
      <c r="QVA589" s="219"/>
      <c r="QVB589" s="219"/>
      <c r="QVC589" s="219"/>
      <c r="QVD589" s="219"/>
      <c r="QVE589" s="219"/>
      <c r="QVF589" s="219"/>
      <c r="QVG589" s="219"/>
      <c r="QVH589" s="219"/>
      <c r="QVI589" s="219"/>
      <c r="QVJ589" s="219"/>
      <c r="QVK589" s="219"/>
      <c r="QVL589" s="219"/>
      <c r="QVM589" s="219"/>
      <c r="QVN589" s="219"/>
      <c r="QVO589" s="219"/>
      <c r="QVP589" s="219"/>
      <c r="QVQ589" s="219"/>
      <c r="QVR589" s="219"/>
      <c r="QVS589" s="219"/>
      <c r="QVT589" s="219"/>
      <c r="QVU589" s="219"/>
      <c r="QVV589" s="219"/>
      <c r="QVW589" s="219"/>
      <c r="QVX589" s="219"/>
      <c r="QVY589" s="219"/>
      <c r="QVZ589" s="219"/>
      <c r="QWA589" s="219"/>
      <c r="QWB589" s="219"/>
      <c r="QWC589" s="219"/>
      <c r="QWD589" s="219"/>
      <c r="QWE589" s="219"/>
      <c r="QWF589" s="219"/>
      <c r="QWG589" s="219"/>
      <c r="QWH589" s="219"/>
      <c r="QWI589" s="219"/>
      <c r="QWJ589" s="219"/>
      <c r="QWK589" s="219"/>
      <c r="QWL589" s="219"/>
      <c r="QWM589" s="219"/>
      <c r="QWN589" s="219"/>
      <c r="QWO589" s="219"/>
      <c r="QWP589" s="219"/>
      <c r="QWQ589" s="219"/>
      <c r="QWR589" s="219"/>
      <c r="QWS589" s="219"/>
      <c r="QWT589" s="219"/>
      <c r="QWU589" s="219"/>
      <c r="QWV589" s="219"/>
      <c r="QWW589" s="219"/>
      <c r="QWX589" s="219"/>
      <c r="QWY589" s="219"/>
      <c r="QWZ589" s="219"/>
      <c r="QXA589" s="219"/>
      <c r="QXB589" s="219"/>
      <c r="QXC589" s="219"/>
      <c r="QXD589" s="219"/>
      <c r="QXE589" s="219"/>
      <c r="QXF589" s="219"/>
      <c r="QXG589" s="219"/>
      <c r="QXH589" s="219"/>
      <c r="QXI589" s="219"/>
      <c r="QXJ589" s="219"/>
      <c r="QXK589" s="219"/>
      <c r="QXL589" s="219"/>
      <c r="QXM589" s="219"/>
      <c r="QXN589" s="219"/>
      <c r="QXO589" s="219"/>
      <c r="QXP589" s="219"/>
      <c r="QXQ589" s="219"/>
      <c r="QXR589" s="219"/>
      <c r="QXS589" s="219"/>
      <c r="QXT589" s="219"/>
      <c r="QXU589" s="219"/>
      <c r="QXV589" s="219"/>
      <c r="QXW589" s="219"/>
      <c r="QXX589" s="219"/>
      <c r="QXY589" s="219"/>
      <c r="QXZ589" s="219"/>
      <c r="QYA589" s="219"/>
      <c r="QYB589" s="219"/>
      <c r="QYC589" s="219"/>
      <c r="QYD589" s="219"/>
      <c r="QYE589" s="219"/>
      <c r="QYF589" s="219"/>
      <c r="QYG589" s="219"/>
      <c r="QYH589" s="219"/>
      <c r="QYI589" s="219"/>
      <c r="QYJ589" s="219"/>
      <c r="QYK589" s="219"/>
      <c r="QYL589" s="219"/>
      <c r="QYM589" s="219"/>
      <c r="QYN589" s="219"/>
      <c r="QYO589" s="219"/>
      <c r="QYP589" s="219"/>
      <c r="QYQ589" s="219"/>
      <c r="QYR589" s="219"/>
      <c r="QYS589" s="219"/>
      <c r="QYT589" s="219"/>
      <c r="QYU589" s="219"/>
      <c r="QYV589" s="219"/>
      <c r="QYW589" s="219"/>
      <c r="QYX589" s="219"/>
      <c r="QYY589" s="219"/>
      <c r="QYZ589" s="219"/>
      <c r="QZA589" s="219"/>
      <c r="QZB589" s="219"/>
      <c r="QZC589" s="219"/>
      <c r="QZD589" s="219"/>
      <c r="QZE589" s="219"/>
      <c r="QZF589" s="219"/>
      <c r="QZG589" s="219"/>
      <c r="QZH589" s="219"/>
      <c r="QZI589" s="219"/>
      <c r="QZJ589" s="219"/>
      <c r="QZK589" s="219"/>
      <c r="QZL589" s="219"/>
      <c r="QZM589" s="219"/>
      <c r="QZN589" s="219"/>
      <c r="QZO589" s="219"/>
      <c r="QZP589" s="219"/>
      <c r="QZQ589" s="219"/>
      <c r="QZR589" s="219"/>
      <c r="QZS589" s="219"/>
      <c r="QZT589" s="219"/>
      <c r="QZU589" s="219"/>
      <c r="QZV589" s="219"/>
      <c r="QZW589" s="219"/>
      <c r="QZX589" s="219"/>
      <c r="QZY589" s="219"/>
      <c r="QZZ589" s="219"/>
      <c r="RAA589" s="219"/>
      <c r="RAB589" s="219"/>
      <c r="RAC589" s="219"/>
      <c r="RAD589" s="219"/>
      <c r="RAE589" s="219"/>
      <c r="RAF589" s="219"/>
      <c r="RAG589" s="219"/>
      <c r="RAH589" s="219"/>
      <c r="RAI589" s="219"/>
      <c r="RAJ589" s="219"/>
      <c r="RAK589" s="219"/>
      <c r="RAL589" s="219"/>
      <c r="RAM589" s="219"/>
      <c r="RAN589" s="219"/>
      <c r="RAO589" s="219"/>
      <c r="RAP589" s="219"/>
      <c r="RAQ589" s="219"/>
      <c r="RAR589" s="219"/>
      <c r="RAS589" s="219"/>
      <c r="RAT589" s="219"/>
      <c r="RAU589" s="219"/>
      <c r="RAV589" s="219"/>
      <c r="RAW589" s="219"/>
      <c r="RAX589" s="219"/>
      <c r="RAY589" s="219"/>
      <c r="RAZ589" s="219"/>
      <c r="RBA589" s="219"/>
      <c r="RBB589" s="219"/>
      <c r="RBC589" s="219"/>
      <c r="RBD589" s="219"/>
      <c r="RBE589" s="219"/>
      <c r="RBF589" s="219"/>
      <c r="RBG589" s="219"/>
      <c r="RBH589" s="219"/>
      <c r="RBI589" s="219"/>
      <c r="RBJ589" s="219"/>
      <c r="RBK589" s="219"/>
      <c r="RBL589" s="219"/>
      <c r="RBM589" s="219"/>
      <c r="RBN589" s="219"/>
      <c r="RBO589" s="219"/>
      <c r="RBP589" s="219"/>
      <c r="RBQ589" s="219"/>
      <c r="RBR589" s="219"/>
      <c r="RBS589" s="219"/>
      <c r="RBT589" s="219"/>
      <c r="RBU589" s="219"/>
      <c r="RBV589" s="219"/>
      <c r="RBW589" s="219"/>
      <c r="RBX589" s="219"/>
      <c r="RBY589" s="219"/>
      <c r="RBZ589" s="219"/>
      <c r="RCA589" s="219"/>
      <c r="RCB589" s="219"/>
      <c r="RCC589" s="219"/>
      <c r="RCD589" s="219"/>
      <c r="RCE589" s="219"/>
      <c r="RCF589" s="219"/>
      <c r="RCG589" s="219"/>
      <c r="RCH589" s="219"/>
      <c r="RCI589" s="219"/>
      <c r="RCJ589" s="219"/>
      <c r="RCK589" s="219"/>
      <c r="RCL589" s="219"/>
      <c r="RCM589" s="219"/>
      <c r="RCN589" s="219"/>
      <c r="RCO589" s="219"/>
      <c r="RCP589" s="219"/>
      <c r="RCQ589" s="219"/>
      <c r="RCR589" s="219"/>
      <c r="RCS589" s="219"/>
      <c r="RCT589" s="219"/>
      <c r="RCU589" s="219"/>
      <c r="RCV589" s="219"/>
      <c r="RCW589" s="219"/>
      <c r="RCX589" s="219"/>
      <c r="RCY589" s="219"/>
      <c r="RCZ589" s="219"/>
      <c r="RDA589" s="219"/>
      <c r="RDB589" s="219"/>
      <c r="RDC589" s="219"/>
      <c r="RDD589" s="219"/>
      <c r="RDE589" s="219"/>
      <c r="RDF589" s="219"/>
      <c r="RDG589" s="219"/>
      <c r="RDH589" s="219"/>
      <c r="RDI589" s="219"/>
      <c r="RDJ589" s="219"/>
      <c r="RDK589" s="219"/>
      <c r="RDL589" s="219"/>
      <c r="RDM589" s="219"/>
      <c r="RDN589" s="219"/>
      <c r="RDO589" s="219"/>
      <c r="RDP589" s="219"/>
      <c r="RDQ589" s="219"/>
      <c r="RDR589" s="219"/>
      <c r="RDS589" s="219"/>
      <c r="RDT589" s="219"/>
      <c r="RDU589" s="219"/>
      <c r="RDV589" s="219"/>
      <c r="RDW589" s="219"/>
      <c r="RDX589" s="219"/>
      <c r="RDY589" s="219"/>
      <c r="RDZ589" s="219"/>
      <c r="REA589" s="219"/>
      <c r="REB589" s="219"/>
      <c r="REC589" s="219"/>
      <c r="RED589" s="219"/>
      <c r="REE589" s="219"/>
      <c r="REF589" s="219"/>
      <c r="REG589" s="219"/>
      <c r="REH589" s="219"/>
      <c r="REI589" s="219"/>
      <c r="REJ589" s="219"/>
      <c r="REK589" s="219"/>
      <c r="REL589" s="219"/>
      <c r="REM589" s="219"/>
      <c r="REN589" s="219"/>
      <c r="REO589" s="219"/>
      <c r="REP589" s="219"/>
      <c r="REQ589" s="219"/>
      <c r="RER589" s="219"/>
      <c r="RES589" s="219"/>
      <c r="RET589" s="219"/>
      <c r="REU589" s="219"/>
      <c r="REV589" s="219"/>
      <c r="REW589" s="219"/>
      <c r="REX589" s="219"/>
      <c r="REY589" s="219"/>
      <c r="REZ589" s="219"/>
      <c r="RFA589" s="219"/>
      <c r="RFB589" s="219"/>
      <c r="RFC589" s="219"/>
      <c r="RFD589" s="219"/>
      <c r="RFE589" s="219"/>
      <c r="RFF589" s="219"/>
      <c r="RFG589" s="219"/>
      <c r="RFH589" s="219"/>
      <c r="RFI589" s="219"/>
      <c r="RFJ589" s="219"/>
      <c r="RFK589" s="219"/>
      <c r="RFL589" s="219"/>
      <c r="RFM589" s="219"/>
      <c r="RFN589" s="219"/>
      <c r="RFO589" s="219"/>
      <c r="RFP589" s="219"/>
      <c r="RFQ589" s="219"/>
      <c r="RFR589" s="219"/>
      <c r="RFS589" s="219"/>
      <c r="RFT589" s="219"/>
      <c r="RFU589" s="219"/>
      <c r="RFV589" s="219"/>
      <c r="RFW589" s="219"/>
      <c r="RFX589" s="219"/>
      <c r="RFY589" s="219"/>
      <c r="RFZ589" s="219"/>
      <c r="RGA589" s="219"/>
      <c r="RGB589" s="219"/>
      <c r="RGC589" s="219"/>
      <c r="RGD589" s="219"/>
      <c r="RGE589" s="219"/>
      <c r="RGF589" s="219"/>
      <c r="RGG589" s="219"/>
      <c r="RGH589" s="219"/>
      <c r="RGI589" s="219"/>
      <c r="RGJ589" s="219"/>
      <c r="RGK589" s="219"/>
      <c r="RGL589" s="219"/>
      <c r="RGM589" s="219"/>
      <c r="RGN589" s="219"/>
      <c r="RGO589" s="219"/>
      <c r="RGP589" s="219"/>
      <c r="RGQ589" s="219"/>
      <c r="RGR589" s="219"/>
      <c r="RGS589" s="219"/>
      <c r="RGT589" s="219"/>
      <c r="RGU589" s="219"/>
      <c r="RGV589" s="219"/>
      <c r="RGW589" s="219"/>
      <c r="RGX589" s="219"/>
      <c r="RGY589" s="219"/>
      <c r="RGZ589" s="219"/>
      <c r="RHA589" s="219"/>
      <c r="RHB589" s="219"/>
      <c r="RHC589" s="219"/>
      <c r="RHD589" s="219"/>
      <c r="RHE589" s="219"/>
      <c r="RHF589" s="219"/>
      <c r="RHG589" s="219"/>
      <c r="RHH589" s="219"/>
      <c r="RHI589" s="219"/>
      <c r="RHJ589" s="219"/>
      <c r="RHK589" s="219"/>
      <c r="RHL589" s="219"/>
      <c r="RHM589" s="219"/>
      <c r="RHN589" s="219"/>
      <c r="RHO589" s="219"/>
      <c r="RHP589" s="219"/>
      <c r="RHQ589" s="219"/>
      <c r="RHR589" s="219"/>
      <c r="RHS589" s="219"/>
      <c r="RHT589" s="219"/>
      <c r="RHU589" s="219"/>
      <c r="RHV589" s="219"/>
      <c r="RHW589" s="219"/>
      <c r="RHX589" s="219"/>
      <c r="RHY589" s="219"/>
      <c r="RHZ589" s="219"/>
      <c r="RIA589" s="219"/>
      <c r="RIB589" s="219"/>
      <c r="RIC589" s="219"/>
      <c r="RID589" s="219"/>
      <c r="RIE589" s="219"/>
      <c r="RIF589" s="219"/>
      <c r="RIG589" s="219"/>
      <c r="RIH589" s="219"/>
      <c r="RII589" s="219"/>
      <c r="RIJ589" s="219"/>
      <c r="RIK589" s="219"/>
      <c r="RIL589" s="219"/>
      <c r="RIM589" s="219"/>
      <c r="RIN589" s="219"/>
      <c r="RIO589" s="219"/>
      <c r="RIP589" s="219"/>
      <c r="RIQ589" s="219"/>
      <c r="RIR589" s="219"/>
      <c r="RIS589" s="219"/>
      <c r="RIT589" s="219"/>
      <c r="RIU589" s="219"/>
      <c r="RIV589" s="219"/>
      <c r="RIW589" s="219"/>
      <c r="RIX589" s="219"/>
      <c r="RIY589" s="219"/>
      <c r="RIZ589" s="219"/>
      <c r="RJA589" s="219"/>
      <c r="RJB589" s="219"/>
      <c r="RJC589" s="219"/>
      <c r="RJD589" s="219"/>
      <c r="RJE589" s="219"/>
      <c r="RJF589" s="219"/>
      <c r="RJG589" s="219"/>
      <c r="RJH589" s="219"/>
      <c r="RJI589" s="219"/>
      <c r="RJJ589" s="219"/>
      <c r="RJK589" s="219"/>
      <c r="RJL589" s="219"/>
      <c r="RJM589" s="219"/>
      <c r="RJN589" s="219"/>
      <c r="RJO589" s="219"/>
      <c r="RJP589" s="219"/>
      <c r="RJQ589" s="219"/>
      <c r="RJR589" s="219"/>
      <c r="RJS589" s="219"/>
      <c r="RJT589" s="219"/>
      <c r="RJU589" s="219"/>
      <c r="RJV589" s="219"/>
      <c r="RJW589" s="219"/>
      <c r="RJX589" s="219"/>
      <c r="RJY589" s="219"/>
      <c r="RJZ589" s="219"/>
      <c r="RKA589" s="219"/>
      <c r="RKB589" s="219"/>
      <c r="RKC589" s="219"/>
      <c r="RKD589" s="219"/>
      <c r="RKE589" s="219"/>
      <c r="RKF589" s="219"/>
      <c r="RKG589" s="219"/>
      <c r="RKH589" s="219"/>
      <c r="RKI589" s="219"/>
      <c r="RKJ589" s="219"/>
      <c r="RKK589" s="219"/>
      <c r="RKL589" s="219"/>
      <c r="RKM589" s="219"/>
      <c r="RKN589" s="219"/>
      <c r="RKO589" s="219"/>
      <c r="RKP589" s="219"/>
      <c r="RKQ589" s="219"/>
      <c r="RKR589" s="219"/>
      <c r="RKS589" s="219"/>
      <c r="RKT589" s="219"/>
      <c r="RKU589" s="219"/>
      <c r="RKV589" s="219"/>
      <c r="RKW589" s="219"/>
      <c r="RKX589" s="219"/>
      <c r="RKY589" s="219"/>
      <c r="RKZ589" s="219"/>
      <c r="RLA589" s="219"/>
      <c r="RLB589" s="219"/>
      <c r="RLC589" s="219"/>
      <c r="RLD589" s="219"/>
      <c r="RLE589" s="219"/>
      <c r="RLF589" s="219"/>
      <c r="RLG589" s="219"/>
      <c r="RLH589" s="219"/>
      <c r="RLI589" s="219"/>
      <c r="RLJ589" s="219"/>
      <c r="RLK589" s="219"/>
      <c r="RLL589" s="219"/>
      <c r="RLM589" s="219"/>
      <c r="RLN589" s="219"/>
      <c r="RLO589" s="219"/>
      <c r="RLP589" s="219"/>
      <c r="RLQ589" s="219"/>
      <c r="RLR589" s="219"/>
      <c r="RLS589" s="219"/>
      <c r="RLT589" s="219"/>
      <c r="RLU589" s="219"/>
      <c r="RLV589" s="219"/>
      <c r="RLW589" s="219"/>
      <c r="RLX589" s="219"/>
      <c r="RLY589" s="219"/>
      <c r="RLZ589" s="219"/>
      <c r="RMA589" s="219"/>
      <c r="RMB589" s="219"/>
      <c r="RMC589" s="219"/>
      <c r="RMD589" s="219"/>
      <c r="RME589" s="219"/>
      <c r="RMF589" s="219"/>
      <c r="RMG589" s="219"/>
      <c r="RMH589" s="219"/>
      <c r="RMI589" s="219"/>
      <c r="RMJ589" s="219"/>
      <c r="RMK589" s="219"/>
      <c r="RML589" s="219"/>
      <c r="RMM589" s="219"/>
      <c r="RMN589" s="219"/>
      <c r="RMO589" s="219"/>
      <c r="RMP589" s="219"/>
      <c r="RMQ589" s="219"/>
      <c r="RMR589" s="219"/>
      <c r="RMS589" s="219"/>
      <c r="RMT589" s="219"/>
      <c r="RMU589" s="219"/>
      <c r="RMV589" s="219"/>
      <c r="RMW589" s="219"/>
      <c r="RMX589" s="219"/>
      <c r="RMY589" s="219"/>
      <c r="RMZ589" s="219"/>
      <c r="RNA589" s="219"/>
      <c r="RNB589" s="219"/>
      <c r="RNC589" s="219"/>
      <c r="RND589" s="219"/>
      <c r="RNE589" s="219"/>
      <c r="RNF589" s="219"/>
      <c r="RNG589" s="219"/>
      <c r="RNH589" s="219"/>
      <c r="RNI589" s="219"/>
      <c r="RNJ589" s="219"/>
      <c r="RNK589" s="219"/>
      <c r="RNL589" s="219"/>
      <c r="RNM589" s="219"/>
      <c r="RNN589" s="219"/>
      <c r="RNO589" s="219"/>
      <c r="RNP589" s="219"/>
      <c r="RNQ589" s="219"/>
      <c r="RNR589" s="219"/>
      <c r="RNS589" s="219"/>
      <c r="RNT589" s="219"/>
      <c r="RNU589" s="219"/>
      <c r="RNV589" s="219"/>
      <c r="RNW589" s="219"/>
      <c r="RNX589" s="219"/>
      <c r="RNY589" s="219"/>
      <c r="RNZ589" s="219"/>
      <c r="ROA589" s="219"/>
      <c r="ROB589" s="219"/>
      <c r="ROC589" s="219"/>
      <c r="ROD589" s="219"/>
      <c r="ROE589" s="219"/>
      <c r="ROF589" s="219"/>
      <c r="ROG589" s="219"/>
      <c r="ROH589" s="219"/>
      <c r="ROI589" s="219"/>
      <c r="ROJ589" s="219"/>
      <c r="ROK589" s="219"/>
      <c r="ROL589" s="219"/>
      <c r="ROM589" s="219"/>
      <c r="RON589" s="219"/>
      <c r="ROO589" s="219"/>
      <c r="ROP589" s="219"/>
      <c r="ROQ589" s="219"/>
      <c r="ROR589" s="219"/>
      <c r="ROS589" s="219"/>
      <c r="ROT589" s="219"/>
      <c r="ROU589" s="219"/>
      <c r="ROV589" s="219"/>
      <c r="ROW589" s="219"/>
      <c r="ROX589" s="219"/>
      <c r="ROY589" s="219"/>
      <c r="ROZ589" s="219"/>
      <c r="RPA589" s="219"/>
      <c r="RPB589" s="219"/>
      <c r="RPC589" s="219"/>
      <c r="RPD589" s="219"/>
      <c r="RPE589" s="219"/>
      <c r="RPF589" s="219"/>
      <c r="RPG589" s="219"/>
      <c r="RPH589" s="219"/>
      <c r="RPI589" s="219"/>
      <c r="RPJ589" s="219"/>
      <c r="RPK589" s="219"/>
      <c r="RPL589" s="219"/>
      <c r="RPM589" s="219"/>
      <c r="RPN589" s="219"/>
      <c r="RPO589" s="219"/>
      <c r="RPP589" s="219"/>
      <c r="RPQ589" s="219"/>
      <c r="RPR589" s="219"/>
      <c r="RPS589" s="219"/>
      <c r="RPT589" s="219"/>
      <c r="RPU589" s="219"/>
      <c r="RPV589" s="219"/>
      <c r="RPW589" s="219"/>
      <c r="RPX589" s="219"/>
      <c r="RPY589" s="219"/>
      <c r="RPZ589" s="219"/>
      <c r="RQA589" s="219"/>
      <c r="RQB589" s="219"/>
      <c r="RQC589" s="219"/>
      <c r="RQD589" s="219"/>
      <c r="RQE589" s="219"/>
      <c r="RQF589" s="219"/>
      <c r="RQG589" s="219"/>
      <c r="RQH589" s="219"/>
      <c r="RQI589" s="219"/>
      <c r="RQJ589" s="219"/>
      <c r="RQK589" s="219"/>
      <c r="RQL589" s="219"/>
      <c r="RQM589" s="219"/>
      <c r="RQN589" s="219"/>
      <c r="RQO589" s="219"/>
      <c r="RQP589" s="219"/>
      <c r="RQQ589" s="219"/>
      <c r="RQR589" s="219"/>
      <c r="RQS589" s="219"/>
      <c r="RQT589" s="219"/>
      <c r="RQU589" s="219"/>
      <c r="RQV589" s="219"/>
      <c r="RQW589" s="219"/>
      <c r="RQX589" s="219"/>
      <c r="RQY589" s="219"/>
      <c r="RQZ589" s="219"/>
      <c r="RRA589" s="219"/>
      <c r="RRB589" s="219"/>
      <c r="RRC589" s="219"/>
      <c r="RRD589" s="219"/>
      <c r="RRE589" s="219"/>
      <c r="RRF589" s="219"/>
      <c r="RRG589" s="219"/>
      <c r="RRH589" s="219"/>
      <c r="RRI589" s="219"/>
      <c r="RRJ589" s="219"/>
      <c r="RRK589" s="219"/>
      <c r="RRL589" s="219"/>
      <c r="RRM589" s="219"/>
      <c r="RRN589" s="219"/>
      <c r="RRO589" s="219"/>
      <c r="RRP589" s="219"/>
      <c r="RRQ589" s="219"/>
      <c r="RRR589" s="219"/>
      <c r="RRS589" s="219"/>
      <c r="RRT589" s="219"/>
      <c r="RRU589" s="219"/>
      <c r="RRV589" s="219"/>
      <c r="RRW589" s="219"/>
      <c r="RRX589" s="219"/>
      <c r="RRY589" s="219"/>
      <c r="RRZ589" s="219"/>
      <c r="RSA589" s="219"/>
      <c r="RSB589" s="219"/>
      <c r="RSC589" s="219"/>
      <c r="RSD589" s="219"/>
      <c r="RSE589" s="219"/>
      <c r="RSF589" s="219"/>
      <c r="RSG589" s="219"/>
      <c r="RSH589" s="219"/>
      <c r="RSI589" s="219"/>
      <c r="RSJ589" s="219"/>
      <c r="RSK589" s="219"/>
      <c r="RSL589" s="219"/>
      <c r="RSM589" s="219"/>
      <c r="RSN589" s="219"/>
      <c r="RSO589" s="219"/>
      <c r="RSP589" s="219"/>
      <c r="RSQ589" s="219"/>
      <c r="RSR589" s="219"/>
      <c r="RSS589" s="219"/>
      <c r="RST589" s="219"/>
      <c r="RSU589" s="219"/>
      <c r="RSV589" s="219"/>
      <c r="RSW589" s="219"/>
      <c r="RSX589" s="219"/>
      <c r="RSY589" s="219"/>
      <c r="RSZ589" s="219"/>
      <c r="RTA589" s="219"/>
      <c r="RTB589" s="219"/>
      <c r="RTC589" s="219"/>
      <c r="RTD589" s="219"/>
      <c r="RTE589" s="219"/>
      <c r="RTF589" s="219"/>
      <c r="RTG589" s="219"/>
      <c r="RTH589" s="219"/>
      <c r="RTI589" s="219"/>
      <c r="RTJ589" s="219"/>
      <c r="RTK589" s="219"/>
      <c r="RTL589" s="219"/>
      <c r="RTM589" s="219"/>
      <c r="RTN589" s="219"/>
      <c r="RTO589" s="219"/>
      <c r="RTP589" s="219"/>
      <c r="RTQ589" s="219"/>
      <c r="RTR589" s="219"/>
      <c r="RTS589" s="219"/>
      <c r="RTT589" s="219"/>
      <c r="RTU589" s="219"/>
      <c r="RTV589" s="219"/>
      <c r="RTW589" s="219"/>
      <c r="RTX589" s="219"/>
      <c r="RTY589" s="219"/>
      <c r="RTZ589" s="219"/>
      <c r="RUA589" s="219"/>
      <c r="RUB589" s="219"/>
      <c r="RUC589" s="219"/>
      <c r="RUD589" s="219"/>
      <c r="RUE589" s="219"/>
      <c r="RUF589" s="219"/>
      <c r="RUG589" s="219"/>
      <c r="RUH589" s="219"/>
      <c r="RUI589" s="219"/>
      <c r="RUJ589" s="219"/>
      <c r="RUK589" s="219"/>
      <c r="RUL589" s="219"/>
      <c r="RUM589" s="219"/>
      <c r="RUN589" s="219"/>
      <c r="RUO589" s="219"/>
      <c r="RUP589" s="219"/>
      <c r="RUQ589" s="219"/>
      <c r="RUR589" s="219"/>
      <c r="RUS589" s="219"/>
      <c r="RUT589" s="219"/>
      <c r="RUU589" s="219"/>
      <c r="RUV589" s="219"/>
      <c r="RUW589" s="219"/>
      <c r="RUX589" s="219"/>
      <c r="RUY589" s="219"/>
      <c r="RUZ589" s="219"/>
      <c r="RVA589" s="219"/>
      <c r="RVB589" s="219"/>
      <c r="RVC589" s="219"/>
      <c r="RVD589" s="219"/>
      <c r="RVE589" s="219"/>
      <c r="RVF589" s="219"/>
      <c r="RVG589" s="219"/>
      <c r="RVH589" s="219"/>
      <c r="RVI589" s="219"/>
      <c r="RVJ589" s="219"/>
      <c r="RVK589" s="219"/>
      <c r="RVL589" s="219"/>
      <c r="RVM589" s="219"/>
      <c r="RVN589" s="219"/>
      <c r="RVO589" s="219"/>
      <c r="RVP589" s="219"/>
      <c r="RVQ589" s="219"/>
      <c r="RVR589" s="219"/>
      <c r="RVS589" s="219"/>
      <c r="RVT589" s="219"/>
      <c r="RVU589" s="219"/>
      <c r="RVV589" s="219"/>
      <c r="RVW589" s="219"/>
      <c r="RVX589" s="219"/>
      <c r="RVY589" s="219"/>
      <c r="RVZ589" s="219"/>
      <c r="RWA589" s="219"/>
      <c r="RWB589" s="219"/>
      <c r="RWC589" s="219"/>
      <c r="RWD589" s="219"/>
      <c r="RWE589" s="219"/>
      <c r="RWF589" s="219"/>
      <c r="RWG589" s="219"/>
      <c r="RWH589" s="219"/>
      <c r="RWI589" s="219"/>
      <c r="RWJ589" s="219"/>
      <c r="RWK589" s="219"/>
      <c r="RWL589" s="219"/>
      <c r="RWM589" s="219"/>
      <c r="RWN589" s="219"/>
      <c r="RWO589" s="219"/>
      <c r="RWP589" s="219"/>
      <c r="RWQ589" s="219"/>
      <c r="RWR589" s="219"/>
      <c r="RWS589" s="219"/>
      <c r="RWT589" s="219"/>
      <c r="RWU589" s="219"/>
      <c r="RWV589" s="219"/>
      <c r="RWW589" s="219"/>
      <c r="RWX589" s="219"/>
      <c r="RWY589" s="219"/>
      <c r="RWZ589" s="219"/>
      <c r="RXA589" s="219"/>
      <c r="RXB589" s="219"/>
      <c r="RXC589" s="219"/>
      <c r="RXD589" s="219"/>
      <c r="RXE589" s="219"/>
      <c r="RXF589" s="219"/>
      <c r="RXG589" s="219"/>
      <c r="RXH589" s="219"/>
      <c r="RXI589" s="219"/>
      <c r="RXJ589" s="219"/>
      <c r="RXK589" s="219"/>
      <c r="RXL589" s="219"/>
      <c r="RXM589" s="219"/>
      <c r="RXN589" s="219"/>
      <c r="RXO589" s="219"/>
      <c r="RXP589" s="219"/>
      <c r="RXQ589" s="219"/>
      <c r="RXR589" s="219"/>
      <c r="RXS589" s="219"/>
      <c r="RXT589" s="219"/>
      <c r="RXU589" s="219"/>
      <c r="RXV589" s="219"/>
      <c r="RXW589" s="219"/>
      <c r="RXX589" s="219"/>
      <c r="RXY589" s="219"/>
      <c r="RXZ589" s="219"/>
      <c r="RYA589" s="219"/>
      <c r="RYB589" s="219"/>
      <c r="RYC589" s="219"/>
      <c r="RYD589" s="219"/>
      <c r="RYE589" s="219"/>
      <c r="RYF589" s="219"/>
      <c r="RYG589" s="219"/>
      <c r="RYH589" s="219"/>
      <c r="RYI589" s="219"/>
      <c r="RYJ589" s="219"/>
      <c r="RYK589" s="219"/>
      <c r="RYL589" s="219"/>
      <c r="RYM589" s="219"/>
      <c r="RYN589" s="219"/>
      <c r="RYO589" s="219"/>
      <c r="RYP589" s="219"/>
      <c r="RYQ589" s="219"/>
      <c r="RYR589" s="219"/>
      <c r="RYS589" s="219"/>
      <c r="RYT589" s="219"/>
      <c r="RYU589" s="219"/>
      <c r="RYV589" s="219"/>
      <c r="RYW589" s="219"/>
      <c r="RYX589" s="219"/>
      <c r="RYY589" s="219"/>
      <c r="RYZ589" s="219"/>
      <c r="RZA589" s="219"/>
      <c r="RZB589" s="219"/>
      <c r="RZC589" s="219"/>
      <c r="RZD589" s="219"/>
      <c r="RZE589" s="219"/>
      <c r="RZF589" s="219"/>
      <c r="RZG589" s="219"/>
      <c r="RZH589" s="219"/>
      <c r="RZI589" s="219"/>
      <c r="RZJ589" s="219"/>
      <c r="RZK589" s="219"/>
      <c r="RZL589" s="219"/>
      <c r="RZM589" s="219"/>
      <c r="RZN589" s="219"/>
      <c r="RZO589" s="219"/>
      <c r="RZP589" s="219"/>
      <c r="RZQ589" s="219"/>
      <c r="RZR589" s="219"/>
      <c r="RZS589" s="219"/>
      <c r="RZT589" s="219"/>
      <c r="RZU589" s="219"/>
      <c r="RZV589" s="219"/>
      <c r="RZW589" s="219"/>
      <c r="RZX589" s="219"/>
      <c r="RZY589" s="219"/>
      <c r="RZZ589" s="219"/>
      <c r="SAA589" s="219"/>
      <c r="SAB589" s="219"/>
      <c r="SAC589" s="219"/>
      <c r="SAD589" s="219"/>
      <c r="SAE589" s="219"/>
      <c r="SAF589" s="219"/>
      <c r="SAG589" s="219"/>
      <c r="SAH589" s="219"/>
      <c r="SAI589" s="219"/>
      <c r="SAJ589" s="219"/>
      <c r="SAK589" s="219"/>
      <c r="SAL589" s="219"/>
      <c r="SAM589" s="219"/>
      <c r="SAN589" s="219"/>
      <c r="SAO589" s="219"/>
      <c r="SAP589" s="219"/>
      <c r="SAQ589" s="219"/>
      <c r="SAR589" s="219"/>
      <c r="SAS589" s="219"/>
      <c r="SAT589" s="219"/>
      <c r="SAU589" s="219"/>
      <c r="SAV589" s="219"/>
      <c r="SAW589" s="219"/>
      <c r="SAX589" s="219"/>
      <c r="SAY589" s="219"/>
      <c r="SAZ589" s="219"/>
      <c r="SBA589" s="219"/>
      <c r="SBB589" s="219"/>
      <c r="SBC589" s="219"/>
      <c r="SBD589" s="219"/>
      <c r="SBE589" s="219"/>
      <c r="SBF589" s="219"/>
      <c r="SBG589" s="219"/>
      <c r="SBH589" s="219"/>
      <c r="SBI589" s="219"/>
      <c r="SBJ589" s="219"/>
      <c r="SBK589" s="219"/>
      <c r="SBL589" s="219"/>
      <c r="SBM589" s="219"/>
      <c r="SBN589" s="219"/>
      <c r="SBO589" s="219"/>
      <c r="SBP589" s="219"/>
      <c r="SBQ589" s="219"/>
      <c r="SBR589" s="219"/>
      <c r="SBS589" s="219"/>
      <c r="SBT589" s="219"/>
      <c r="SBU589" s="219"/>
      <c r="SBV589" s="219"/>
      <c r="SBW589" s="219"/>
      <c r="SBX589" s="219"/>
      <c r="SBY589" s="219"/>
      <c r="SBZ589" s="219"/>
      <c r="SCA589" s="219"/>
      <c r="SCB589" s="219"/>
      <c r="SCC589" s="219"/>
      <c r="SCD589" s="219"/>
      <c r="SCE589" s="219"/>
      <c r="SCF589" s="219"/>
      <c r="SCG589" s="219"/>
      <c r="SCH589" s="219"/>
      <c r="SCI589" s="219"/>
      <c r="SCJ589" s="219"/>
      <c r="SCK589" s="219"/>
      <c r="SCL589" s="219"/>
      <c r="SCM589" s="219"/>
      <c r="SCN589" s="219"/>
      <c r="SCO589" s="219"/>
      <c r="SCP589" s="219"/>
      <c r="SCQ589" s="219"/>
      <c r="SCR589" s="219"/>
      <c r="SCS589" s="219"/>
      <c r="SCT589" s="219"/>
      <c r="SCU589" s="219"/>
      <c r="SCV589" s="219"/>
      <c r="SCW589" s="219"/>
      <c r="SCX589" s="219"/>
      <c r="SCY589" s="219"/>
      <c r="SCZ589" s="219"/>
      <c r="SDA589" s="219"/>
      <c r="SDB589" s="219"/>
      <c r="SDC589" s="219"/>
      <c r="SDD589" s="219"/>
      <c r="SDE589" s="219"/>
      <c r="SDF589" s="219"/>
      <c r="SDG589" s="219"/>
      <c r="SDH589" s="219"/>
      <c r="SDI589" s="219"/>
      <c r="SDJ589" s="219"/>
      <c r="SDK589" s="219"/>
      <c r="SDL589" s="219"/>
      <c r="SDM589" s="219"/>
      <c r="SDN589" s="219"/>
      <c r="SDO589" s="219"/>
      <c r="SDP589" s="219"/>
      <c r="SDQ589" s="219"/>
      <c r="SDR589" s="219"/>
      <c r="SDS589" s="219"/>
      <c r="SDT589" s="219"/>
      <c r="SDU589" s="219"/>
      <c r="SDV589" s="219"/>
      <c r="SDW589" s="219"/>
      <c r="SDX589" s="219"/>
      <c r="SDY589" s="219"/>
      <c r="SDZ589" s="219"/>
      <c r="SEA589" s="219"/>
      <c r="SEB589" s="219"/>
      <c r="SEC589" s="219"/>
      <c r="SED589" s="219"/>
      <c r="SEE589" s="219"/>
      <c r="SEF589" s="219"/>
      <c r="SEG589" s="219"/>
      <c r="SEH589" s="219"/>
      <c r="SEI589" s="219"/>
      <c r="SEJ589" s="219"/>
      <c r="SEK589" s="219"/>
      <c r="SEL589" s="219"/>
      <c r="SEM589" s="219"/>
      <c r="SEN589" s="219"/>
      <c r="SEO589" s="219"/>
      <c r="SEP589" s="219"/>
      <c r="SEQ589" s="219"/>
      <c r="SER589" s="219"/>
      <c r="SES589" s="219"/>
      <c r="SET589" s="219"/>
      <c r="SEU589" s="219"/>
      <c r="SEV589" s="219"/>
      <c r="SEW589" s="219"/>
      <c r="SEX589" s="219"/>
      <c r="SEY589" s="219"/>
      <c r="SEZ589" s="219"/>
      <c r="SFA589" s="219"/>
      <c r="SFB589" s="219"/>
      <c r="SFC589" s="219"/>
      <c r="SFD589" s="219"/>
      <c r="SFE589" s="219"/>
      <c r="SFF589" s="219"/>
      <c r="SFG589" s="219"/>
      <c r="SFH589" s="219"/>
      <c r="SFI589" s="219"/>
      <c r="SFJ589" s="219"/>
      <c r="SFK589" s="219"/>
      <c r="SFL589" s="219"/>
      <c r="SFM589" s="219"/>
      <c r="SFN589" s="219"/>
      <c r="SFO589" s="219"/>
      <c r="SFP589" s="219"/>
      <c r="SFQ589" s="219"/>
      <c r="SFR589" s="219"/>
      <c r="SFS589" s="219"/>
      <c r="SFT589" s="219"/>
      <c r="SFU589" s="219"/>
      <c r="SFV589" s="219"/>
      <c r="SFW589" s="219"/>
      <c r="SFX589" s="219"/>
      <c r="SFY589" s="219"/>
      <c r="SFZ589" s="219"/>
      <c r="SGA589" s="219"/>
      <c r="SGB589" s="219"/>
      <c r="SGC589" s="219"/>
      <c r="SGD589" s="219"/>
      <c r="SGE589" s="219"/>
      <c r="SGF589" s="219"/>
      <c r="SGG589" s="219"/>
      <c r="SGH589" s="219"/>
      <c r="SGI589" s="219"/>
      <c r="SGJ589" s="219"/>
      <c r="SGK589" s="219"/>
      <c r="SGL589" s="219"/>
      <c r="SGM589" s="219"/>
      <c r="SGN589" s="219"/>
      <c r="SGO589" s="219"/>
      <c r="SGP589" s="219"/>
      <c r="SGQ589" s="219"/>
      <c r="SGR589" s="219"/>
      <c r="SGS589" s="219"/>
      <c r="SGT589" s="219"/>
      <c r="SGU589" s="219"/>
      <c r="SGV589" s="219"/>
      <c r="SGW589" s="219"/>
      <c r="SGX589" s="219"/>
      <c r="SGY589" s="219"/>
      <c r="SGZ589" s="219"/>
      <c r="SHA589" s="219"/>
      <c r="SHB589" s="219"/>
      <c r="SHC589" s="219"/>
      <c r="SHD589" s="219"/>
      <c r="SHE589" s="219"/>
      <c r="SHF589" s="219"/>
      <c r="SHG589" s="219"/>
      <c r="SHH589" s="219"/>
      <c r="SHI589" s="219"/>
      <c r="SHJ589" s="219"/>
      <c r="SHK589" s="219"/>
      <c r="SHL589" s="219"/>
      <c r="SHM589" s="219"/>
      <c r="SHN589" s="219"/>
      <c r="SHO589" s="219"/>
      <c r="SHP589" s="219"/>
      <c r="SHQ589" s="219"/>
      <c r="SHR589" s="219"/>
      <c r="SHS589" s="219"/>
      <c r="SHT589" s="219"/>
      <c r="SHU589" s="219"/>
      <c r="SHV589" s="219"/>
      <c r="SHW589" s="219"/>
      <c r="SHX589" s="219"/>
      <c r="SHY589" s="219"/>
      <c r="SHZ589" s="219"/>
      <c r="SIA589" s="219"/>
      <c r="SIB589" s="219"/>
      <c r="SIC589" s="219"/>
      <c r="SID589" s="219"/>
      <c r="SIE589" s="219"/>
      <c r="SIF589" s="219"/>
      <c r="SIG589" s="219"/>
      <c r="SIH589" s="219"/>
      <c r="SII589" s="219"/>
      <c r="SIJ589" s="219"/>
      <c r="SIK589" s="219"/>
      <c r="SIL589" s="219"/>
      <c r="SIM589" s="219"/>
      <c r="SIN589" s="219"/>
      <c r="SIO589" s="219"/>
      <c r="SIP589" s="219"/>
      <c r="SIQ589" s="219"/>
      <c r="SIR589" s="219"/>
      <c r="SIS589" s="219"/>
      <c r="SIT589" s="219"/>
      <c r="SIU589" s="219"/>
      <c r="SIV589" s="219"/>
      <c r="SIW589" s="219"/>
      <c r="SIX589" s="219"/>
      <c r="SIY589" s="219"/>
      <c r="SIZ589" s="219"/>
      <c r="SJA589" s="219"/>
      <c r="SJB589" s="219"/>
      <c r="SJC589" s="219"/>
      <c r="SJD589" s="219"/>
      <c r="SJE589" s="219"/>
      <c r="SJF589" s="219"/>
      <c r="SJG589" s="219"/>
      <c r="SJH589" s="219"/>
      <c r="SJI589" s="219"/>
      <c r="SJJ589" s="219"/>
      <c r="SJK589" s="219"/>
      <c r="SJL589" s="219"/>
      <c r="SJM589" s="219"/>
      <c r="SJN589" s="219"/>
      <c r="SJO589" s="219"/>
      <c r="SJP589" s="219"/>
      <c r="SJQ589" s="219"/>
      <c r="SJR589" s="219"/>
      <c r="SJS589" s="219"/>
      <c r="SJT589" s="219"/>
      <c r="SJU589" s="219"/>
      <c r="SJV589" s="219"/>
      <c r="SJW589" s="219"/>
      <c r="SJX589" s="219"/>
      <c r="SJY589" s="219"/>
      <c r="SJZ589" s="219"/>
      <c r="SKA589" s="219"/>
      <c r="SKB589" s="219"/>
      <c r="SKC589" s="219"/>
      <c r="SKD589" s="219"/>
      <c r="SKE589" s="219"/>
      <c r="SKF589" s="219"/>
      <c r="SKG589" s="219"/>
      <c r="SKH589" s="219"/>
      <c r="SKI589" s="219"/>
      <c r="SKJ589" s="219"/>
      <c r="SKK589" s="219"/>
      <c r="SKL589" s="219"/>
      <c r="SKM589" s="219"/>
      <c r="SKN589" s="219"/>
      <c r="SKO589" s="219"/>
      <c r="SKP589" s="219"/>
      <c r="SKQ589" s="219"/>
      <c r="SKR589" s="219"/>
      <c r="SKS589" s="219"/>
      <c r="SKT589" s="219"/>
      <c r="SKU589" s="219"/>
      <c r="SKV589" s="219"/>
      <c r="SKW589" s="219"/>
      <c r="SKX589" s="219"/>
      <c r="SKY589" s="219"/>
      <c r="SKZ589" s="219"/>
      <c r="SLA589" s="219"/>
      <c r="SLB589" s="219"/>
      <c r="SLC589" s="219"/>
      <c r="SLD589" s="219"/>
      <c r="SLE589" s="219"/>
      <c r="SLF589" s="219"/>
      <c r="SLG589" s="219"/>
      <c r="SLH589" s="219"/>
      <c r="SLI589" s="219"/>
      <c r="SLJ589" s="219"/>
      <c r="SLK589" s="219"/>
      <c r="SLL589" s="219"/>
      <c r="SLM589" s="219"/>
      <c r="SLN589" s="219"/>
      <c r="SLO589" s="219"/>
      <c r="SLP589" s="219"/>
      <c r="SLQ589" s="219"/>
      <c r="SLR589" s="219"/>
      <c r="SLS589" s="219"/>
      <c r="SLT589" s="219"/>
      <c r="SLU589" s="219"/>
      <c r="SLV589" s="219"/>
      <c r="SLW589" s="219"/>
      <c r="SLX589" s="219"/>
      <c r="SLY589" s="219"/>
      <c r="SLZ589" s="219"/>
      <c r="SMA589" s="219"/>
      <c r="SMB589" s="219"/>
      <c r="SMC589" s="219"/>
      <c r="SMD589" s="219"/>
      <c r="SME589" s="219"/>
      <c r="SMF589" s="219"/>
      <c r="SMG589" s="219"/>
      <c r="SMH589" s="219"/>
      <c r="SMI589" s="219"/>
      <c r="SMJ589" s="219"/>
      <c r="SMK589" s="219"/>
      <c r="SML589" s="219"/>
      <c r="SMM589" s="219"/>
      <c r="SMN589" s="219"/>
      <c r="SMO589" s="219"/>
      <c r="SMP589" s="219"/>
      <c r="SMQ589" s="219"/>
      <c r="SMR589" s="219"/>
      <c r="SMS589" s="219"/>
      <c r="SMT589" s="219"/>
      <c r="SMU589" s="219"/>
      <c r="SMV589" s="219"/>
      <c r="SMW589" s="219"/>
      <c r="SMX589" s="219"/>
      <c r="SMY589" s="219"/>
      <c r="SMZ589" s="219"/>
      <c r="SNA589" s="219"/>
      <c r="SNB589" s="219"/>
      <c r="SNC589" s="219"/>
      <c r="SND589" s="219"/>
      <c r="SNE589" s="219"/>
      <c r="SNF589" s="219"/>
      <c r="SNG589" s="219"/>
      <c r="SNH589" s="219"/>
      <c r="SNI589" s="219"/>
      <c r="SNJ589" s="219"/>
      <c r="SNK589" s="219"/>
      <c r="SNL589" s="219"/>
      <c r="SNM589" s="219"/>
      <c r="SNN589" s="219"/>
      <c r="SNO589" s="219"/>
      <c r="SNP589" s="219"/>
      <c r="SNQ589" s="219"/>
      <c r="SNR589" s="219"/>
      <c r="SNS589" s="219"/>
      <c r="SNT589" s="219"/>
      <c r="SNU589" s="219"/>
      <c r="SNV589" s="219"/>
      <c r="SNW589" s="219"/>
      <c r="SNX589" s="219"/>
      <c r="SNY589" s="219"/>
      <c r="SNZ589" s="219"/>
      <c r="SOA589" s="219"/>
      <c r="SOB589" s="219"/>
      <c r="SOC589" s="219"/>
      <c r="SOD589" s="219"/>
      <c r="SOE589" s="219"/>
      <c r="SOF589" s="219"/>
      <c r="SOG589" s="219"/>
      <c r="SOH589" s="219"/>
      <c r="SOI589" s="219"/>
      <c r="SOJ589" s="219"/>
      <c r="SOK589" s="219"/>
      <c r="SOL589" s="219"/>
      <c r="SOM589" s="219"/>
      <c r="SON589" s="219"/>
      <c r="SOO589" s="219"/>
      <c r="SOP589" s="219"/>
      <c r="SOQ589" s="219"/>
      <c r="SOR589" s="219"/>
      <c r="SOS589" s="219"/>
      <c r="SOT589" s="219"/>
      <c r="SOU589" s="219"/>
      <c r="SOV589" s="219"/>
      <c r="SOW589" s="219"/>
      <c r="SOX589" s="219"/>
      <c r="SOY589" s="219"/>
      <c r="SOZ589" s="219"/>
      <c r="SPA589" s="219"/>
      <c r="SPB589" s="219"/>
      <c r="SPC589" s="219"/>
      <c r="SPD589" s="219"/>
      <c r="SPE589" s="219"/>
      <c r="SPF589" s="219"/>
      <c r="SPG589" s="219"/>
      <c r="SPH589" s="219"/>
      <c r="SPI589" s="219"/>
      <c r="SPJ589" s="219"/>
      <c r="SPK589" s="219"/>
      <c r="SPL589" s="219"/>
      <c r="SPM589" s="219"/>
      <c r="SPN589" s="219"/>
      <c r="SPO589" s="219"/>
      <c r="SPP589" s="219"/>
      <c r="SPQ589" s="219"/>
      <c r="SPR589" s="219"/>
      <c r="SPS589" s="219"/>
      <c r="SPT589" s="219"/>
      <c r="SPU589" s="219"/>
      <c r="SPV589" s="219"/>
      <c r="SPW589" s="219"/>
      <c r="SPX589" s="219"/>
      <c r="SPY589" s="219"/>
      <c r="SPZ589" s="219"/>
      <c r="SQA589" s="219"/>
      <c r="SQB589" s="219"/>
      <c r="SQC589" s="219"/>
      <c r="SQD589" s="219"/>
      <c r="SQE589" s="219"/>
      <c r="SQF589" s="219"/>
      <c r="SQG589" s="219"/>
      <c r="SQH589" s="219"/>
      <c r="SQI589" s="219"/>
      <c r="SQJ589" s="219"/>
      <c r="SQK589" s="219"/>
      <c r="SQL589" s="219"/>
      <c r="SQM589" s="219"/>
      <c r="SQN589" s="219"/>
      <c r="SQO589" s="219"/>
      <c r="SQP589" s="219"/>
      <c r="SQQ589" s="219"/>
      <c r="SQR589" s="219"/>
      <c r="SQS589" s="219"/>
      <c r="SQT589" s="219"/>
      <c r="SQU589" s="219"/>
      <c r="SQV589" s="219"/>
      <c r="SQW589" s="219"/>
      <c r="SQX589" s="219"/>
      <c r="SQY589" s="219"/>
      <c r="SQZ589" s="219"/>
      <c r="SRA589" s="219"/>
      <c r="SRB589" s="219"/>
      <c r="SRC589" s="219"/>
      <c r="SRD589" s="219"/>
      <c r="SRE589" s="219"/>
      <c r="SRF589" s="219"/>
      <c r="SRG589" s="219"/>
      <c r="SRH589" s="219"/>
      <c r="SRI589" s="219"/>
      <c r="SRJ589" s="219"/>
      <c r="SRK589" s="219"/>
      <c r="SRL589" s="219"/>
      <c r="SRM589" s="219"/>
      <c r="SRN589" s="219"/>
      <c r="SRO589" s="219"/>
      <c r="SRP589" s="219"/>
      <c r="SRQ589" s="219"/>
      <c r="SRR589" s="219"/>
      <c r="SRS589" s="219"/>
      <c r="SRT589" s="219"/>
      <c r="SRU589" s="219"/>
      <c r="SRV589" s="219"/>
      <c r="SRW589" s="219"/>
      <c r="SRX589" s="219"/>
      <c r="SRY589" s="219"/>
      <c r="SRZ589" s="219"/>
      <c r="SSA589" s="219"/>
      <c r="SSB589" s="219"/>
      <c r="SSC589" s="219"/>
      <c r="SSD589" s="219"/>
      <c r="SSE589" s="219"/>
      <c r="SSF589" s="219"/>
      <c r="SSG589" s="219"/>
      <c r="SSH589" s="219"/>
      <c r="SSI589" s="219"/>
      <c r="SSJ589" s="219"/>
      <c r="SSK589" s="219"/>
      <c r="SSL589" s="219"/>
      <c r="SSM589" s="219"/>
      <c r="SSN589" s="219"/>
      <c r="SSO589" s="219"/>
      <c r="SSP589" s="219"/>
      <c r="SSQ589" s="219"/>
      <c r="SSR589" s="219"/>
      <c r="SSS589" s="219"/>
      <c r="SST589" s="219"/>
      <c r="SSU589" s="219"/>
      <c r="SSV589" s="219"/>
      <c r="SSW589" s="219"/>
      <c r="SSX589" s="219"/>
      <c r="SSY589" s="219"/>
      <c r="SSZ589" s="219"/>
      <c r="STA589" s="219"/>
      <c r="STB589" s="219"/>
      <c r="STC589" s="219"/>
      <c r="STD589" s="219"/>
      <c r="STE589" s="219"/>
      <c r="STF589" s="219"/>
      <c r="STG589" s="219"/>
      <c r="STH589" s="219"/>
      <c r="STI589" s="219"/>
      <c r="STJ589" s="219"/>
      <c r="STK589" s="219"/>
      <c r="STL589" s="219"/>
      <c r="STM589" s="219"/>
      <c r="STN589" s="219"/>
      <c r="STO589" s="219"/>
      <c r="STP589" s="219"/>
      <c r="STQ589" s="219"/>
      <c r="STR589" s="219"/>
      <c r="STS589" s="219"/>
      <c r="STT589" s="219"/>
      <c r="STU589" s="219"/>
      <c r="STV589" s="219"/>
      <c r="STW589" s="219"/>
      <c r="STX589" s="219"/>
      <c r="STY589" s="219"/>
      <c r="STZ589" s="219"/>
      <c r="SUA589" s="219"/>
      <c r="SUB589" s="219"/>
      <c r="SUC589" s="219"/>
      <c r="SUD589" s="219"/>
      <c r="SUE589" s="219"/>
      <c r="SUF589" s="219"/>
      <c r="SUG589" s="219"/>
      <c r="SUH589" s="219"/>
      <c r="SUI589" s="219"/>
      <c r="SUJ589" s="219"/>
      <c r="SUK589" s="219"/>
      <c r="SUL589" s="219"/>
      <c r="SUM589" s="219"/>
      <c r="SUN589" s="219"/>
      <c r="SUO589" s="219"/>
      <c r="SUP589" s="219"/>
      <c r="SUQ589" s="219"/>
      <c r="SUR589" s="219"/>
      <c r="SUS589" s="219"/>
      <c r="SUT589" s="219"/>
      <c r="SUU589" s="219"/>
      <c r="SUV589" s="219"/>
      <c r="SUW589" s="219"/>
      <c r="SUX589" s="219"/>
      <c r="SUY589" s="219"/>
      <c r="SUZ589" s="219"/>
      <c r="SVA589" s="219"/>
      <c r="SVB589" s="219"/>
      <c r="SVC589" s="219"/>
      <c r="SVD589" s="219"/>
      <c r="SVE589" s="219"/>
      <c r="SVF589" s="219"/>
      <c r="SVG589" s="219"/>
      <c r="SVH589" s="219"/>
      <c r="SVI589" s="219"/>
      <c r="SVJ589" s="219"/>
      <c r="SVK589" s="219"/>
      <c r="SVL589" s="219"/>
      <c r="SVM589" s="219"/>
      <c r="SVN589" s="219"/>
      <c r="SVO589" s="219"/>
      <c r="SVP589" s="219"/>
      <c r="SVQ589" s="219"/>
      <c r="SVR589" s="219"/>
      <c r="SVS589" s="219"/>
      <c r="SVT589" s="219"/>
      <c r="SVU589" s="219"/>
      <c r="SVV589" s="219"/>
      <c r="SVW589" s="219"/>
      <c r="SVX589" s="219"/>
      <c r="SVY589" s="219"/>
      <c r="SVZ589" s="219"/>
      <c r="SWA589" s="219"/>
      <c r="SWB589" s="219"/>
      <c r="SWC589" s="219"/>
      <c r="SWD589" s="219"/>
      <c r="SWE589" s="219"/>
      <c r="SWF589" s="219"/>
      <c r="SWG589" s="219"/>
      <c r="SWH589" s="219"/>
      <c r="SWI589" s="219"/>
      <c r="SWJ589" s="219"/>
      <c r="SWK589" s="219"/>
      <c r="SWL589" s="219"/>
      <c r="SWM589" s="219"/>
      <c r="SWN589" s="219"/>
      <c r="SWO589" s="219"/>
      <c r="SWP589" s="219"/>
      <c r="SWQ589" s="219"/>
      <c r="SWR589" s="219"/>
      <c r="SWS589" s="219"/>
      <c r="SWT589" s="219"/>
      <c r="SWU589" s="219"/>
      <c r="SWV589" s="219"/>
      <c r="SWW589" s="219"/>
      <c r="SWX589" s="219"/>
      <c r="SWY589" s="219"/>
      <c r="SWZ589" s="219"/>
      <c r="SXA589" s="219"/>
      <c r="SXB589" s="219"/>
      <c r="SXC589" s="219"/>
      <c r="SXD589" s="219"/>
      <c r="SXE589" s="219"/>
      <c r="SXF589" s="219"/>
      <c r="SXG589" s="219"/>
      <c r="SXH589" s="219"/>
      <c r="SXI589" s="219"/>
      <c r="SXJ589" s="219"/>
      <c r="SXK589" s="219"/>
      <c r="SXL589" s="219"/>
      <c r="SXM589" s="219"/>
      <c r="SXN589" s="219"/>
      <c r="SXO589" s="219"/>
      <c r="SXP589" s="219"/>
      <c r="SXQ589" s="219"/>
      <c r="SXR589" s="219"/>
      <c r="SXS589" s="219"/>
      <c r="SXT589" s="219"/>
      <c r="SXU589" s="219"/>
      <c r="SXV589" s="219"/>
      <c r="SXW589" s="219"/>
      <c r="SXX589" s="219"/>
      <c r="SXY589" s="219"/>
      <c r="SXZ589" s="219"/>
      <c r="SYA589" s="219"/>
      <c r="SYB589" s="219"/>
      <c r="SYC589" s="219"/>
      <c r="SYD589" s="219"/>
      <c r="SYE589" s="219"/>
      <c r="SYF589" s="219"/>
      <c r="SYG589" s="219"/>
      <c r="SYH589" s="219"/>
      <c r="SYI589" s="219"/>
      <c r="SYJ589" s="219"/>
      <c r="SYK589" s="219"/>
      <c r="SYL589" s="219"/>
      <c r="SYM589" s="219"/>
      <c r="SYN589" s="219"/>
      <c r="SYO589" s="219"/>
      <c r="SYP589" s="219"/>
      <c r="SYQ589" s="219"/>
      <c r="SYR589" s="219"/>
      <c r="SYS589" s="219"/>
      <c r="SYT589" s="219"/>
      <c r="SYU589" s="219"/>
      <c r="SYV589" s="219"/>
      <c r="SYW589" s="219"/>
      <c r="SYX589" s="219"/>
      <c r="SYY589" s="219"/>
      <c r="SYZ589" s="219"/>
      <c r="SZA589" s="219"/>
      <c r="SZB589" s="219"/>
      <c r="SZC589" s="219"/>
      <c r="SZD589" s="219"/>
      <c r="SZE589" s="219"/>
      <c r="SZF589" s="219"/>
      <c r="SZG589" s="219"/>
      <c r="SZH589" s="219"/>
      <c r="SZI589" s="219"/>
      <c r="SZJ589" s="219"/>
      <c r="SZK589" s="219"/>
      <c r="SZL589" s="219"/>
      <c r="SZM589" s="219"/>
      <c r="SZN589" s="219"/>
      <c r="SZO589" s="219"/>
      <c r="SZP589" s="219"/>
      <c r="SZQ589" s="219"/>
      <c r="SZR589" s="219"/>
      <c r="SZS589" s="219"/>
      <c r="SZT589" s="219"/>
      <c r="SZU589" s="219"/>
      <c r="SZV589" s="219"/>
      <c r="SZW589" s="219"/>
      <c r="SZX589" s="219"/>
      <c r="SZY589" s="219"/>
      <c r="SZZ589" s="219"/>
      <c r="TAA589" s="219"/>
      <c r="TAB589" s="219"/>
      <c r="TAC589" s="219"/>
      <c r="TAD589" s="219"/>
      <c r="TAE589" s="219"/>
      <c r="TAF589" s="219"/>
      <c r="TAG589" s="219"/>
      <c r="TAH589" s="219"/>
      <c r="TAI589" s="219"/>
      <c r="TAJ589" s="219"/>
      <c r="TAK589" s="219"/>
      <c r="TAL589" s="219"/>
      <c r="TAM589" s="219"/>
      <c r="TAN589" s="219"/>
      <c r="TAO589" s="219"/>
      <c r="TAP589" s="219"/>
      <c r="TAQ589" s="219"/>
      <c r="TAR589" s="219"/>
      <c r="TAS589" s="219"/>
      <c r="TAT589" s="219"/>
      <c r="TAU589" s="219"/>
      <c r="TAV589" s="219"/>
      <c r="TAW589" s="219"/>
      <c r="TAX589" s="219"/>
      <c r="TAY589" s="219"/>
      <c r="TAZ589" s="219"/>
      <c r="TBA589" s="219"/>
      <c r="TBB589" s="219"/>
      <c r="TBC589" s="219"/>
      <c r="TBD589" s="219"/>
      <c r="TBE589" s="219"/>
      <c r="TBF589" s="219"/>
      <c r="TBG589" s="219"/>
      <c r="TBH589" s="219"/>
      <c r="TBI589" s="219"/>
      <c r="TBJ589" s="219"/>
      <c r="TBK589" s="219"/>
      <c r="TBL589" s="219"/>
      <c r="TBM589" s="219"/>
      <c r="TBN589" s="219"/>
      <c r="TBO589" s="219"/>
      <c r="TBP589" s="219"/>
      <c r="TBQ589" s="219"/>
      <c r="TBR589" s="219"/>
      <c r="TBS589" s="219"/>
      <c r="TBT589" s="219"/>
      <c r="TBU589" s="219"/>
      <c r="TBV589" s="219"/>
      <c r="TBW589" s="219"/>
      <c r="TBX589" s="219"/>
      <c r="TBY589" s="219"/>
      <c r="TBZ589" s="219"/>
      <c r="TCA589" s="219"/>
      <c r="TCB589" s="219"/>
      <c r="TCC589" s="219"/>
      <c r="TCD589" s="219"/>
      <c r="TCE589" s="219"/>
      <c r="TCF589" s="219"/>
      <c r="TCG589" s="219"/>
      <c r="TCH589" s="219"/>
      <c r="TCI589" s="219"/>
      <c r="TCJ589" s="219"/>
      <c r="TCK589" s="219"/>
      <c r="TCL589" s="219"/>
      <c r="TCM589" s="219"/>
      <c r="TCN589" s="219"/>
      <c r="TCO589" s="219"/>
      <c r="TCP589" s="219"/>
      <c r="TCQ589" s="219"/>
      <c r="TCR589" s="219"/>
      <c r="TCS589" s="219"/>
      <c r="TCT589" s="219"/>
      <c r="TCU589" s="219"/>
      <c r="TCV589" s="219"/>
      <c r="TCW589" s="219"/>
      <c r="TCX589" s="219"/>
      <c r="TCY589" s="219"/>
      <c r="TCZ589" s="219"/>
      <c r="TDA589" s="219"/>
      <c r="TDB589" s="219"/>
      <c r="TDC589" s="219"/>
      <c r="TDD589" s="219"/>
      <c r="TDE589" s="219"/>
      <c r="TDF589" s="219"/>
      <c r="TDG589" s="219"/>
      <c r="TDH589" s="219"/>
      <c r="TDI589" s="219"/>
      <c r="TDJ589" s="219"/>
      <c r="TDK589" s="219"/>
      <c r="TDL589" s="219"/>
      <c r="TDM589" s="219"/>
      <c r="TDN589" s="219"/>
      <c r="TDO589" s="219"/>
      <c r="TDP589" s="219"/>
      <c r="TDQ589" s="219"/>
      <c r="TDR589" s="219"/>
      <c r="TDS589" s="219"/>
      <c r="TDT589" s="219"/>
      <c r="TDU589" s="219"/>
      <c r="TDV589" s="219"/>
      <c r="TDW589" s="219"/>
      <c r="TDX589" s="219"/>
      <c r="TDY589" s="219"/>
      <c r="TDZ589" s="219"/>
      <c r="TEA589" s="219"/>
      <c r="TEB589" s="219"/>
      <c r="TEC589" s="219"/>
      <c r="TED589" s="219"/>
      <c r="TEE589" s="219"/>
      <c r="TEF589" s="219"/>
      <c r="TEG589" s="219"/>
      <c r="TEH589" s="219"/>
      <c r="TEI589" s="219"/>
      <c r="TEJ589" s="219"/>
      <c r="TEK589" s="219"/>
      <c r="TEL589" s="219"/>
      <c r="TEM589" s="219"/>
      <c r="TEN589" s="219"/>
      <c r="TEO589" s="219"/>
      <c r="TEP589" s="219"/>
      <c r="TEQ589" s="219"/>
      <c r="TER589" s="219"/>
      <c r="TES589" s="219"/>
      <c r="TET589" s="219"/>
      <c r="TEU589" s="219"/>
      <c r="TEV589" s="219"/>
      <c r="TEW589" s="219"/>
      <c r="TEX589" s="219"/>
      <c r="TEY589" s="219"/>
      <c r="TEZ589" s="219"/>
      <c r="TFA589" s="219"/>
      <c r="TFB589" s="219"/>
      <c r="TFC589" s="219"/>
      <c r="TFD589" s="219"/>
      <c r="TFE589" s="219"/>
      <c r="TFF589" s="219"/>
      <c r="TFG589" s="219"/>
      <c r="TFH589" s="219"/>
      <c r="TFI589" s="219"/>
      <c r="TFJ589" s="219"/>
      <c r="TFK589" s="219"/>
      <c r="TFL589" s="219"/>
      <c r="TFM589" s="219"/>
      <c r="TFN589" s="219"/>
      <c r="TFO589" s="219"/>
      <c r="TFP589" s="219"/>
      <c r="TFQ589" s="219"/>
      <c r="TFR589" s="219"/>
      <c r="TFS589" s="219"/>
      <c r="TFT589" s="219"/>
      <c r="TFU589" s="219"/>
      <c r="TFV589" s="219"/>
      <c r="TFW589" s="219"/>
      <c r="TFX589" s="219"/>
      <c r="TFY589" s="219"/>
      <c r="TFZ589" s="219"/>
      <c r="TGA589" s="219"/>
      <c r="TGB589" s="219"/>
      <c r="TGC589" s="219"/>
      <c r="TGD589" s="219"/>
      <c r="TGE589" s="219"/>
      <c r="TGF589" s="219"/>
      <c r="TGG589" s="219"/>
      <c r="TGH589" s="219"/>
      <c r="TGI589" s="219"/>
      <c r="TGJ589" s="219"/>
      <c r="TGK589" s="219"/>
      <c r="TGL589" s="219"/>
      <c r="TGM589" s="219"/>
      <c r="TGN589" s="219"/>
      <c r="TGO589" s="219"/>
      <c r="TGP589" s="219"/>
      <c r="TGQ589" s="219"/>
      <c r="TGR589" s="219"/>
      <c r="TGS589" s="219"/>
      <c r="TGT589" s="219"/>
      <c r="TGU589" s="219"/>
      <c r="TGV589" s="219"/>
      <c r="TGW589" s="219"/>
      <c r="TGX589" s="219"/>
      <c r="TGY589" s="219"/>
      <c r="TGZ589" s="219"/>
      <c r="THA589" s="219"/>
      <c r="THB589" s="219"/>
      <c r="THC589" s="219"/>
      <c r="THD589" s="219"/>
      <c r="THE589" s="219"/>
      <c r="THF589" s="219"/>
      <c r="THG589" s="219"/>
      <c r="THH589" s="219"/>
      <c r="THI589" s="219"/>
      <c r="THJ589" s="219"/>
      <c r="THK589" s="219"/>
      <c r="THL589" s="219"/>
      <c r="THM589" s="219"/>
      <c r="THN589" s="219"/>
      <c r="THO589" s="219"/>
      <c r="THP589" s="219"/>
      <c r="THQ589" s="219"/>
      <c r="THR589" s="219"/>
      <c r="THS589" s="219"/>
      <c r="THT589" s="219"/>
      <c r="THU589" s="219"/>
      <c r="THV589" s="219"/>
      <c r="THW589" s="219"/>
      <c r="THX589" s="219"/>
      <c r="THY589" s="219"/>
      <c r="THZ589" s="219"/>
      <c r="TIA589" s="219"/>
      <c r="TIB589" s="219"/>
      <c r="TIC589" s="219"/>
      <c r="TID589" s="219"/>
      <c r="TIE589" s="219"/>
      <c r="TIF589" s="219"/>
      <c r="TIG589" s="219"/>
      <c r="TIH589" s="219"/>
      <c r="TII589" s="219"/>
      <c r="TIJ589" s="219"/>
      <c r="TIK589" s="219"/>
      <c r="TIL589" s="219"/>
      <c r="TIM589" s="219"/>
      <c r="TIN589" s="219"/>
      <c r="TIO589" s="219"/>
      <c r="TIP589" s="219"/>
      <c r="TIQ589" s="219"/>
      <c r="TIR589" s="219"/>
      <c r="TIS589" s="219"/>
      <c r="TIT589" s="219"/>
      <c r="TIU589" s="219"/>
      <c r="TIV589" s="219"/>
      <c r="TIW589" s="219"/>
      <c r="TIX589" s="219"/>
      <c r="TIY589" s="219"/>
      <c r="TIZ589" s="219"/>
      <c r="TJA589" s="219"/>
      <c r="TJB589" s="219"/>
      <c r="TJC589" s="219"/>
      <c r="TJD589" s="219"/>
      <c r="TJE589" s="219"/>
      <c r="TJF589" s="219"/>
      <c r="TJG589" s="219"/>
      <c r="TJH589" s="219"/>
      <c r="TJI589" s="219"/>
      <c r="TJJ589" s="219"/>
      <c r="TJK589" s="219"/>
      <c r="TJL589" s="219"/>
      <c r="TJM589" s="219"/>
      <c r="TJN589" s="219"/>
      <c r="TJO589" s="219"/>
      <c r="TJP589" s="219"/>
      <c r="TJQ589" s="219"/>
      <c r="TJR589" s="219"/>
      <c r="TJS589" s="219"/>
      <c r="TJT589" s="219"/>
      <c r="TJU589" s="219"/>
      <c r="TJV589" s="219"/>
      <c r="TJW589" s="219"/>
      <c r="TJX589" s="219"/>
      <c r="TJY589" s="219"/>
      <c r="TJZ589" s="219"/>
      <c r="TKA589" s="219"/>
      <c r="TKB589" s="219"/>
      <c r="TKC589" s="219"/>
      <c r="TKD589" s="219"/>
      <c r="TKE589" s="219"/>
      <c r="TKF589" s="219"/>
      <c r="TKG589" s="219"/>
      <c r="TKH589" s="219"/>
      <c r="TKI589" s="219"/>
      <c r="TKJ589" s="219"/>
      <c r="TKK589" s="219"/>
      <c r="TKL589" s="219"/>
      <c r="TKM589" s="219"/>
      <c r="TKN589" s="219"/>
      <c r="TKO589" s="219"/>
      <c r="TKP589" s="219"/>
      <c r="TKQ589" s="219"/>
      <c r="TKR589" s="219"/>
      <c r="TKS589" s="219"/>
      <c r="TKT589" s="219"/>
      <c r="TKU589" s="219"/>
      <c r="TKV589" s="219"/>
      <c r="TKW589" s="219"/>
      <c r="TKX589" s="219"/>
      <c r="TKY589" s="219"/>
      <c r="TKZ589" s="219"/>
      <c r="TLA589" s="219"/>
      <c r="TLB589" s="219"/>
      <c r="TLC589" s="219"/>
      <c r="TLD589" s="219"/>
      <c r="TLE589" s="219"/>
      <c r="TLF589" s="219"/>
      <c r="TLG589" s="219"/>
      <c r="TLH589" s="219"/>
      <c r="TLI589" s="219"/>
      <c r="TLJ589" s="219"/>
      <c r="TLK589" s="219"/>
      <c r="TLL589" s="219"/>
      <c r="TLM589" s="219"/>
      <c r="TLN589" s="219"/>
      <c r="TLO589" s="219"/>
      <c r="TLP589" s="219"/>
      <c r="TLQ589" s="219"/>
      <c r="TLR589" s="219"/>
      <c r="TLS589" s="219"/>
      <c r="TLT589" s="219"/>
      <c r="TLU589" s="219"/>
      <c r="TLV589" s="219"/>
      <c r="TLW589" s="219"/>
      <c r="TLX589" s="219"/>
      <c r="TLY589" s="219"/>
      <c r="TLZ589" s="219"/>
      <c r="TMA589" s="219"/>
      <c r="TMB589" s="219"/>
      <c r="TMC589" s="219"/>
      <c r="TMD589" s="219"/>
      <c r="TME589" s="219"/>
      <c r="TMF589" s="219"/>
      <c r="TMG589" s="219"/>
      <c r="TMH589" s="219"/>
      <c r="TMI589" s="219"/>
      <c r="TMJ589" s="219"/>
      <c r="TMK589" s="219"/>
      <c r="TML589" s="219"/>
      <c r="TMM589" s="219"/>
      <c r="TMN589" s="219"/>
      <c r="TMO589" s="219"/>
      <c r="TMP589" s="219"/>
      <c r="TMQ589" s="219"/>
      <c r="TMR589" s="219"/>
      <c r="TMS589" s="219"/>
      <c r="TMT589" s="219"/>
      <c r="TMU589" s="219"/>
      <c r="TMV589" s="219"/>
      <c r="TMW589" s="219"/>
      <c r="TMX589" s="219"/>
      <c r="TMY589" s="219"/>
      <c r="TMZ589" s="219"/>
      <c r="TNA589" s="219"/>
      <c r="TNB589" s="219"/>
      <c r="TNC589" s="219"/>
      <c r="TND589" s="219"/>
      <c r="TNE589" s="219"/>
      <c r="TNF589" s="219"/>
      <c r="TNG589" s="219"/>
      <c r="TNH589" s="219"/>
      <c r="TNI589" s="219"/>
      <c r="TNJ589" s="219"/>
      <c r="TNK589" s="219"/>
      <c r="TNL589" s="219"/>
      <c r="TNM589" s="219"/>
      <c r="TNN589" s="219"/>
      <c r="TNO589" s="219"/>
      <c r="TNP589" s="219"/>
      <c r="TNQ589" s="219"/>
      <c r="TNR589" s="219"/>
      <c r="TNS589" s="219"/>
      <c r="TNT589" s="219"/>
      <c r="TNU589" s="219"/>
      <c r="TNV589" s="219"/>
      <c r="TNW589" s="219"/>
      <c r="TNX589" s="219"/>
      <c r="TNY589" s="219"/>
      <c r="TNZ589" s="219"/>
      <c r="TOA589" s="219"/>
      <c r="TOB589" s="219"/>
      <c r="TOC589" s="219"/>
      <c r="TOD589" s="219"/>
      <c r="TOE589" s="219"/>
      <c r="TOF589" s="219"/>
      <c r="TOG589" s="219"/>
      <c r="TOH589" s="219"/>
      <c r="TOI589" s="219"/>
      <c r="TOJ589" s="219"/>
      <c r="TOK589" s="219"/>
      <c r="TOL589" s="219"/>
      <c r="TOM589" s="219"/>
      <c r="TON589" s="219"/>
      <c r="TOO589" s="219"/>
      <c r="TOP589" s="219"/>
      <c r="TOQ589" s="219"/>
      <c r="TOR589" s="219"/>
      <c r="TOS589" s="219"/>
      <c r="TOT589" s="219"/>
      <c r="TOU589" s="219"/>
      <c r="TOV589" s="219"/>
      <c r="TOW589" s="219"/>
      <c r="TOX589" s="219"/>
      <c r="TOY589" s="219"/>
      <c r="TOZ589" s="219"/>
      <c r="TPA589" s="219"/>
      <c r="TPB589" s="219"/>
      <c r="TPC589" s="219"/>
      <c r="TPD589" s="219"/>
      <c r="TPE589" s="219"/>
      <c r="TPF589" s="219"/>
      <c r="TPG589" s="219"/>
      <c r="TPH589" s="219"/>
      <c r="TPI589" s="219"/>
      <c r="TPJ589" s="219"/>
      <c r="TPK589" s="219"/>
      <c r="TPL589" s="219"/>
      <c r="TPM589" s="219"/>
      <c r="TPN589" s="219"/>
      <c r="TPO589" s="219"/>
      <c r="TPP589" s="219"/>
      <c r="TPQ589" s="219"/>
      <c r="TPR589" s="219"/>
      <c r="TPS589" s="219"/>
      <c r="TPT589" s="219"/>
      <c r="TPU589" s="219"/>
      <c r="TPV589" s="219"/>
      <c r="TPW589" s="219"/>
      <c r="TPX589" s="219"/>
      <c r="TPY589" s="219"/>
      <c r="TPZ589" s="219"/>
      <c r="TQA589" s="219"/>
      <c r="TQB589" s="219"/>
      <c r="TQC589" s="219"/>
      <c r="TQD589" s="219"/>
      <c r="TQE589" s="219"/>
      <c r="TQF589" s="219"/>
      <c r="TQG589" s="219"/>
      <c r="TQH589" s="219"/>
      <c r="TQI589" s="219"/>
      <c r="TQJ589" s="219"/>
      <c r="TQK589" s="219"/>
      <c r="TQL589" s="219"/>
      <c r="TQM589" s="219"/>
      <c r="TQN589" s="219"/>
      <c r="TQO589" s="219"/>
      <c r="TQP589" s="219"/>
      <c r="TQQ589" s="219"/>
      <c r="TQR589" s="219"/>
      <c r="TQS589" s="219"/>
      <c r="TQT589" s="219"/>
      <c r="TQU589" s="219"/>
      <c r="TQV589" s="219"/>
      <c r="TQW589" s="219"/>
      <c r="TQX589" s="219"/>
      <c r="TQY589" s="219"/>
      <c r="TQZ589" s="219"/>
      <c r="TRA589" s="219"/>
      <c r="TRB589" s="219"/>
      <c r="TRC589" s="219"/>
      <c r="TRD589" s="219"/>
      <c r="TRE589" s="219"/>
      <c r="TRF589" s="219"/>
      <c r="TRG589" s="219"/>
      <c r="TRH589" s="219"/>
      <c r="TRI589" s="219"/>
      <c r="TRJ589" s="219"/>
      <c r="TRK589" s="219"/>
      <c r="TRL589" s="219"/>
      <c r="TRM589" s="219"/>
      <c r="TRN589" s="219"/>
      <c r="TRO589" s="219"/>
      <c r="TRP589" s="219"/>
      <c r="TRQ589" s="219"/>
      <c r="TRR589" s="219"/>
      <c r="TRS589" s="219"/>
      <c r="TRT589" s="219"/>
      <c r="TRU589" s="219"/>
      <c r="TRV589" s="219"/>
      <c r="TRW589" s="219"/>
      <c r="TRX589" s="219"/>
      <c r="TRY589" s="219"/>
      <c r="TRZ589" s="219"/>
      <c r="TSA589" s="219"/>
      <c r="TSB589" s="219"/>
      <c r="TSC589" s="219"/>
      <c r="TSD589" s="219"/>
      <c r="TSE589" s="219"/>
      <c r="TSF589" s="219"/>
      <c r="TSG589" s="219"/>
      <c r="TSH589" s="219"/>
      <c r="TSI589" s="219"/>
      <c r="TSJ589" s="219"/>
      <c r="TSK589" s="219"/>
      <c r="TSL589" s="219"/>
      <c r="TSM589" s="219"/>
      <c r="TSN589" s="219"/>
      <c r="TSO589" s="219"/>
      <c r="TSP589" s="219"/>
      <c r="TSQ589" s="219"/>
      <c r="TSR589" s="219"/>
      <c r="TSS589" s="219"/>
      <c r="TST589" s="219"/>
      <c r="TSU589" s="219"/>
      <c r="TSV589" s="219"/>
      <c r="TSW589" s="219"/>
      <c r="TSX589" s="219"/>
      <c r="TSY589" s="219"/>
      <c r="TSZ589" s="219"/>
      <c r="TTA589" s="219"/>
      <c r="TTB589" s="219"/>
      <c r="TTC589" s="219"/>
      <c r="TTD589" s="219"/>
      <c r="TTE589" s="219"/>
      <c r="TTF589" s="219"/>
      <c r="TTG589" s="219"/>
      <c r="TTH589" s="219"/>
      <c r="TTI589" s="219"/>
      <c r="TTJ589" s="219"/>
      <c r="TTK589" s="219"/>
      <c r="TTL589" s="219"/>
      <c r="TTM589" s="219"/>
      <c r="TTN589" s="219"/>
      <c r="TTO589" s="219"/>
      <c r="TTP589" s="219"/>
      <c r="TTQ589" s="219"/>
      <c r="TTR589" s="219"/>
      <c r="TTS589" s="219"/>
      <c r="TTT589" s="219"/>
      <c r="TTU589" s="219"/>
      <c r="TTV589" s="219"/>
      <c r="TTW589" s="219"/>
      <c r="TTX589" s="219"/>
      <c r="TTY589" s="219"/>
      <c r="TTZ589" s="219"/>
      <c r="TUA589" s="219"/>
      <c r="TUB589" s="219"/>
      <c r="TUC589" s="219"/>
      <c r="TUD589" s="219"/>
      <c r="TUE589" s="219"/>
      <c r="TUF589" s="219"/>
      <c r="TUG589" s="219"/>
      <c r="TUH589" s="219"/>
      <c r="TUI589" s="219"/>
      <c r="TUJ589" s="219"/>
      <c r="TUK589" s="219"/>
      <c r="TUL589" s="219"/>
      <c r="TUM589" s="219"/>
      <c r="TUN589" s="219"/>
      <c r="TUO589" s="219"/>
      <c r="TUP589" s="219"/>
      <c r="TUQ589" s="219"/>
      <c r="TUR589" s="219"/>
      <c r="TUS589" s="219"/>
      <c r="TUT589" s="219"/>
      <c r="TUU589" s="219"/>
      <c r="TUV589" s="219"/>
      <c r="TUW589" s="219"/>
      <c r="TUX589" s="219"/>
      <c r="TUY589" s="219"/>
      <c r="TUZ589" s="219"/>
      <c r="TVA589" s="219"/>
      <c r="TVB589" s="219"/>
      <c r="TVC589" s="219"/>
      <c r="TVD589" s="219"/>
      <c r="TVE589" s="219"/>
      <c r="TVF589" s="219"/>
      <c r="TVG589" s="219"/>
      <c r="TVH589" s="219"/>
      <c r="TVI589" s="219"/>
      <c r="TVJ589" s="219"/>
      <c r="TVK589" s="219"/>
      <c r="TVL589" s="219"/>
      <c r="TVM589" s="219"/>
      <c r="TVN589" s="219"/>
      <c r="TVO589" s="219"/>
      <c r="TVP589" s="219"/>
      <c r="TVQ589" s="219"/>
      <c r="TVR589" s="219"/>
      <c r="TVS589" s="219"/>
      <c r="TVT589" s="219"/>
      <c r="TVU589" s="219"/>
      <c r="TVV589" s="219"/>
      <c r="TVW589" s="219"/>
      <c r="TVX589" s="219"/>
      <c r="TVY589" s="219"/>
      <c r="TVZ589" s="219"/>
      <c r="TWA589" s="219"/>
      <c r="TWB589" s="219"/>
      <c r="TWC589" s="219"/>
      <c r="TWD589" s="219"/>
      <c r="TWE589" s="219"/>
      <c r="TWF589" s="219"/>
      <c r="TWG589" s="219"/>
      <c r="TWH589" s="219"/>
      <c r="TWI589" s="219"/>
      <c r="TWJ589" s="219"/>
      <c r="TWK589" s="219"/>
      <c r="TWL589" s="219"/>
      <c r="TWM589" s="219"/>
      <c r="TWN589" s="219"/>
      <c r="TWO589" s="219"/>
      <c r="TWP589" s="219"/>
      <c r="TWQ589" s="219"/>
      <c r="TWR589" s="219"/>
      <c r="TWS589" s="219"/>
      <c r="TWT589" s="219"/>
      <c r="TWU589" s="219"/>
      <c r="TWV589" s="219"/>
      <c r="TWW589" s="219"/>
      <c r="TWX589" s="219"/>
      <c r="TWY589" s="219"/>
      <c r="TWZ589" s="219"/>
      <c r="TXA589" s="219"/>
      <c r="TXB589" s="219"/>
      <c r="TXC589" s="219"/>
      <c r="TXD589" s="219"/>
      <c r="TXE589" s="219"/>
      <c r="TXF589" s="219"/>
      <c r="TXG589" s="219"/>
      <c r="TXH589" s="219"/>
      <c r="TXI589" s="219"/>
      <c r="TXJ589" s="219"/>
      <c r="TXK589" s="219"/>
      <c r="TXL589" s="219"/>
      <c r="TXM589" s="219"/>
      <c r="TXN589" s="219"/>
      <c r="TXO589" s="219"/>
      <c r="TXP589" s="219"/>
      <c r="TXQ589" s="219"/>
      <c r="TXR589" s="219"/>
      <c r="TXS589" s="219"/>
      <c r="TXT589" s="219"/>
      <c r="TXU589" s="219"/>
      <c r="TXV589" s="219"/>
      <c r="TXW589" s="219"/>
      <c r="TXX589" s="219"/>
      <c r="TXY589" s="219"/>
      <c r="TXZ589" s="219"/>
      <c r="TYA589" s="219"/>
      <c r="TYB589" s="219"/>
      <c r="TYC589" s="219"/>
      <c r="TYD589" s="219"/>
      <c r="TYE589" s="219"/>
      <c r="TYF589" s="219"/>
      <c r="TYG589" s="219"/>
      <c r="TYH589" s="219"/>
      <c r="TYI589" s="219"/>
      <c r="TYJ589" s="219"/>
      <c r="TYK589" s="219"/>
      <c r="TYL589" s="219"/>
      <c r="TYM589" s="219"/>
      <c r="TYN589" s="219"/>
      <c r="TYO589" s="219"/>
      <c r="TYP589" s="219"/>
      <c r="TYQ589" s="219"/>
      <c r="TYR589" s="219"/>
      <c r="TYS589" s="219"/>
      <c r="TYT589" s="219"/>
      <c r="TYU589" s="219"/>
      <c r="TYV589" s="219"/>
      <c r="TYW589" s="219"/>
      <c r="TYX589" s="219"/>
      <c r="TYY589" s="219"/>
      <c r="TYZ589" s="219"/>
      <c r="TZA589" s="219"/>
      <c r="TZB589" s="219"/>
      <c r="TZC589" s="219"/>
      <c r="TZD589" s="219"/>
      <c r="TZE589" s="219"/>
      <c r="TZF589" s="219"/>
      <c r="TZG589" s="219"/>
      <c r="TZH589" s="219"/>
      <c r="TZI589" s="219"/>
      <c r="TZJ589" s="219"/>
      <c r="TZK589" s="219"/>
      <c r="TZL589" s="219"/>
      <c r="TZM589" s="219"/>
      <c r="TZN589" s="219"/>
      <c r="TZO589" s="219"/>
      <c r="TZP589" s="219"/>
      <c r="TZQ589" s="219"/>
      <c r="TZR589" s="219"/>
      <c r="TZS589" s="219"/>
      <c r="TZT589" s="219"/>
      <c r="TZU589" s="219"/>
      <c r="TZV589" s="219"/>
      <c r="TZW589" s="219"/>
      <c r="TZX589" s="219"/>
      <c r="TZY589" s="219"/>
      <c r="TZZ589" s="219"/>
      <c r="UAA589" s="219"/>
      <c r="UAB589" s="219"/>
      <c r="UAC589" s="219"/>
      <c r="UAD589" s="219"/>
      <c r="UAE589" s="219"/>
      <c r="UAF589" s="219"/>
      <c r="UAG589" s="219"/>
      <c r="UAH589" s="219"/>
      <c r="UAI589" s="219"/>
      <c r="UAJ589" s="219"/>
      <c r="UAK589" s="219"/>
      <c r="UAL589" s="219"/>
      <c r="UAM589" s="219"/>
      <c r="UAN589" s="219"/>
      <c r="UAO589" s="219"/>
      <c r="UAP589" s="219"/>
      <c r="UAQ589" s="219"/>
      <c r="UAR589" s="219"/>
      <c r="UAS589" s="219"/>
      <c r="UAT589" s="219"/>
      <c r="UAU589" s="219"/>
      <c r="UAV589" s="219"/>
      <c r="UAW589" s="219"/>
      <c r="UAX589" s="219"/>
      <c r="UAY589" s="219"/>
      <c r="UAZ589" s="219"/>
      <c r="UBA589" s="219"/>
      <c r="UBB589" s="219"/>
      <c r="UBC589" s="219"/>
      <c r="UBD589" s="219"/>
      <c r="UBE589" s="219"/>
      <c r="UBF589" s="219"/>
      <c r="UBG589" s="219"/>
      <c r="UBH589" s="219"/>
      <c r="UBI589" s="219"/>
      <c r="UBJ589" s="219"/>
      <c r="UBK589" s="219"/>
      <c r="UBL589" s="219"/>
      <c r="UBM589" s="219"/>
      <c r="UBN589" s="219"/>
      <c r="UBO589" s="219"/>
      <c r="UBP589" s="219"/>
      <c r="UBQ589" s="219"/>
      <c r="UBR589" s="219"/>
      <c r="UBS589" s="219"/>
      <c r="UBT589" s="219"/>
      <c r="UBU589" s="219"/>
      <c r="UBV589" s="219"/>
      <c r="UBW589" s="219"/>
      <c r="UBX589" s="219"/>
      <c r="UBY589" s="219"/>
      <c r="UBZ589" s="219"/>
      <c r="UCA589" s="219"/>
      <c r="UCB589" s="219"/>
      <c r="UCC589" s="219"/>
      <c r="UCD589" s="219"/>
      <c r="UCE589" s="219"/>
      <c r="UCF589" s="219"/>
      <c r="UCG589" s="219"/>
      <c r="UCH589" s="219"/>
      <c r="UCI589" s="219"/>
      <c r="UCJ589" s="219"/>
      <c r="UCK589" s="219"/>
      <c r="UCL589" s="219"/>
      <c r="UCM589" s="219"/>
      <c r="UCN589" s="219"/>
      <c r="UCO589" s="219"/>
      <c r="UCP589" s="219"/>
      <c r="UCQ589" s="219"/>
      <c r="UCR589" s="219"/>
      <c r="UCS589" s="219"/>
      <c r="UCT589" s="219"/>
      <c r="UCU589" s="219"/>
      <c r="UCV589" s="219"/>
      <c r="UCW589" s="219"/>
      <c r="UCX589" s="219"/>
      <c r="UCY589" s="219"/>
      <c r="UCZ589" s="219"/>
      <c r="UDA589" s="219"/>
      <c r="UDB589" s="219"/>
      <c r="UDC589" s="219"/>
      <c r="UDD589" s="219"/>
      <c r="UDE589" s="219"/>
      <c r="UDF589" s="219"/>
      <c r="UDG589" s="219"/>
      <c r="UDH589" s="219"/>
      <c r="UDI589" s="219"/>
      <c r="UDJ589" s="219"/>
      <c r="UDK589" s="219"/>
      <c r="UDL589" s="219"/>
      <c r="UDM589" s="219"/>
      <c r="UDN589" s="219"/>
      <c r="UDO589" s="219"/>
      <c r="UDP589" s="219"/>
      <c r="UDQ589" s="219"/>
      <c r="UDR589" s="219"/>
      <c r="UDS589" s="219"/>
      <c r="UDT589" s="219"/>
      <c r="UDU589" s="219"/>
      <c r="UDV589" s="219"/>
      <c r="UDW589" s="219"/>
      <c r="UDX589" s="219"/>
      <c r="UDY589" s="219"/>
      <c r="UDZ589" s="219"/>
      <c r="UEA589" s="219"/>
      <c r="UEB589" s="219"/>
      <c r="UEC589" s="219"/>
      <c r="UED589" s="219"/>
      <c r="UEE589" s="219"/>
      <c r="UEF589" s="219"/>
      <c r="UEG589" s="219"/>
      <c r="UEH589" s="219"/>
      <c r="UEI589" s="219"/>
      <c r="UEJ589" s="219"/>
      <c r="UEK589" s="219"/>
      <c r="UEL589" s="219"/>
      <c r="UEM589" s="219"/>
      <c r="UEN589" s="219"/>
      <c r="UEO589" s="219"/>
      <c r="UEP589" s="219"/>
      <c r="UEQ589" s="219"/>
      <c r="UER589" s="219"/>
      <c r="UES589" s="219"/>
      <c r="UET589" s="219"/>
      <c r="UEU589" s="219"/>
      <c r="UEV589" s="219"/>
      <c r="UEW589" s="219"/>
      <c r="UEX589" s="219"/>
      <c r="UEY589" s="219"/>
      <c r="UEZ589" s="219"/>
      <c r="UFA589" s="219"/>
      <c r="UFB589" s="219"/>
      <c r="UFC589" s="219"/>
      <c r="UFD589" s="219"/>
      <c r="UFE589" s="219"/>
      <c r="UFF589" s="219"/>
      <c r="UFG589" s="219"/>
      <c r="UFH589" s="219"/>
      <c r="UFI589" s="219"/>
      <c r="UFJ589" s="219"/>
      <c r="UFK589" s="219"/>
      <c r="UFL589" s="219"/>
      <c r="UFM589" s="219"/>
      <c r="UFN589" s="219"/>
      <c r="UFO589" s="219"/>
      <c r="UFP589" s="219"/>
      <c r="UFQ589" s="219"/>
      <c r="UFR589" s="219"/>
      <c r="UFS589" s="219"/>
      <c r="UFT589" s="219"/>
      <c r="UFU589" s="219"/>
      <c r="UFV589" s="219"/>
      <c r="UFW589" s="219"/>
      <c r="UFX589" s="219"/>
      <c r="UFY589" s="219"/>
      <c r="UFZ589" s="219"/>
      <c r="UGA589" s="219"/>
      <c r="UGB589" s="219"/>
      <c r="UGC589" s="219"/>
      <c r="UGD589" s="219"/>
      <c r="UGE589" s="219"/>
      <c r="UGF589" s="219"/>
      <c r="UGG589" s="219"/>
      <c r="UGH589" s="219"/>
      <c r="UGI589" s="219"/>
      <c r="UGJ589" s="219"/>
      <c r="UGK589" s="219"/>
      <c r="UGL589" s="219"/>
      <c r="UGM589" s="219"/>
      <c r="UGN589" s="219"/>
      <c r="UGO589" s="219"/>
      <c r="UGP589" s="219"/>
      <c r="UGQ589" s="219"/>
      <c r="UGR589" s="219"/>
      <c r="UGS589" s="219"/>
      <c r="UGT589" s="219"/>
      <c r="UGU589" s="219"/>
      <c r="UGV589" s="219"/>
      <c r="UGW589" s="219"/>
      <c r="UGX589" s="219"/>
      <c r="UGY589" s="219"/>
      <c r="UGZ589" s="219"/>
      <c r="UHA589" s="219"/>
      <c r="UHB589" s="219"/>
      <c r="UHC589" s="219"/>
      <c r="UHD589" s="219"/>
      <c r="UHE589" s="219"/>
      <c r="UHF589" s="219"/>
      <c r="UHG589" s="219"/>
      <c r="UHH589" s="219"/>
      <c r="UHI589" s="219"/>
      <c r="UHJ589" s="219"/>
      <c r="UHK589" s="219"/>
      <c r="UHL589" s="219"/>
      <c r="UHM589" s="219"/>
      <c r="UHN589" s="219"/>
      <c r="UHO589" s="219"/>
      <c r="UHP589" s="219"/>
      <c r="UHQ589" s="219"/>
      <c r="UHR589" s="219"/>
      <c r="UHS589" s="219"/>
      <c r="UHT589" s="219"/>
      <c r="UHU589" s="219"/>
      <c r="UHV589" s="219"/>
      <c r="UHW589" s="219"/>
      <c r="UHX589" s="219"/>
      <c r="UHY589" s="219"/>
      <c r="UHZ589" s="219"/>
      <c r="UIA589" s="219"/>
      <c r="UIB589" s="219"/>
      <c r="UIC589" s="219"/>
      <c r="UID589" s="219"/>
      <c r="UIE589" s="219"/>
      <c r="UIF589" s="219"/>
      <c r="UIG589" s="219"/>
      <c r="UIH589" s="219"/>
      <c r="UII589" s="219"/>
      <c r="UIJ589" s="219"/>
      <c r="UIK589" s="219"/>
      <c r="UIL589" s="219"/>
      <c r="UIM589" s="219"/>
      <c r="UIN589" s="219"/>
      <c r="UIO589" s="219"/>
      <c r="UIP589" s="219"/>
      <c r="UIQ589" s="219"/>
      <c r="UIR589" s="219"/>
      <c r="UIS589" s="219"/>
      <c r="UIT589" s="219"/>
      <c r="UIU589" s="219"/>
      <c r="UIV589" s="219"/>
      <c r="UIW589" s="219"/>
      <c r="UIX589" s="219"/>
      <c r="UIY589" s="219"/>
      <c r="UIZ589" s="219"/>
      <c r="UJA589" s="219"/>
      <c r="UJB589" s="219"/>
      <c r="UJC589" s="219"/>
      <c r="UJD589" s="219"/>
      <c r="UJE589" s="219"/>
      <c r="UJF589" s="219"/>
      <c r="UJG589" s="219"/>
      <c r="UJH589" s="219"/>
      <c r="UJI589" s="219"/>
      <c r="UJJ589" s="219"/>
      <c r="UJK589" s="219"/>
      <c r="UJL589" s="219"/>
      <c r="UJM589" s="219"/>
      <c r="UJN589" s="219"/>
      <c r="UJO589" s="219"/>
      <c r="UJP589" s="219"/>
      <c r="UJQ589" s="219"/>
      <c r="UJR589" s="219"/>
      <c r="UJS589" s="219"/>
      <c r="UJT589" s="219"/>
      <c r="UJU589" s="219"/>
      <c r="UJV589" s="219"/>
      <c r="UJW589" s="219"/>
      <c r="UJX589" s="219"/>
      <c r="UJY589" s="219"/>
      <c r="UJZ589" s="219"/>
      <c r="UKA589" s="219"/>
      <c r="UKB589" s="219"/>
      <c r="UKC589" s="219"/>
      <c r="UKD589" s="219"/>
      <c r="UKE589" s="219"/>
      <c r="UKF589" s="219"/>
      <c r="UKG589" s="219"/>
      <c r="UKH589" s="219"/>
      <c r="UKI589" s="219"/>
      <c r="UKJ589" s="219"/>
      <c r="UKK589" s="219"/>
      <c r="UKL589" s="219"/>
      <c r="UKM589" s="219"/>
      <c r="UKN589" s="219"/>
      <c r="UKO589" s="219"/>
      <c r="UKP589" s="219"/>
      <c r="UKQ589" s="219"/>
      <c r="UKR589" s="219"/>
      <c r="UKS589" s="219"/>
      <c r="UKT589" s="219"/>
      <c r="UKU589" s="219"/>
      <c r="UKV589" s="219"/>
      <c r="UKW589" s="219"/>
      <c r="UKX589" s="219"/>
      <c r="UKY589" s="219"/>
      <c r="UKZ589" s="219"/>
      <c r="ULA589" s="219"/>
      <c r="ULB589" s="219"/>
      <c r="ULC589" s="219"/>
      <c r="ULD589" s="219"/>
      <c r="ULE589" s="219"/>
      <c r="ULF589" s="219"/>
      <c r="ULG589" s="219"/>
      <c r="ULH589" s="219"/>
      <c r="ULI589" s="219"/>
      <c r="ULJ589" s="219"/>
      <c r="ULK589" s="219"/>
      <c r="ULL589" s="219"/>
      <c r="ULM589" s="219"/>
      <c r="ULN589" s="219"/>
      <c r="ULO589" s="219"/>
      <c r="ULP589" s="219"/>
      <c r="ULQ589" s="219"/>
      <c r="ULR589" s="219"/>
      <c r="ULS589" s="219"/>
      <c r="ULT589" s="219"/>
      <c r="ULU589" s="219"/>
      <c r="ULV589" s="219"/>
      <c r="ULW589" s="219"/>
      <c r="ULX589" s="219"/>
      <c r="ULY589" s="219"/>
      <c r="ULZ589" s="219"/>
      <c r="UMA589" s="219"/>
      <c r="UMB589" s="219"/>
      <c r="UMC589" s="219"/>
      <c r="UMD589" s="219"/>
      <c r="UME589" s="219"/>
      <c r="UMF589" s="219"/>
      <c r="UMG589" s="219"/>
      <c r="UMH589" s="219"/>
      <c r="UMI589" s="219"/>
      <c r="UMJ589" s="219"/>
      <c r="UMK589" s="219"/>
      <c r="UML589" s="219"/>
      <c r="UMM589" s="219"/>
      <c r="UMN589" s="219"/>
      <c r="UMO589" s="219"/>
      <c r="UMP589" s="219"/>
      <c r="UMQ589" s="219"/>
      <c r="UMR589" s="219"/>
      <c r="UMS589" s="219"/>
      <c r="UMT589" s="219"/>
      <c r="UMU589" s="219"/>
      <c r="UMV589" s="219"/>
      <c r="UMW589" s="219"/>
      <c r="UMX589" s="219"/>
      <c r="UMY589" s="219"/>
      <c r="UMZ589" s="219"/>
      <c r="UNA589" s="219"/>
      <c r="UNB589" s="219"/>
      <c r="UNC589" s="219"/>
      <c r="UND589" s="219"/>
      <c r="UNE589" s="219"/>
      <c r="UNF589" s="219"/>
      <c r="UNG589" s="219"/>
      <c r="UNH589" s="219"/>
      <c r="UNI589" s="219"/>
      <c r="UNJ589" s="219"/>
      <c r="UNK589" s="219"/>
      <c r="UNL589" s="219"/>
      <c r="UNM589" s="219"/>
      <c r="UNN589" s="219"/>
      <c r="UNO589" s="219"/>
      <c r="UNP589" s="219"/>
      <c r="UNQ589" s="219"/>
      <c r="UNR589" s="219"/>
      <c r="UNS589" s="219"/>
      <c r="UNT589" s="219"/>
      <c r="UNU589" s="219"/>
      <c r="UNV589" s="219"/>
      <c r="UNW589" s="219"/>
      <c r="UNX589" s="219"/>
      <c r="UNY589" s="219"/>
      <c r="UNZ589" s="219"/>
      <c r="UOA589" s="219"/>
      <c r="UOB589" s="219"/>
      <c r="UOC589" s="219"/>
      <c r="UOD589" s="219"/>
      <c r="UOE589" s="219"/>
      <c r="UOF589" s="219"/>
      <c r="UOG589" s="219"/>
      <c r="UOH589" s="219"/>
      <c r="UOI589" s="219"/>
      <c r="UOJ589" s="219"/>
      <c r="UOK589" s="219"/>
      <c r="UOL589" s="219"/>
      <c r="UOM589" s="219"/>
      <c r="UON589" s="219"/>
      <c r="UOO589" s="219"/>
      <c r="UOP589" s="219"/>
      <c r="UOQ589" s="219"/>
      <c r="UOR589" s="219"/>
      <c r="UOS589" s="219"/>
      <c r="UOT589" s="219"/>
      <c r="UOU589" s="219"/>
      <c r="UOV589" s="219"/>
      <c r="UOW589" s="219"/>
      <c r="UOX589" s="219"/>
      <c r="UOY589" s="219"/>
      <c r="UOZ589" s="219"/>
      <c r="UPA589" s="219"/>
      <c r="UPB589" s="219"/>
      <c r="UPC589" s="219"/>
      <c r="UPD589" s="219"/>
      <c r="UPE589" s="219"/>
      <c r="UPF589" s="219"/>
      <c r="UPG589" s="219"/>
      <c r="UPH589" s="219"/>
      <c r="UPI589" s="219"/>
      <c r="UPJ589" s="219"/>
      <c r="UPK589" s="219"/>
      <c r="UPL589" s="219"/>
      <c r="UPM589" s="219"/>
      <c r="UPN589" s="219"/>
      <c r="UPO589" s="219"/>
      <c r="UPP589" s="219"/>
      <c r="UPQ589" s="219"/>
      <c r="UPR589" s="219"/>
      <c r="UPS589" s="219"/>
      <c r="UPT589" s="219"/>
      <c r="UPU589" s="219"/>
      <c r="UPV589" s="219"/>
      <c r="UPW589" s="219"/>
      <c r="UPX589" s="219"/>
      <c r="UPY589" s="219"/>
      <c r="UPZ589" s="219"/>
      <c r="UQA589" s="219"/>
      <c r="UQB589" s="219"/>
      <c r="UQC589" s="219"/>
      <c r="UQD589" s="219"/>
      <c r="UQE589" s="219"/>
      <c r="UQF589" s="219"/>
      <c r="UQG589" s="219"/>
      <c r="UQH589" s="219"/>
      <c r="UQI589" s="219"/>
      <c r="UQJ589" s="219"/>
      <c r="UQK589" s="219"/>
      <c r="UQL589" s="219"/>
      <c r="UQM589" s="219"/>
      <c r="UQN589" s="219"/>
      <c r="UQO589" s="219"/>
      <c r="UQP589" s="219"/>
      <c r="UQQ589" s="219"/>
      <c r="UQR589" s="219"/>
      <c r="UQS589" s="219"/>
      <c r="UQT589" s="219"/>
      <c r="UQU589" s="219"/>
      <c r="UQV589" s="219"/>
      <c r="UQW589" s="219"/>
      <c r="UQX589" s="219"/>
      <c r="UQY589" s="219"/>
      <c r="UQZ589" s="219"/>
      <c r="URA589" s="219"/>
      <c r="URB589" s="219"/>
      <c r="URC589" s="219"/>
      <c r="URD589" s="219"/>
      <c r="URE589" s="219"/>
      <c r="URF589" s="219"/>
      <c r="URG589" s="219"/>
      <c r="URH589" s="219"/>
      <c r="URI589" s="219"/>
      <c r="URJ589" s="219"/>
      <c r="URK589" s="219"/>
      <c r="URL589" s="219"/>
      <c r="URM589" s="219"/>
      <c r="URN589" s="219"/>
      <c r="URO589" s="219"/>
      <c r="URP589" s="219"/>
      <c r="URQ589" s="219"/>
      <c r="URR589" s="219"/>
      <c r="URS589" s="219"/>
      <c r="URT589" s="219"/>
      <c r="URU589" s="219"/>
      <c r="URV589" s="219"/>
      <c r="URW589" s="219"/>
      <c r="URX589" s="219"/>
      <c r="URY589" s="219"/>
      <c r="URZ589" s="219"/>
      <c r="USA589" s="219"/>
      <c r="USB589" s="219"/>
      <c r="USC589" s="219"/>
      <c r="USD589" s="219"/>
      <c r="USE589" s="219"/>
      <c r="USF589" s="219"/>
      <c r="USG589" s="219"/>
      <c r="USH589" s="219"/>
      <c r="USI589" s="219"/>
      <c r="USJ589" s="219"/>
      <c r="USK589" s="219"/>
      <c r="USL589" s="219"/>
      <c r="USM589" s="219"/>
      <c r="USN589" s="219"/>
      <c r="USO589" s="219"/>
      <c r="USP589" s="219"/>
      <c r="USQ589" s="219"/>
      <c r="USR589" s="219"/>
      <c r="USS589" s="219"/>
      <c r="UST589" s="219"/>
      <c r="USU589" s="219"/>
      <c r="USV589" s="219"/>
      <c r="USW589" s="219"/>
      <c r="USX589" s="219"/>
      <c r="USY589" s="219"/>
      <c r="USZ589" s="219"/>
      <c r="UTA589" s="219"/>
      <c r="UTB589" s="219"/>
      <c r="UTC589" s="219"/>
      <c r="UTD589" s="219"/>
      <c r="UTE589" s="219"/>
      <c r="UTF589" s="219"/>
      <c r="UTG589" s="219"/>
      <c r="UTH589" s="219"/>
      <c r="UTI589" s="219"/>
      <c r="UTJ589" s="219"/>
      <c r="UTK589" s="219"/>
      <c r="UTL589" s="219"/>
      <c r="UTM589" s="219"/>
      <c r="UTN589" s="219"/>
      <c r="UTO589" s="219"/>
      <c r="UTP589" s="219"/>
      <c r="UTQ589" s="219"/>
      <c r="UTR589" s="219"/>
      <c r="UTS589" s="219"/>
      <c r="UTT589" s="219"/>
      <c r="UTU589" s="219"/>
      <c r="UTV589" s="219"/>
      <c r="UTW589" s="219"/>
      <c r="UTX589" s="219"/>
      <c r="UTY589" s="219"/>
      <c r="UTZ589" s="219"/>
      <c r="UUA589" s="219"/>
      <c r="UUB589" s="219"/>
      <c r="UUC589" s="219"/>
      <c r="UUD589" s="219"/>
      <c r="UUE589" s="219"/>
      <c r="UUF589" s="219"/>
      <c r="UUG589" s="219"/>
      <c r="UUH589" s="219"/>
      <c r="UUI589" s="219"/>
      <c r="UUJ589" s="219"/>
      <c r="UUK589" s="219"/>
      <c r="UUL589" s="219"/>
      <c r="UUM589" s="219"/>
      <c r="UUN589" s="219"/>
      <c r="UUO589" s="219"/>
      <c r="UUP589" s="219"/>
      <c r="UUQ589" s="219"/>
      <c r="UUR589" s="219"/>
      <c r="UUS589" s="219"/>
      <c r="UUT589" s="219"/>
      <c r="UUU589" s="219"/>
      <c r="UUV589" s="219"/>
      <c r="UUW589" s="219"/>
      <c r="UUX589" s="219"/>
      <c r="UUY589" s="219"/>
      <c r="UUZ589" s="219"/>
      <c r="UVA589" s="219"/>
      <c r="UVB589" s="219"/>
      <c r="UVC589" s="219"/>
      <c r="UVD589" s="219"/>
      <c r="UVE589" s="219"/>
      <c r="UVF589" s="219"/>
      <c r="UVG589" s="219"/>
      <c r="UVH589" s="219"/>
      <c r="UVI589" s="219"/>
      <c r="UVJ589" s="219"/>
      <c r="UVK589" s="219"/>
      <c r="UVL589" s="219"/>
      <c r="UVM589" s="219"/>
      <c r="UVN589" s="219"/>
      <c r="UVO589" s="219"/>
      <c r="UVP589" s="219"/>
      <c r="UVQ589" s="219"/>
      <c r="UVR589" s="219"/>
      <c r="UVS589" s="219"/>
      <c r="UVT589" s="219"/>
      <c r="UVU589" s="219"/>
      <c r="UVV589" s="219"/>
      <c r="UVW589" s="219"/>
      <c r="UVX589" s="219"/>
      <c r="UVY589" s="219"/>
      <c r="UVZ589" s="219"/>
      <c r="UWA589" s="219"/>
      <c r="UWB589" s="219"/>
      <c r="UWC589" s="219"/>
      <c r="UWD589" s="219"/>
      <c r="UWE589" s="219"/>
      <c r="UWF589" s="219"/>
      <c r="UWG589" s="219"/>
      <c r="UWH589" s="219"/>
      <c r="UWI589" s="219"/>
      <c r="UWJ589" s="219"/>
      <c r="UWK589" s="219"/>
      <c r="UWL589" s="219"/>
      <c r="UWM589" s="219"/>
      <c r="UWN589" s="219"/>
      <c r="UWO589" s="219"/>
      <c r="UWP589" s="219"/>
      <c r="UWQ589" s="219"/>
      <c r="UWR589" s="219"/>
      <c r="UWS589" s="219"/>
      <c r="UWT589" s="219"/>
      <c r="UWU589" s="219"/>
      <c r="UWV589" s="219"/>
      <c r="UWW589" s="219"/>
      <c r="UWX589" s="219"/>
      <c r="UWY589" s="219"/>
      <c r="UWZ589" s="219"/>
      <c r="UXA589" s="219"/>
      <c r="UXB589" s="219"/>
      <c r="UXC589" s="219"/>
      <c r="UXD589" s="219"/>
      <c r="UXE589" s="219"/>
      <c r="UXF589" s="219"/>
      <c r="UXG589" s="219"/>
      <c r="UXH589" s="219"/>
      <c r="UXI589" s="219"/>
      <c r="UXJ589" s="219"/>
      <c r="UXK589" s="219"/>
      <c r="UXL589" s="219"/>
      <c r="UXM589" s="219"/>
      <c r="UXN589" s="219"/>
      <c r="UXO589" s="219"/>
      <c r="UXP589" s="219"/>
      <c r="UXQ589" s="219"/>
      <c r="UXR589" s="219"/>
      <c r="UXS589" s="219"/>
      <c r="UXT589" s="219"/>
      <c r="UXU589" s="219"/>
      <c r="UXV589" s="219"/>
      <c r="UXW589" s="219"/>
      <c r="UXX589" s="219"/>
      <c r="UXY589" s="219"/>
      <c r="UXZ589" s="219"/>
      <c r="UYA589" s="219"/>
      <c r="UYB589" s="219"/>
      <c r="UYC589" s="219"/>
      <c r="UYD589" s="219"/>
      <c r="UYE589" s="219"/>
      <c r="UYF589" s="219"/>
      <c r="UYG589" s="219"/>
      <c r="UYH589" s="219"/>
      <c r="UYI589" s="219"/>
      <c r="UYJ589" s="219"/>
      <c r="UYK589" s="219"/>
      <c r="UYL589" s="219"/>
      <c r="UYM589" s="219"/>
      <c r="UYN589" s="219"/>
      <c r="UYO589" s="219"/>
      <c r="UYP589" s="219"/>
      <c r="UYQ589" s="219"/>
      <c r="UYR589" s="219"/>
      <c r="UYS589" s="219"/>
      <c r="UYT589" s="219"/>
      <c r="UYU589" s="219"/>
      <c r="UYV589" s="219"/>
      <c r="UYW589" s="219"/>
      <c r="UYX589" s="219"/>
      <c r="UYY589" s="219"/>
      <c r="UYZ589" s="219"/>
      <c r="UZA589" s="219"/>
      <c r="UZB589" s="219"/>
      <c r="UZC589" s="219"/>
      <c r="UZD589" s="219"/>
      <c r="UZE589" s="219"/>
      <c r="UZF589" s="219"/>
      <c r="UZG589" s="219"/>
      <c r="UZH589" s="219"/>
      <c r="UZI589" s="219"/>
      <c r="UZJ589" s="219"/>
      <c r="UZK589" s="219"/>
      <c r="UZL589" s="219"/>
      <c r="UZM589" s="219"/>
      <c r="UZN589" s="219"/>
      <c r="UZO589" s="219"/>
      <c r="UZP589" s="219"/>
      <c r="UZQ589" s="219"/>
      <c r="UZR589" s="219"/>
      <c r="UZS589" s="219"/>
      <c r="UZT589" s="219"/>
      <c r="UZU589" s="219"/>
      <c r="UZV589" s="219"/>
      <c r="UZW589" s="219"/>
      <c r="UZX589" s="219"/>
      <c r="UZY589" s="219"/>
      <c r="UZZ589" s="219"/>
      <c r="VAA589" s="219"/>
      <c r="VAB589" s="219"/>
      <c r="VAC589" s="219"/>
      <c r="VAD589" s="219"/>
      <c r="VAE589" s="219"/>
      <c r="VAF589" s="219"/>
      <c r="VAG589" s="219"/>
      <c r="VAH589" s="219"/>
      <c r="VAI589" s="219"/>
      <c r="VAJ589" s="219"/>
      <c r="VAK589" s="219"/>
      <c r="VAL589" s="219"/>
      <c r="VAM589" s="219"/>
      <c r="VAN589" s="219"/>
      <c r="VAO589" s="219"/>
      <c r="VAP589" s="219"/>
      <c r="VAQ589" s="219"/>
      <c r="VAR589" s="219"/>
      <c r="VAS589" s="219"/>
      <c r="VAT589" s="219"/>
      <c r="VAU589" s="219"/>
      <c r="VAV589" s="219"/>
      <c r="VAW589" s="219"/>
      <c r="VAX589" s="219"/>
      <c r="VAY589" s="219"/>
      <c r="VAZ589" s="219"/>
      <c r="VBA589" s="219"/>
      <c r="VBB589" s="219"/>
      <c r="VBC589" s="219"/>
      <c r="VBD589" s="219"/>
      <c r="VBE589" s="219"/>
      <c r="VBF589" s="219"/>
      <c r="VBG589" s="219"/>
      <c r="VBH589" s="219"/>
      <c r="VBI589" s="219"/>
      <c r="VBJ589" s="219"/>
      <c r="VBK589" s="219"/>
      <c r="VBL589" s="219"/>
      <c r="VBM589" s="219"/>
      <c r="VBN589" s="219"/>
      <c r="VBO589" s="219"/>
      <c r="VBP589" s="219"/>
      <c r="VBQ589" s="219"/>
      <c r="VBR589" s="219"/>
      <c r="VBS589" s="219"/>
      <c r="VBT589" s="219"/>
      <c r="VBU589" s="219"/>
      <c r="VBV589" s="219"/>
      <c r="VBW589" s="219"/>
      <c r="VBX589" s="219"/>
      <c r="VBY589" s="219"/>
      <c r="VBZ589" s="219"/>
      <c r="VCA589" s="219"/>
      <c r="VCB589" s="219"/>
      <c r="VCC589" s="219"/>
      <c r="VCD589" s="219"/>
      <c r="VCE589" s="219"/>
      <c r="VCF589" s="219"/>
      <c r="VCG589" s="219"/>
      <c r="VCH589" s="219"/>
      <c r="VCI589" s="219"/>
      <c r="VCJ589" s="219"/>
      <c r="VCK589" s="219"/>
      <c r="VCL589" s="219"/>
      <c r="VCM589" s="219"/>
      <c r="VCN589" s="219"/>
      <c r="VCO589" s="219"/>
      <c r="VCP589" s="219"/>
      <c r="VCQ589" s="219"/>
      <c r="VCR589" s="219"/>
      <c r="VCS589" s="219"/>
      <c r="VCT589" s="219"/>
      <c r="VCU589" s="219"/>
      <c r="VCV589" s="219"/>
      <c r="VCW589" s="219"/>
      <c r="VCX589" s="219"/>
      <c r="VCY589" s="219"/>
      <c r="VCZ589" s="219"/>
      <c r="VDA589" s="219"/>
      <c r="VDB589" s="219"/>
      <c r="VDC589" s="219"/>
      <c r="VDD589" s="219"/>
      <c r="VDE589" s="219"/>
      <c r="VDF589" s="219"/>
      <c r="VDG589" s="219"/>
      <c r="VDH589" s="219"/>
      <c r="VDI589" s="219"/>
      <c r="VDJ589" s="219"/>
      <c r="VDK589" s="219"/>
      <c r="VDL589" s="219"/>
      <c r="VDM589" s="219"/>
      <c r="VDN589" s="219"/>
      <c r="VDO589" s="219"/>
      <c r="VDP589" s="219"/>
      <c r="VDQ589" s="219"/>
      <c r="VDR589" s="219"/>
      <c r="VDS589" s="219"/>
      <c r="VDT589" s="219"/>
      <c r="VDU589" s="219"/>
      <c r="VDV589" s="219"/>
      <c r="VDW589" s="219"/>
      <c r="VDX589" s="219"/>
      <c r="VDY589" s="219"/>
      <c r="VDZ589" s="219"/>
      <c r="VEA589" s="219"/>
      <c r="VEB589" s="219"/>
      <c r="VEC589" s="219"/>
      <c r="VED589" s="219"/>
      <c r="VEE589" s="219"/>
      <c r="VEF589" s="219"/>
      <c r="VEG589" s="219"/>
      <c r="VEH589" s="219"/>
      <c r="VEI589" s="219"/>
      <c r="VEJ589" s="219"/>
      <c r="VEK589" s="219"/>
      <c r="VEL589" s="219"/>
      <c r="VEM589" s="219"/>
      <c r="VEN589" s="219"/>
      <c r="VEO589" s="219"/>
      <c r="VEP589" s="219"/>
      <c r="VEQ589" s="219"/>
      <c r="VER589" s="219"/>
      <c r="VES589" s="219"/>
      <c r="VET589" s="219"/>
      <c r="VEU589" s="219"/>
      <c r="VEV589" s="219"/>
      <c r="VEW589" s="219"/>
      <c r="VEX589" s="219"/>
      <c r="VEY589" s="219"/>
      <c r="VEZ589" s="219"/>
      <c r="VFA589" s="219"/>
      <c r="VFB589" s="219"/>
      <c r="VFC589" s="219"/>
      <c r="VFD589" s="219"/>
      <c r="VFE589" s="219"/>
      <c r="VFF589" s="219"/>
      <c r="VFG589" s="219"/>
      <c r="VFH589" s="219"/>
      <c r="VFI589" s="219"/>
      <c r="VFJ589" s="219"/>
      <c r="VFK589" s="219"/>
      <c r="VFL589" s="219"/>
      <c r="VFM589" s="219"/>
      <c r="VFN589" s="219"/>
      <c r="VFO589" s="219"/>
      <c r="VFP589" s="219"/>
      <c r="VFQ589" s="219"/>
      <c r="VFR589" s="219"/>
      <c r="VFS589" s="219"/>
      <c r="VFT589" s="219"/>
      <c r="VFU589" s="219"/>
      <c r="VFV589" s="219"/>
      <c r="VFW589" s="219"/>
      <c r="VFX589" s="219"/>
      <c r="VFY589" s="219"/>
      <c r="VFZ589" s="219"/>
      <c r="VGA589" s="219"/>
      <c r="VGB589" s="219"/>
      <c r="VGC589" s="219"/>
      <c r="VGD589" s="219"/>
      <c r="VGE589" s="219"/>
      <c r="VGF589" s="219"/>
      <c r="VGG589" s="219"/>
      <c r="VGH589" s="219"/>
      <c r="VGI589" s="219"/>
      <c r="VGJ589" s="219"/>
      <c r="VGK589" s="219"/>
      <c r="VGL589" s="219"/>
      <c r="VGM589" s="219"/>
      <c r="VGN589" s="219"/>
      <c r="VGO589" s="219"/>
      <c r="VGP589" s="219"/>
      <c r="VGQ589" s="219"/>
      <c r="VGR589" s="219"/>
      <c r="VGS589" s="219"/>
      <c r="VGT589" s="219"/>
      <c r="VGU589" s="219"/>
      <c r="VGV589" s="219"/>
      <c r="VGW589" s="219"/>
      <c r="VGX589" s="219"/>
      <c r="VGY589" s="219"/>
      <c r="VGZ589" s="219"/>
      <c r="VHA589" s="219"/>
      <c r="VHB589" s="219"/>
      <c r="VHC589" s="219"/>
      <c r="VHD589" s="219"/>
      <c r="VHE589" s="219"/>
      <c r="VHF589" s="219"/>
      <c r="VHG589" s="219"/>
      <c r="VHH589" s="219"/>
      <c r="VHI589" s="219"/>
      <c r="VHJ589" s="219"/>
      <c r="VHK589" s="219"/>
      <c r="VHL589" s="219"/>
      <c r="VHM589" s="219"/>
      <c r="VHN589" s="219"/>
      <c r="VHO589" s="219"/>
      <c r="VHP589" s="219"/>
      <c r="VHQ589" s="219"/>
      <c r="VHR589" s="219"/>
      <c r="VHS589" s="219"/>
      <c r="VHT589" s="219"/>
      <c r="VHU589" s="219"/>
      <c r="VHV589" s="219"/>
      <c r="VHW589" s="219"/>
      <c r="VHX589" s="219"/>
      <c r="VHY589" s="219"/>
      <c r="VHZ589" s="219"/>
      <c r="VIA589" s="219"/>
      <c r="VIB589" s="219"/>
      <c r="VIC589" s="219"/>
      <c r="VID589" s="219"/>
      <c r="VIE589" s="219"/>
      <c r="VIF589" s="219"/>
      <c r="VIG589" s="219"/>
      <c r="VIH589" s="219"/>
      <c r="VII589" s="219"/>
      <c r="VIJ589" s="219"/>
      <c r="VIK589" s="219"/>
      <c r="VIL589" s="219"/>
      <c r="VIM589" s="219"/>
      <c r="VIN589" s="219"/>
      <c r="VIO589" s="219"/>
      <c r="VIP589" s="219"/>
      <c r="VIQ589" s="219"/>
      <c r="VIR589" s="219"/>
      <c r="VIS589" s="219"/>
      <c r="VIT589" s="219"/>
      <c r="VIU589" s="219"/>
      <c r="VIV589" s="219"/>
      <c r="VIW589" s="219"/>
      <c r="VIX589" s="219"/>
      <c r="VIY589" s="219"/>
      <c r="VIZ589" s="219"/>
      <c r="VJA589" s="219"/>
      <c r="VJB589" s="219"/>
      <c r="VJC589" s="219"/>
      <c r="VJD589" s="219"/>
      <c r="VJE589" s="219"/>
      <c r="VJF589" s="219"/>
      <c r="VJG589" s="219"/>
      <c r="VJH589" s="219"/>
      <c r="VJI589" s="219"/>
      <c r="VJJ589" s="219"/>
      <c r="VJK589" s="219"/>
      <c r="VJL589" s="219"/>
      <c r="VJM589" s="219"/>
      <c r="VJN589" s="219"/>
      <c r="VJO589" s="219"/>
      <c r="VJP589" s="219"/>
      <c r="VJQ589" s="219"/>
      <c r="VJR589" s="219"/>
      <c r="VJS589" s="219"/>
      <c r="VJT589" s="219"/>
      <c r="VJU589" s="219"/>
      <c r="VJV589" s="219"/>
      <c r="VJW589" s="219"/>
      <c r="VJX589" s="219"/>
      <c r="VJY589" s="219"/>
      <c r="VJZ589" s="219"/>
      <c r="VKA589" s="219"/>
      <c r="VKB589" s="219"/>
      <c r="VKC589" s="219"/>
      <c r="VKD589" s="219"/>
      <c r="VKE589" s="219"/>
      <c r="VKF589" s="219"/>
      <c r="VKG589" s="219"/>
      <c r="VKH589" s="219"/>
      <c r="VKI589" s="219"/>
      <c r="VKJ589" s="219"/>
      <c r="VKK589" s="219"/>
      <c r="VKL589" s="219"/>
      <c r="VKM589" s="219"/>
      <c r="VKN589" s="219"/>
      <c r="VKO589" s="219"/>
      <c r="VKP589" s="219"/>
      <c r="VKQ589" s="219"/>
      <c r="VKR589" s="219"/>
      <c r="VKS589" s="219"/>
      <c r="VKT589" s="219"/>
      <c r="VKU589" s="219"/>
      <c r="VKV589" s="219"/>
      <c r="VKW589" s="219"/>
      <c r="VKX589" s="219"/>
      <c r="VKY589" s="219"/>
      <c r="VKZ589" s="219"/>
      <c r="VLA589" s="219"/>
      <c r="VLB589" s="219"/>
      <c r="VLC589" s="219"/>
      <c r="VLD589" s="219"/>
      <c r="VLE589" s="219"/>
      <c r="VLF589" s="219"/>
      <c r="VLG589" s="219"/>
      <c r="VLH589" s="219"/>
      <c r="VLI589" s="219"/>
      <c r="VLJ589" s="219"/>
      <c r="VLK589" s="219"/>
      <c r="VLL589" s="219"/>
      <c r="VLM589" s="219"/>
      <c r="VLN589" s="219"/>
      <c r="VLO589" s="219"/>
      <c r="VLP589" s="219"/>
      <c r="VLQ589" s="219"/>
      <c r="VLR589" s="219"/>
      <c r="VLS589" s="219"/>
      <c r="VLT589" s="219"/>
      <c r="VLU589" s="219"/>
      <c r="VLV589" s="219"/>
      <c r="VLW589" s="219"/>
      <c r="VLX589" s="219"/>
      <c r="VLY589" s="219"/>
      <c r="VLZ589" s="219"/>
      <c r="VMA589" s="219"/>
      <c r="VMB589" s="219"/>
      <c r="VMC589" s="219"/>
      <c r="VMD589" s="219"/>
      <c r="VME589" s="219"/>
      <c r="VMF589" s="219"/>
      <c r="VMG589" s="219"/>
      <c r="VMH589" s="219"/>
      <c r="VMI589" s="219"/>
      <c r="VMJ589" s="219"/>
      <c r="VMK589" s="219"/>
      <c r="VML589" s="219"/>
      <c r="VMM589" s="219"/>
      <c r="VMN589" s="219"/>
      <c r="VMO589" s="219"/>
      <c r="VMP589" s="219"/>
      <c r="VMQ589" s="219"/>
      <c r="VMR589" s="219"/>
      <c r="VMS589" s="219"/>
      <c r="VMT589" s="219"/>
      <c r="VMU589" s="219"/>
      <c r="VMV589" s="219"/>
      <c r="VMW589" s="219"/>
      <c r="VMX589" s="219"/>
      <c r="VMY589" s="219"/>
      <c r="VMZ589" s="219"/>
      <c r="VNA589" s="219"/>
      <c r="VNB589" s="219"/>
      <c r="VNC589" s="219"/>
      <c r="VND589" s="219"/>
      <c r="VNE589" s="219"/>
      <c r="VNF589" s="219"/>
      <c r="VNG589" s="219"/>
      <c r="VNH589" s="219"/>
      <c r="VNI589" s="219"/>
      <c r="VNJ589" s="219"/>
      <c r="VNK589" s="219"/>
      <c r="VNL589" s="219"/>
      <c r="VNM589" s="219"/>
      <c r="VNN589" s="219"/>
      <c r="VNO589" s="219"/>
      <c r="VNP589" s="219"/>
      <c r="VNQ589" s="219"/>
      <c r="VNR589" s="219"/>
      <c r="VNS589" s="219"/>
      <c r="VNT589" s="219"/>
      <c r="VNU589" s="219"/>
      <c r="VNV589" s="219"/>
      <c r="VNW589" s="219"/>
      <c r="VNX589" s="219"/>
      <c r="VNY589" s="219"/>
      <c r="VNZ589" s="219"/>
      <c r="VOA589" s="219"/>
      <c r="VOB589" s="219"/>
      <c r="VOC589" s="219"/>
      <c r="VOD589" s="219"/>
      <c r="VOE589" s="219"/>
      <c r="VOF589" s="219"/>
      <c r="VOG589" s="219"/>
      <c r="VOH589" s="219"/>
      <c r="VOI589" s="219"/>
      <c r="VOJ589" s="219"/>
      <c r="VOK589" s="219"/>
      <c r="VOL589" s="219"/>
      <c r="VOM589" s="219"/>
      <c r="VON589" s="219"/>
      <c r="VOO589" s="219"/>
      <c r="VOP589" s="219"/>
      <c r="VOQ589" s="219"/>
      <c r="VOR589" s="219"/>
      <c r="VOS589" s="219"/>
      <c r="VOT589" s="219"/>
      <c r="VOU589" s="219"/>
      <c r="VOV589" s="219"/>
      <c r="VOW589" s="219"/>
      <c r="VOX589" s="219"/>
      <c r="VOY589" s="219"/>
      <c r="VOZ589" s="219"/>
      <c r="VPA589" s="219"/>
      <c r="VPB589" s="219"/>
      <c r="VPC589" s="219"/>
      <c r="VPD589" s="219"/>
      <c r="VPE589" s="219"/>
      <c r="VPF589" s="219"/>
      <c r="VPG589" s="219"/>
      <c r="VPH589" s="219"/>
      <c r="VPI589" s="219"/>
      <c r="VPJ589" s="219"/>
      <c r="VPK589" s="219"/>
      <c r="VPL589" s="219"/>
      <c r="VPM589" s="219"/>
      <c r="VPN589" s="219"/>
      <c r="VPO589" s="219"/>
      <c r="VPP589" s="219"/>
      <c r="VPQ589" s="219"/>
      <c r="VPR589" s="219"/>
      <c r="VPS589" s="219"/>
      <c r="VPT589" s="219"/>
      <c r="VPU589" s="219"/>
      <c r="VPV589" s="219"/>
      <c r="VPW589" s="219"/>
      <c r="VPX589" s="219"/>
      <c r="VPY589" s="219"/>
      <c r="VPZ589" s="219"/>
      <c r="VQA589" s="219"/>
      <c r="VQB589" s="219"/>
      <c r="VQC589" s="219"/>
      <c r="VQD589" s="219"/>
      <c r="VQE589" s="219"/>
      <c r="VQF589" s="219"/>
      <c r="VQG589" s="219"/>
      <c r="VQH589" s="219"/>
      <c r="VQI589" s="219"/>
      <c r="VQJ589" s="219"/>
      <c r="VQK589" s="219"/>
      <c r="VQL589" s="219"/>
      <c r="VQM589" s="219"/>
      <c r="VQN589" s="219"/>
      <c r="VQO589" s="219"/>
      <c r="VQP589" s="219"/>
      <c r="VQQ589" s="219"/>
      <c r="VQR589" s="219"/>
      <c r="VQS589" s="219"/>
      <c r="VQT589" s="219"/>
      <c r="VQU589" s="219"/>
      <c r="VQV589" s="219"/>
      <c r="VQW589" s="219"/>
      <c r="VQX589" s="219"/>
      <c r="VQY589" s="219"/>
      <c r="VQZ589" s="219"/>
      <c r="VRA589" s="219"/>
      <c r="VRB589" s="219"/>
      <c r="VRC589" s="219"/>
      <c r="VRD589" s="219"/>
      <c r="VRE589" s="219"/>
      <c r="VRF589" s="219"/>
      <c r="VRG589" s="219"/>
      <c r="VRH589" s="219"/>
      <c r="VRI589" s="219"/>
      <c r="VRJ589" s="219"/>
      <c r="VRK589" s="219"/>
      <c r="VRL589" s="219"/>
      <c r="VRM589" s="219"/>
      <c r="VRN589" s="219"/>
      <c r="VRO589" s="219"/>
      <c r="VRP589" s="219"/>
      <c r="VRQ589" s="219"/>
      <c r="VRR589" s="219"/>
      <c r="VRS589" s="219"/>
      <c r="VRT589" s="219"/>
      <c r="VRU589" s="219"/>
      <c r="VRV589" s="219"/>
      <c r="VRW589" s="219"/>
      <c r="VRX589" s="219"/>
      <c r="VRY589" s="219"/>
      <c r="VRZ589" s="219"/>
      <c r="VSA589" s="219"/>
      <c r="VSB589" s="219"/>
      <c r="VSC589" s="219"/>
      <c r="VSD589" s="219"/>
      <c r="VSE589" s="219"/>
      <c r="VSF589" s="219"/>
      <c r="VSG589" s="219"/>
      <c r="VSH589" s="219"/>
      <c r="VSI589" s="219"/>
      <c r="VSJ589" s="219"/>
      <c r="VSK589" s="219"/>
      <c r="VSL589" s="219"/>
      <c r="VSM589" s="219"/>
      <c r="VSN589" s="219"/>
      <c r="VSO589" s="219"/>
      <c r="VSP589" s="219"/>
      <c r="VSQ589" s="219"/>
      <c r="VSR589" s="219"/>
      <c r="VSS589" s="219"/>
      <c r="VST589" s="219"/>
      <c r="VSU589" s="219"/>
      <c r="VSV589" s="219"/>
      <c r="VSW589" s="219"/>
      <c r="VSX589" s="219"/>
      <c r="VSY589" s="219"/>
      <c r="VSZ589" s="219"/>
      <c r="VTA589" s="219"/>
      <c r="VTB589" s="219"/>
      <c r="VTC589" s="219"/>
      <c r="VTD589" s="219"/>
      <c r="VTE589" s="219"/>
      <c r="VTF589" s="219"/>
      <c r="VTG589" s="219"/>
      <c r="VTH589" s="219"/>
      <c r="VTI589" s="219"/>
      <c r="VTJ589" s="219"/>
      <c r="VTK589" s="219"/>
      <c r="VTL589" s="219"/>
      <c r="VTM589" s="219"/>
      <c r="VTN589" s="219"/>
      <c r="VTO589" s="219"/>
      <c r="VTP589" s="219"/>
      <c r="VTQ589" s="219"/>
      <c r="VTR589" s="219"/>
      <c r="VTS589" s="219"/>
      <c r="VTT589" s="219"/>
      <c r="VTU589" s="219"/>
      <c r="VTV589" s="219"/>
      <c r="VTW589" s="219"/>
      <c r="VTX589" s="219"/>
      <c r="VTY589" s="219"/>
      <c r="VTZ589" s="219"/>
      <c r="VUA589" s="219"/>
      <c r="VUB589" s="219"/>
      <c r="VUC589" s="219"/>
      <c r="VUD589" s="219"/>
      <c r="VUE589" s="219"/>
      <c r="VUF589" s="219"/>
      <c r="VUG589" s="219"/>
      <c r="VUH589" s="219"/>
      <c r="VUI589" s="219"/>
      <c r="VUJ589" s="219"/>
      <c r="VUK589" s="219"/>
      <c r="VUL589" s="219"/>
      <c r="VUM589" s="219"/>
      <c r="VUN589" s="219"/>
      <c r="VUO589" s="219"/>
      <c r="VUP589" s="219"/>
      <c r="VUQ589" s="219"/>
      <c r="VUR589" s="219"/>
      <c r="VUS589" s="219"/>
      <c r="VUT589" s="219"/>
      <c r="VUU589" s="219"/>
      <c r="VUV589" s="219"/>
      <c r="VUW589" s="219"/>
      <c r="VUX589" s="219"/>
      <c r="VUY589" s="219"/>
      <c r="VUZ589" s="219"/>
      <c r="VVA589" s="219"/>
      <c r="VVB589" s="219"/>
      <c r="VVC589" s="219"/>
      <c r="VVD589" s="219"/>
      <c r="VVE589" s="219"/>
      <c r="VVF589" s="219"/>
      <c r="VVG589" s="219"/>
      <c r="VVH589" s="219"/>
      <c r="VVI589" s="219"/>
      <c r="VVJ589" s="219"/>
      <c r="VVK589" s="219"/>
      <c r="VVL589" s="219"/>
      <c r="VVM589" s="219"/>
      <c r="VVN589" s="219"/>
      <c r="VVO589" s="219"/>
      <c r="VVP589" s="219"/>
      <c r="VVQ589" s="219"/>
      <c r="VVR589" s="219"/>
      <c r="VVS589" s="219"/>
      <c r="VVT589" s="219"/>
      <c r="VVU589" s="219"/>
      <c r="VVV589" s="219"/>
      <c r="VVW589" s="219"/>
      <c r="VVX589" s="219"/>
      <c r="VVY589" s="219"/>
      <c r="VVZ589" s="219"/>
      <c r="VWA589" s="219"/>
      <c r="VWB589" s="219"/>
      <c r="VWC589" s="219"/>
      <c r="VWD589" s="219"/>
      <c r="VWE589" s="219"/>
      <c r="VWF589" s="219"/>
      <c r="VWG589" s="219"/>
      <c r="VWH589" s="219"/>
      <c r="VWI589" s="219"/>
      <c r="VWJ589" s="219"/>
      <c r="VWK589" s="219"/>
      <c r="VWL589" s="219"/>
      <c r="VWM589" s="219"/>
      <c r="VWN589" s="219"/>
      <c r="VWO589" s="219"/>
      <c r="VWP589" s="219"/>
      <c r="VWQ589" s="219"/>
      <c r="VWR589" s="219"/>
      <c r="VWS589" s="219"/>
      <c r="VWT589" s="219"/>
      <c r="VWU589" s="219"/>
      <c r="VWV589" s="219"/>
      <c r="VWW589" s="219"/>
      <c r="VWX589" s="219"/>
      <c r="VWY589" s="219"/>
      <c r="VWZ589" s="219"/>
      <c r="VXA589" s="219"/>
      <c r="VXB589" s="219"/>
      <c r="VXC589" s="219"/>
      <c r="VXD589" s="219"/>
      <c r="VXE589" s="219"/>
      <c r="VXF589" s="219"/>
      <c r="VXG589" s="219"/>
      <c r="VXH589" s="219"/>
      <c r="VXI589" s="219"/>
      <c r="VXJ589" s="219"/>
      <c r="VXK589" s="219"/>
      <c r="VXL589" s="219"/>
      <c r="VXM589" s="219"/>
      <c r="VXN589" s="219"/>
      <c r="VXO589" s="219"/>
      <c r="VXP589" s="219"/>
      <c r="VXQ589" s="219"/>
      <c r="VXR589" s="219"/>
      <c r="VXS589" s="219"/>
      <c r="VXT589" s="219"/>
      <c r="VXU589" s="219"/>
      <c r="VXV589" s="219"/>
      <c r="VXW589" s="219"/>
      <c r="VXX589" s="219"/>
      <c r="VXY589" s="219"/>
      <c r="VXZ589" s="219"/>
      <c r="VYA589" s="219"/>
      <c r="VYB589" s="219"/>
      <c r="VYC589" s="219"/>
      <c r="VYD589" s="219"/>
      <c r="VYE589" s="219"/>
      <c r="VYF589" s="219"/>
      <c r="VYG589" s="219"/>
      <c r="VYH589" s="219"/>
      <c r="VYI589" s="219"/>
      <c r="VYJ589" s="219"/>
      <c r="VYK589" s="219"/>
      <c r="VYL589" s="219"/>
      <c r="VYM589" s="219"/>
      <c r="VYN589" s="219"/>
      <c r="VYO589" s="219"/>
      <c r="VYP589" s="219"/>
      <c r="VYQ589" s="219"/>
      <c r="VYR589" s="219"/>
      <c r="VYS589" s="219"/>
      <c r="VYT589" s="219"/>
      <c r="VYU589" s="219"/>
      <c r="VYV589" s="219"/>
      <c r="VYW589" s="219"/>
      <c r="VYX589" s="219"/>
      <c r="VYY589" s="219"/>
      <c r="VYZ589" s="219"/>
      <c r="VZA589" s="219"/>
      <c r="VZB589" s="219"/>
      <c r="VZC589" s="219"/>
      <c r="VZD589" s="219"/>
      <c r="VZE589" s="219"/>
      <c r="VZF589" s="219"/>
      <c r="VZG589" s="219"/>
      <c r="VZH589" s="219"/>
      <c r="VZI589" s="219"/>
      <c r="VZJ589" s="219"/>
      <c r="VZK589" s="219"/>
      <c r="VZL589" s="219"/>
      <c r="VZM589" s="219"/>
      <c r="VZN589" s="219"/>
      <c r="VZO589" s="219"/>
      <c r="VZP589" s="219"/>
      <c r="VZQ589" s="219"/>
      <c r="VZR589" s="219"/>
      <c r="VZS589" s="219"/>
      <c r="VZT589" s="219"/>
      <c r="VZU589" s="219"/>
      <c r="VZV589" s="219"/>
      <c r="VZW589" s="219"/>
      <c r="VZX589" s="219"/>
      <c r="VZY589" s="219"/>
      <c r="VZZ589" s="219"/>
      <c r="WAA589" s="219"/>
      <c r="WAB589" s="219"/>
      <c r="WAC589" s="219"/>
      <c r="WAD589" s="219"/>
      <c r="WAE589" s="219"/>
      <c r="WAF589" s="219"/>
      <c r="WAG589" s="219"/>
      <c r="WAH589" s="219"/>
      <c r="WAI589" s="219"/>
      <c r="WAJ589" s="219"/>
      <c r="WAK589" s="219"/>
      <c r="WAL589" s="219"/>
      <c r="WAM589" s="219"/>
      <c r="WAN589" s="219"/>
      <c r="WAO589" s="219"/>
      <c r="WAP589" s="219"/>
      <c r="WAQ589" s="219"/>
      <c r="WAR589" s="219"/>
      <c r="WAS589" s="219"/>
      <c r="WAT589" s="219"/>
      <c r="WAU589" s="219"/>
      <c r="WAV589" s="219"/>
      <c r="WAW589" s="219"/>
      <c r="WAX589" s="219"/>
      <c r="WAY589" s="219"/>
      <c r="WAZ589" s="219"/>
      <c r="WBA589" s="219"/>
      <c r="WBB589" s="219"/>
      <c r="WBC589" s="219"/>
      <c r="WBD589" s="219"/>
      <c r="WBE589" s="219"/>
      <c r="WBF589" s="219"/>
      <c r="WBG589" s="219"/>
      <c r="WBH589" s="219"/>
      <c r="WBI589" s="219"/>
      <c r="WBJ589" s="219"/>
      <c r="WBK589" s="219"/>
      <c r="WBL589" s="219"/>
      <c r="WBM589" s="219"/>
      <c r="WBN589" s="219"/>
      <c r="WBO589" s="219"/>
      <c r="WBP589" s="219"/>
      <c r="WBQ589" s="219"/>
      <c r="WBR589" s="219"/>
      <c r="WBS589" s="219"/>
      <c r="WBT589" s="219"/>
      <c r="WBU589" s="219"/>
      <c r="WBV589" s="219"/>
      <c r="WBW589" s="219"/>
      <c r="WBX589" s="219"/>
      <c r="WBY589" s="219"/>
      <c r="WBZ589" s="219"/>
      <c r="WCA589" s="219"/>
      <c r="WCB589" s="219"/>
      <c r="WCC589" s="219"/>
      <c r="WCD589" s="219"/>
      <c r="WCE589" s="219"/>
      <c r="WCF589" s="219"/>
      <c r="WCG589" s="219"/>
      <c r="WCH589" s="219"/>
      <c r="WCI589" s="219"/>
      <c r="WCJ589" s="219"/>
      <c r="WCK589" s="219"/>
      <c r="WCL589" s="219"/>
      <c r="WCM589" s="219"/>
      <c r="WCN589" s="219"/>
      <c r="WCO589" s="219"/>
      <c r="WCP589" s="219"/>
      <c r="WCQ589" s="219"/>
      <c r="WCR589" s="219"/>
      <c r="WCS589" s="219"/>
      <c r="WCT589" s="219"/>
      <c r="WCU589" s="219"/>
      <c r="WCV589" s="219"/>
      <c r="WCW589" s="219"/>
      <c r="WCX589" s="219"/>
      <c r="WCY589" s="219"/>
      <c r="WCZ589" s="219"/>
      <c r="WDA589" s="219"/>
      <c r="WDB589" s="219"/>
      <c r="WDC589" s="219"/>
      <c r="WDD589" s="219"/>
      <c r="WDE589" s="219"/>
      <c r="WDF589" s="219"/>
      <c r="WDG589" s="219"/>
      <c r="WDH589" s="219"/>
      <c r="WDI589" s="219"/>
      <c r="WDJ589" s="219"/>
      <c r="WDK589" s="219"/>
      <c r="WDL589" s="219"/>
      <c r="WDM589" s="219"/>
      <c r="WDN589" s="219"/>
      <c r="WDO589" s="219"/>
      <c r="WDP589" s="219"/>
      <c r="WDQ589" s="219"/>
      <c r="WDR589" s="219"/>
      <c r="WDS589" s="219"/>
      <c r="WDT589" s="219"/>
      <c r="WDU589" s="219"/>
      <c r="WDV589" s="219"/>
      <c r="WDW589" s="219"/>
      <c r="WDX589" s="219"/>
      <c r="WDY589" s="219"/>
      <c r="WDZ589" s="219"/>
      <c r="WEA589" s="219"/>
      <c r="WEB589" s="219"/>
      <c r="WEC589" s="219"/>
      <c r="WED589" s="219"/>
      <c r="WEE589" s="219"/>
      <c r="WEF589" s="219"/>
      <c r="WEG589" s="219"/>
      <c r="WEH589" s="219"/>
      <c r="WEI589" s="219"/>
      <c r="WEJ589" s="219"/>
      <c r="WEK589" s="219"/>
      <c r="WEL589" s="219"/>
      <c r="WEM589" s="219"/>
      <c r="WEN589" s="219"/>
      <c r="WEO589" s="219"/>
      <c r="WEP589" s="219"/>
      <c r="WEQ589" s="219"/>
      <c r="WER589" s="219"/>
      <c r="WES589" s="219"/>
      <c r="WET589" s="219"/>
      <c r="WEU589" s="219"/>
      <c r="WEV589" s="219"/>
      <c r="WEW589" s="219"/>
      <c r="WEX589" s="219"/>
      <c r="WEY589" s="219"/>
      <c r="WEZ589" s="219"/>
      <c r="WFA589" s="219"/>
      <c r="WFB589" s="219"/>
      <c r="WFC589" s="219"/>
      <c r="WFD589" s="219"/>
      <c r="WFE589" s="219"/>
      <c r="WFF589" s="219"/>
      <c r="WFG589" s="219"/>
      <c r="WFH589" s="219"/>
      <c r="WFI589" s="219"/>
      <c r="WFJ589" s="219"/>
      <c r="WFK589" s="219"/>
      <c r="WFL589" s="219"/>
      <c r="WFM589" s="219"/>
      <c r="WFN589" s="219"/>
      <c r="WFO589" s="219"/>
      <c r="WFP589" s="219"/>
      <c r="WFQ589" s="219"/>
      <c r="WFR589" s="219"/>
      <c r="WFS589" s="219"/>
      <c r="WFT589" s="219"/>
      <c r="WFU589" s="219"/>
      <c r="WFV589" s="219"/>
      <c r="WFW589" s="219"/>
      <c r="WFX589" s="219"/>
      <c r="WFY589" s="219"/>
      <c r="WFZ589" s="219"/>
      <c r="WGA589" s="219"/>
      <c r="WGB589" s="219"/>
      <c r="WGC589" s="219"/>
      <c r="WGD589" s="219"/>
      <c r="WGE589" s="219"/>
      <c r="WGF589" s="219"/>
      <c r="WGG589" s="219"/>
      <c r="WGH589" s="219"/>
      <c r="WGI589" s="219"/>
      <c r="WGJ589" s="219"/>
      <c r="WGK589" s="219"/>
      <c r="WGL589" s="219"/>
      <c r="WGM589" s="219"/>
      <c r="WGN589" s="219"/>
      <c r="WGO589" s="219"/>
      <c r="WGP589" s="219"/>
      <c r="WGQ589" s="219"/>
      <c r="WGR589" s="219"/>
      <c r="WGS589" s="219"/>
      <c r="WGT589" s="219"/>
      <c r="WGU589" s="219"/>
      <c r="WGV589" s="219"/>
      <c r="WGW589" s="219"/>
      <c r="WGX589" s="219"/>
      <c r="WGY589" s="219"/>
      <c r="WGZ589" s="219"/>
      <c r="WHA589" s="219"/>
      <c r="WHB589" s="219"/>
      <c r="WHC589" s="219"/>
      <c r="WHD589" s="219"/>
      <c r="WHE589" s="219"/>
      <c r="WHF589" s="219"/>
      <c r="WHG589" s="219"/>
      <c r="WHH589" s="219"/>
      <c r="WHI589" s="219"/>
      <c r="WHJ589" s="219"/>
      <c r="WHK589" s="219"/>
      <c r="WHL589" s="219"/>
      <c r="WHM589" s="219"/>
      <c r="WHN589" s="219"/>
      <c r="WHO589" s="219"/>
      <c r="WHP589" s="219"/>
      <c r="WHQ589" s="219"/>
      <c r="WHR589" s="219"/>
      <c r="WHS589" s="219"/>
      <c r="WHT589" s="219"/>
      <c r="WHU589" s="219"/>
      <c r="WHV589" s="219"/>
      <c r="WHW589" s="219"/>
      <c r="WHX589" s="219"/>
      <c r="WHY589" s="219"/>
      <c r="WHZ589" s="219"/>
      <c r="WIA589" s="219"/>
      <c r="WIB589" s="219"/>
      <c r="WIC589" s="219"/>
      <c r="WID589" s="219"/>
      <c r="WIE589" s="219"/>
      <c r="WIF589" s="219"/>
      <c r="WIG589" s="219"/>
      <c r="WIH589" s="219"/>
      <c r="WII589" s="219"/>
      <c r="WIJ589" s="219"/>
      <c r="WIK589" s="219"/>
      <c r="WIL589" s="219"/>
      <c r="WIM589" s="219"/>
      <c r="WIN589" s="219"/>
      <c r="WIO589" s="219"/>
      <c r="WIP589" s="219"/>
      <c r="WIQ589" s="219"/>
      <c r="WIR589" s="219"/>
      <c r="WIS589" s="219"/>
      <c r="WIT589" s="219"/>
      <c r="WIU589" s="219"/>
      <c r="WIV589" s="219"/>
      <c r="WIW589" s="219"/>
      <c r="WIX589" s="219"/>
      <c r="WIY589" s="219"/>
      <c r="WIZ589" s="219"/>
      <c r="WJA589" s="219"/>
      <c r="WJB589" s="219"/>
      <c r="WJC589" s="219"/>
      <c r="WJD589" s="219"/>
      <c r="WJE589" s="219"/>
      <c r="WJF589" s="219"/>
      <c r="WJG589" s="219"/>
      <c r="WJH589" s="219"/>
      <c r="WJI589" s="219"/>
      <c r="WJJ589" s="219"/>
      <c r="WJK589" s="219"/>
      <c r="WJL589" s="219"/>
      <c r="WJM589" s="219"/>
      <c r="WJN589" s="219"/>
      <c r="WJO589" s="219"/>
      <c r="WJP589" s="219"/>
      <c r="WJQ589" s="219"/>
      <c r="WJR589" s="219"/>
      <c r="WJS589" s="219"/>
      <c r="WJT589" s="219"/>
      <c r="WJU589" s="219"/>
      <c r="WJV589" s="219"/>
      <c r="WJW589" s="219"/>
      <c r="WJX589" s="219"/>
      <c r="WJY589" s="219"/>
      <c r="WJZ589" s="219"/>
      <c r="WKA589" s="219"/>
      <c r="WKB589" s="219"/>
      <c r="WKC589" s="219"/>
      <c r="WKD589" s="219"/>
      <c r="WKE589" s="219"/>
      <c r="WKF589" s="219"/>
      <c r="WKG589" s="219"/>
      <c r="WKH589" s="219"/>
      <c r="WKI589" s="219"/>
      <c r="WKJ589" s="219"/>
      <c r="WKK589" s="219"/>
      <c r="WKL589" s="219"/>
      <c r="WKM589" s="219"/>
      <c r="WKN589" s="219"/>
      <c r="WKO589" s="219"/>
      <c r="WKP589" s="219"/>
      <c r="WKQ589" s="219"/>
      <c r="WKR589" s="219"/>
      <c r="WKS589" s="219"/>
      <c r="WKT589" s="219"/>
      <c r="WKU589" s="219"/>
      <c r="WKV589" s="219"/>
      <c r="WKW589" s="219"/>
      <c r="WKX589" s="219"/>
      <c r="WKY589" s="219"/>
      <c r="WKZ589" s="219"/>
      <c r="WLA589" s="219"/>
      <c r="WLB589" s="219"/>
      <c r="WLC589" s="219"/>
      <c r="WLD589" s="219"/>
      <c r="WLE589" s="219"/>
      <c r="WLF589" s="219"/>
      <c r="WLG589" s="219"/>
      <c r="WLH589" s="219"/>
      <c r="WLI589" s="219"/>
      <c r="WLJ589" s="219"/>
      <c r="WLK589" s="219"/>
      <c r="WLL589" s="219"/>
      <c r="WLM589" s="219"/>
      <c r="WLN589" s="219"/>
      <c r="WLO589" s="219"/>
      <c r="WLP589" s="219"/>
      <c r="WLQ589" s="219"/>
      <c r="WLR589" s="219"/>
      <c r="WLS589" s="219"/>
      <c r="WLT589" s="219"/>
      <c r="WLU589" s="219"/>
      <c r="WLV589" s="219"/>
      <c r="WLW589" s="219"/>
      <c r="WLX589" s="219"/>
      <c r="WLY589" s="219"/>
      <c r="WLZ589" s="219"/>
      <c r="WMA589" s="219"/>
      <c r="WMB589" s="219"/>
      <c r="WMC589" s="219"/>
      <c r="WMD589" s="219"/>
      <c r="WME589" s="219"/>
      <c r="WMF589" s="219"/>
      <c r="WMG589" s="219"/>
      <c r="WMH589" s="219"/>
      <c r="WMI589" s="219"/>
      <c r="WMJ589" s="219"/>
      <c r="WMK589" s="219"/>
      <c r="WML589" s="219"/>
      <c r="WMM589" s="219"/>
      <c r="WMN589" s="219"/>
      <c r="WMO589" s="219"/>
      <c r="WMP589" s="219"/>
      <c r="WMQ589" s="219"/>
      <c r="WMR589" s="219"/>
      <c r="WMS589" s="219"/>
      <c r="WMT589" s="219"/>
      <c r="WMU589" s="219"/>
      <c r="WMV589" s="219"/>
      <c r="WMW589" s="219"/>
      <c r="WMX589" s="219"/>
      <c r="WMY589" s="219"/>
      <c r="WMZ589" s="219"/>
      <c r="WNA589" s="219"/>
      <c r="WNB589" s="219"/>
      <c r="WNC589" s="219"/>
      <c r="WND589" s="219"/>
      <c r="WNE589" s="219"/>
      <c r="WNF589" s="219"/>
      <c r="WNG589" s="219"/>
      <c r="WNH589" s="219"/>
      <c r="WNI589" s="219"/>
      <c r="WNJ589" s="219"/>
      <c r="WNK589" s="219"/>
      <c r="WNL589" s="219"/>
      <c r="WNM589" s="219"/>
      <c r="WNN589" s="219"/>
      <c r="WNO589" s="219"/>
      <c r="WNP589" s="219"/>
      <c r="WNQ589" s="219"/>
      <c r="WNR589" s="219"/>
      <c r="WNS589" s="219"/>
      <c r="WNT589" s="219"/>
      <c r="WNU589" s="219"/>
      <c r="WNV589" s="219"/>
      <c r="WNW589" s="219"/>
      <c r="WNX589" s="219"/>
      <c r="WNY589" s="219"/>
      <c r="WNZ589" s="219"/>
      <c r="WOA589" s="219"/>
      <c r="WOB589" s="219"/>
      <c r="WOC589" s="219"/>
      <c r="WOD589" s="219"/>
      <c r="WOE589" s="219"/>
      <c r="WOF589" s="219"/>
      <c r="WOG589" s="219"/>
      <c r="WOH589" s="219"/>
      <c r="WOI589" s="219"/>
      <c r="WOJ589" s="219"/>
      <c r="WOK589" s="219"/>
      <c r="WOL589" s="219"/>
      <c r="WOM589" s="219"/>
      <c r="WON589" s="219"/>
      <c r="WOO589" s="219"/>
      <c r="WOP589" s="219"/>
      <c r="WOQ589" s="219"/>
      <c r="WOR589" s="219"/>
      <c r="WOS589" s="219"/>
      <c r="WOT589" s="219"/>
      <c r="WOU589" s="219"/>
      <c r="WOV589" s="219"/>
      <c r="WOW589" s="219"/>
      <c r="WOX589" s="219"/>
      <c r="WOY589" s="219"/>
      <c r="WOZ589" s="219"/>
      <c r="WPA589" s="219"/>
      <c r="WPB589" s="219"/>
      <c r="WPC589" s="219"/>
      <c r="WPD589" s="219"/>
      <c r="WPE589" s="219"/>
      <c r="WPF589" s="219"/>
      <c r="WPG589" s="219"/>
      <c r="WPH589" s="219"/>
      <c r="WPI589" s="219"/>
      <c r="WPJ589" s="219"/>
      <c r="WPK589" s="219"/>
      <c r="WPL589" s="219"/>
      <c r="WPM589" s="219"/>
      <c r="WPN589" s="219"/>
      <c r="WPO589" s="219"/>
      <c r="WPP589" s="219"/>
      <c r="WPQ589" s="219"/>
      <c r="WPR589" s="219"/>
      <c r="WPS589" s="219"/>
      <c r="WPT589" s="219"/>
      <c r="WPU589" s="219"/>
      <c r="WPV589" s="219"/>
      <c r="WPW589" s="219"/>
      <c r="WPX589" s="219"/>
      <c r="WPY589" s="219"/>
      <c r="WPZ589" s="219"/>
      <c r="WQA589" s="219"/>
      <c r="WQB589" s="219"/>
      <c r="WQC589" s="219"/>
      <c r="WQD589" s="219"/>
      <c r="WQE589" s="219"/>
      <c r="WQF589" s="219"/>
      <c r="WQG589" s="219"/>
      <c r="WQH589" s="219"/>
      <c r="WQI589" s="219"/>
      <c r="WQJ589" s="219"/>
      <c r="WQK589" s="219"/>
      <c r="WQL589" s="219"/>
      <c r="WQM589" s="219"/>
      <c r="WQN589" s="219"/>
      <c r="WQO589" s="219"/>
      <c r="WQP589" s="219"/>
      <c r="WQQ589" s="219"/>
      <c r="WQR589" s="219"/>
      <c r="WQS589" s="219"/>
      <c r="WQT589" s="219"/>
      <c r="WQU589" s="219"/>
      <c r="WQV589" s="219"/>
      <c r="WQW589" s="219"/>
      <c r="WQX589" s="219"/>
      <c r="WQY589" s="219"/>
      <c r="WQZ589" s="219"/>
      <c r="WRA589" s="219"/>
      <c r="WRB589" s="219"/>
      <c r="WRC589" s="219"/>
      <c r="WRD589" s="219"/>
      <c r="WRE589" s="219"/>
      <c r="WRF589" s="219"/>
      <c r="WRG589" s="219"/>
      <c r="WRH589" s="219"/>
      <c r="WRI589" s="219"/>
      <c r="WRJ589" s="219"/>
      <c r="WRK589" s="219"/>
      <c r="WRL589" s="219"/>
      <c r="WRM589" s="219"/>
      <c r="WRN589" s="219"/>
      <c r="WRO589" s="219"/>
      <c r="WRP589" s="219"/>
      <c r="WRQ589" s="219"/>
      <c r="WRR589" s="219"/>
      <c r="WRS589" s="219"/>
      <c r="WRT589" s="219"/>
      <c r="WRU589" s="219"/>
      <c r="WRV589" s="219"/>
      <c r="WRW589" s="219"/>
      <c r="WRX589" s="219"/>
      <c r="WRY589" s="219"/>
      <c r="WRZ589" s="219"/>
      <c r="WSA589" s="219"/>
      <c r="WSB589" s="219"/>
      <c r="WSC589" s="219"/>
      <c r="WSD589" s="219"/>
      <c r="WSE589" s="219"/>
      <c r="WSF589" s="219"/>
      <c r="WSG589" s="219"/>
      <c r="WSH589" s="219"/>
      <c r="WSI589" s="219"/>
      <c r="WSJ589" s="219"/>
      <c r="WSK589" s="219"/>
      <c r="WSL589" s="219"/>
      <c r="WSM589" s="219"/>
      <c r="WSN589" s="219"/>
      <c r="WSO589" s="219"/>
      <c r="WSP589" s="219"/>
      <c r="WSQ589" s="219"/>
      <c r="WSR589" s="219"/>
      <c r="WSS589" s="219"/>
      <c r="WST589" s="219"/>
      <c r="WSU589" s="219"/>
      <c r="WSV589" s="219"/>
      <c r="WSW589" s="219"/>
      <c r="WSX589" s="219"/>
      <c r="WSY589" s="219"/>
      <c r="WSZ589" s="219"/>
      <c r="WTA589" s="219"/>
      <c r="WTB589" s="219"/>
      <c r="WTC589" s="219"/>
      <c r="WTD589" s="219"/>
      <c r="WTE589" s="219"/>
      <c r="WTF589" s="219"/>
      <c r="WTG589" s="219"/>
      <c r="WTH589" s="219"/>
      <c r="WTI589" s="219"/>
      <c r="WTJ589" s="219"/>
      <c r="WTK589" s="219"/>
      <c r="WTL589" s="219"/>
      <c r="WTM589" s="219"/>
      <c r="WTN589" s="219"/>
      <c r="WTO589" s="219"/>
      <c r="WTP589" s="219"/>
      <c r="WTQ589" s="219"/>
      <c r="WTR589" s="219"/>
      <c r="WTS589" s="219"/>
      <c r="WTT589" s="219"/>
      <c r="WTU589" s="219"/>
      <c r="WTV589" s="219"/>
      <c r="WTW589" s="219"/>
      <c r="WTX589" s="219"/>
      <c r="WTY589" s="219"/>
      <c r="WTZ589" s="219"/>
      <c r="WUA589" s="219"/>
      <c r="WUB589" s="219"/>
      <c r="WUC589" s="219"/>
      <c r="WUD589" s="219"/>
      <c r="WUE589" s="219"/>
      <c r="WUF589" s="219"/>
      <c r="WUG589" s="219"/>
      <c r="WUH589" s="219"/>
      <c r="WUI589" s="219"/>
      <c r="WUJ589" s="219"/>
      <c r="WUK589" s="219"/>
      <c r="WUL589" s="219"/>
      <c r="WUM589" s="219"/>
      <c r="WUN589" s="219"/>
      <c r="WUO589" s="219"/>
      <c r="WUP589" s="219"/>
      <c r="WUQ589" s="219"/>
      <c r="WUR589" s="219"/>
      <c r="WUS589" s="219"/>
      <c r="WUT589" s="219"/>
      <c r="WUU589" s="219"/>
      <c r="WUV589" s="219"/>
      <c r="WUW589" s="219"/>
      <c r="WUX589" s="219"/>
      <c r="WUY589" s="219"/>
      <c r="WUZ589" s="219"/>
      <c r="WVA589" s="219"/>
      <c r="WVB589" s="219"/>
      <c r="WVC589" s="219"/>
      <c r="WVD589" s="219"/>
      <c r="WVE589" s="219"/>
      <c r="WVF589" s="219"/>
      <c r="WVG589" s="219"/>
      <c r="WVH589" s="219"/>
      <c r="WVI589" s="219"/>
      <c r="WVJ589" s="219"/>
      <c r="WVK589" s="219"/>
      <c r="WVL589" s="219"/>
      <c r="WVM589" s="219"/>
      <c r="WVN589" s="219"/>
      <c r="WVO589" s="219"/>
      <c r="WVP589" s="219"/>
      <c r="WVQ589" s="219"/>
      <c r="WVR589" s="219"/>
      <c r="WVS589" s="219"/>
      <c r="WVT589" s="219"/>
      <c r="WVU589" s="219"/>
      <c r="WVV589" s="219"/>
      <c r="WVW589" s="219"/>
      <c r="WVX589" s="219"/>
      <c r="WVY589" s="219"/>
      <c r="WVZ589" s="219"/>
      <c r="WWA589" s="219"/>
      <c r="WWB589" s="219"/>
      <c r="WWC589" s="219"/>
      <c r="WWD589" s="219"/>
      <c r="WWE589" s="219"/>
      <c r="WWF589" s="219"/>
      <c r="WWG589" s="219"/>
      <c r="WWH589" s="219"/>
      <c r="WWI589" s="219"/>
      <c r="WWJ589" s="219"/>
      <c r="WWK589" s="219"/>
      <c r="WWL589" s="219"/>
      <c r="WWM589" s="219"/>
      <c r="WWN589" s="219"/>
      <c r="WWO589" s="219"/>
      <c r="WWP589" s="219"/>
      <c r="WWQ589" s="219"/>
      <c r="WWR589" s="219"/>
      <c r="WWS589" s="219"/>
      <c r="WWT589" s="219"/>
      <c r="WWU589" s="219"/>
      <c r="WWV589" s="219"/>
      <c r="WWW589" s="219"/>
      <c r="WWX589" s="219"/>
      <c r="WWY589" s="219"/>
      <c r="WWZ589" s="219"/>
      <c r="WXA589" s="219"/>
      <c r="WXB589" s="219"/>
      <c r="WXC589" s="219"/>
      <c r="WXD589" s="219"/>
      <c r="WXE589" s="219"/>
      <c r="WXF589" s="219"/>
      <c r="WXG589" s="219"/>
      <c r="WXH589" s="219"/>
      <c r="WXI589" s="219"/>
      <c r="WXJ589" s="219"/>
      <c r="WXK589" s="219"/>
      <c r="WXL589" s="219"/>
      <c r="WXM589" s="219"/>
      <c r="WXN589" s="219"/>
      <c r="WXO589" s="219"/>
      <c r="WXP589" s="219"/>
      <c r="WXQ589" s="219"/>
      <c r="WXR589" s="219"/>
      <c r="WXS589" s="219"/>
      <c r="WXT589" s="219"/>
      <c r="WXU589" s="219"/>
      <c r="WXV589" s="219"/>
      <c r="WXW589" s="219"/>
      <c r="WXX589" s="219"/>
      <c r="WXY589" s="219"/>
      <c r="WXZ589" s="219"/>
      <c r="WYA589" s="219"/>
      <c r="WYB589" s="219"/>
      <c r="WYC589" s="219"/>
      <c r="WYD589" s="219"/>
      <c r="WYE589" s="219"/>
      <c r="WYF589" s="219"/>
      <c r="WYG589" s="219"/>
      <c r="WYH589" s="219"/>
      <c r="WYI589" s="219"/>
      <c r="WYJ589" s="219"/>
      <c r="WYK589" s="219"/>
      <c r="WYL589" s="219"/>
      <c r="WYM589" s="219"/>
      <c r="WYN589" s="219"/>
      <c r="WYO589" s="219"/>
      <c r="WYP589" s="219"/>
      <c r="WYQ589" s="219"/>
      <c r="WYR589" s="219"/>
      <c r="WYS589" s="219"/>
      <c r="WYT589" s="219"/>
      <c r="WYU589" s="219"/>
      <c r="WYV589" s="219"/>
      <c r="WYW589" s="219"/>
      <c r="WYX589" s="219"/>
      <c r="WYY589" s="219"/>
      <c r="WYZ589" s="219"/>
      <c r="WZA589" s="219"/>
      <c r="WZB589" s="219"/>
      <c r="WZC589" s="219"/>
      <c r="WZD589" s="219"/>
      <c r="WZE589" s="219"/>
      <c r="WZF589" s="219"/>
      <c r="WZG589" s="219"/>
      <c r="WZH589" s="219"/>
      <c r="WZI589" s="219"/>
      <c r="WZJ589" s="219"/>
      <c r="WZK589" s="219"/>
      <c r="WZL589" s="219"/>
      <c r="WZM589" s="219"/>
      <c r="WZN589" s="219"/>
      <c r="WZO589" s="219"/>
      <c r="WZP589" s="219"/>
      <c r="WZQ589" s="219"/>
      <c r="WZR589" s="219"/>
      <c r="WZS589" s="219"/>
      <c r="WZT589" s="219"/>
      <c r="WZU589" s="219"/>
      <c r="WZV589" s="219"/>
      <c r="WZW589" s="219"/>
      <c r="WZX589" s="219"/>
      <c r="WZY589" s="219"/>
      <c r="WZZ589" s="219"/>
      <c r="XAA589" s="219"/>
      <c r="XAB589" s="219"/>
      <c r="XAC589" s="219"/>
      <c r="XAD589" s="219"/>
      <c r="XAE589" s="219"/>
      <c r="XAF589" s="219"/>
      <c r="XAG589" s="219"/>
      <c r="XAH589" s="219"/>
      <c r="XAI589" s="219"/>
      <c r="XAJ589" s="219"/>
      <c r="XAK589" s="219"/>
      <c r="XAL589" s="219"/>
      <c r="XAM589" s="219"/>
      <c r="XAN589" s="219"/>
      <c r="XAO589" s="219"/>
      <c r="XAP589" s="219"/>
      <c r="XAQ589" s="219"/>
      <c r="XAR589" s="219"/>
      <c r="XAS589" s="219"/>
      <c r="XAT589" s="219"/>
      <c r="XAU589" s="219"/>
      <c r="XAV589" s="219"/>
      <c r="XAW589" s="219"/>
      <c r="XAX589" s="219"/>
      <c r="XAY589" s="219"/>
      <c r="XAZ589" s="219"/>
      <c r="XBA589" s="219"/>
      <c r="XBB589" s="219"/>
      <c r="XBC589" s="219"/>
      <c r="XBD589" s="219"/>
      <c r="XBE589" s="219"/>
      <c r="XBF589" s="219"/>
      <c r="XBG589" s="219"/>
      <c r="XBH589" s="219"/>
      <c r="XBI589" s="219"/>
      <c r="XBJ589" s="219"/>
      <c r="XBK589" s="219"/>
      <c r="XBL589" s="219"/>
      <c r="XBM589" s="219"/>
      <c r="XBN589" s="219"/>
      <c r="XBO589" s="219"/>
      <c r="XBP589" s="219"/>
      <c r="XBQ589" s="219"/>
      <c r="XBR589" s="219"/>
      <c r="XBS589" s="219"/>
      <c r="XBT589" s="219"/>
      <c r="XBU589" s="219"/>
      <c r="XBV589" s="219"/>
      <c r="XBW589" s="219"/>
      <c r="XBX589" s="219"/>
      <c r="XBY589" s="219"/>
      <c r="XBZ589" s="219"/>
      <c r="XCA589" s="219"/>
      <c r="XCB589" s="219"/>
      <c r="XCC589" s="219"/>
      <c r="XCD589" s="219"/>
      <c r="XCE589" s="219"/>
      <c r="XCF589" s="219"/>
      <c r="XCG589" s="219"/>
      <c r="XCH589" s="219"/>
      <c r="XCI589" s="219"/>
      <c r="XCJ589" s="219"/>
      <c r="XCK589" s="219"/>
      <c r="XCL589" s="219"/>
      <c r="XCM589" s="219"/>
      <c r="XCN589" s="219"/>
      <c r="XCO589" s="219"/>
      <c r="XCP589" s="219"/>
      <c r="XCQ589" s="219"/>
      <c r="XCR589" s="219"/>
      <c r="XCS589" s="219"/>
      <c r="XCT589" s="219"/>
      <c r="XCU589" s="219"/>
      <c r="XCV589" s="219"/>
      <c r="XCW589" s="219"/>
      <c r="XCX589" s="219"/>
      <c r="XCY589" s="219"/>
      <c r="XCZ589" s="219"/>
      <c r="XDA589" s="219"/>
      <c r="XDB589" s="219"/>
      <c r="XDC589" s="219"/>
      <c r="XDD589" s="219"/>
      <c r="XDE589" s="219"/>
      <c r="XDF589" s="219"/>
      <c r="XDG589" s="219"/>
      <c r="XDH589" s="219"/>
      <c r="XDI589" s="219"/>
      <c r="XDJ589" s="219"/>
      <c r="XDK589" s="219"/>
      <c r="XDL589" s="219"/>
      <c r="XDM589" s="219"/>
      <c r="XDN589" s="219"/>
      <c r="XDO589" s="219"/>
      <c r="XDP589" s="219"/>
      <c r="XDQ589" s="219"/>
      <c r="XDR589" s="219"/>
      <c r="XDS589" s="219"/>
      <c r="XDT589" s="219"/>
      <c r="XDU589" s="219"/>
      <c r="XDV589" s="219"/>
      <c r="XDW589" s="219"/>
      <c r="XDX589" s="219"/>
      <c r="XDY589" s="219"/>
      <c r="XDZ589" s="219"/>
      <c r="XEA589" s="219"/>
      <c r="XEB589" s="219"/>
      <c r="XEC589" s="219"/>
      <c r="XED589" s="219"/>
      <c r="XEE589" s="219"/>
      <c r="XEF589" s="219"/>
      <c r="XEG589" s="219"/>
      <c r="XEH589" s="219"/>
      <c r="XEI589" s="219"/>
      <c r="XEJ589" s="219"/>
      <c r="XEK589" s="219"/>
      <c r="XEL589" s="219"/>
      <c r="XEM589" s="219"/>
      <c r="XEN589" s="219"/>
      <c r="XEO589" s="219"/>
      <c r="XEP589" s="219"/>
      <c r="XEQ589" s="219"/>
      <c r="XER589" s="219"/>
      <c r="XES589" s="219"/>
      <c r="XET589" s="219"/>
      <c r="XEU589" s="219"/>
      <c r="XEV589" s="219"/>
      <c r="XEW589" s="219"/>
    </row>
    <row r="590" spans="10:16377" s="72" customFormat="1" hidden="1" x14ac:dyDescent="0.2"/>
    <row r="591" spans="10:16377" s="72" customFormat="1" hidden="1" x14ac:dyDescent="0.2"/>
    <row r="592" spans="10:16377" s="72" customFormat="1" hidden="1" x14ac:dyDescent="0.2"/>
    <row r="593" s="72" customFormat="1" hidden="1" x14ac:dyDescent="0.2"/>
    <row r="594" s="72" customFormat="1" hidden="1" x14ac:dyDescent="0.2"/>
    <row r="595" s="72" customFormat="1" hidden="1" x14ac:dyDescent="0.2"/>
    <row r="596" s="72" customFormat="1" hidden="1" x14ac:dyDescent="0.2"/>
    <row r="597" s="72" customFormat="1" hidden="1" x14ac:dyDescent="0.2"/>
    <row r="598" s="72" customFormat="1" hidden="1" x14ac:dyDescent="0.2"/>
    <row r="599" s="72" customFormat="1" hidden="1" x14ac:dyDescent="0.2"/>
    <row r="600" s="72" customFormat="1" hidden="1" x14ac:dyDescent="0.2"/>
    <row r="601" s="72" customFormat="1" hidden="1" x14ac:dyDescent="0.2"/>
    <row r="602" s="72" customFormat="1" hidden="1" x14ac:dyDescent="0.2"/>
    <row r="603" s="72" customFormat="1" hidden="1" x14ac:dyDescent="0.2"/>
    <row r="604" s="72" customFormat="1" hidden="1" x14ac:dyDescent="0.2"/>
    <row r="605" s="72" customFormat="1" hidden="1" x14ac:dyDescent="0.2"/>
    <row r="606" s="72" customFormat="1" hidden="1" x14ac:dyDescent="0.2"/>
    <row r="607" s="72" customFormat="1" hidden="1" x14ac:dyDescent="0.2"/>
    <row r="608" s="72" customFormat="1" hidden="1" x14ac:dyDescent="0.2"/>
    <row r="609" s="72" customFormat="1" hidden="1" x14ac:dyDescent="0.2"/>
    <row r="610" s="72" customFormat="1" hidden="1" x14ac:dyDescent="0.2"/>
    <row r="611" s="72" customFormat="1" hidden="1" x14ac:dyDescent="0.2"/>
    <row r="612" s="72" customFormat="1" hidden="1" x14ac:dyDescent="0.2"/>
    <row r="613" s="72" customFormat="1" hidden="1" x14ac:dyDescent="0.2"/>
    <row r="614" s="72" customFormat="1" hidden="1" x14ac:dyDescent="0.2"/>
    <row r="615" s="72" customFormat="1" hidden="1" x14ac:dyDescent="0.2"/>
    <row r="616" s="72" customFormat="1" hidden="1" x14ac:dyDescent="0.2"/>
    <row r="617" s="72" customFormat="1" hidden="1" x14ac:dyDescent="0.2"/>
    <row r="618" s="72" customFormat="1" hidden="1" x14ac:dyDescent="0.2"/>
    <row r="619" s="72" customFormat="1" hidden="1" x14ac:dyDescent="0.2"/>
    <row r="620" s="72" customFormat="1" hidden="1" x14ac:dyDescent="0.2"/>
    <row r="621" s="72" customFormat="1" hidden="1" x14ac:dyDescent="0.2"/>
    <row r="622" s="72" customFormat="1" hidden="1" x14ac:dyDescent="0.2"/>
    <row r="623" s="72" customFormat="1" hidden="1" x14ac:dyDescent="0.2"/>
    <row r="624" s="72" customFormat="1" hidden="1" x14ac:dyDescent="0.2"/>
    <row r="625" spans="2:9" s="72" customFormat="1" hidden="1" x14ac:dyDescent="0.2"/>
    <row r="626" spans="2:9" s="72" customFormat="1" hidden="1" x14ac:dyDescent="0.2"/>
    <row r="627" spans="2:9" s="72" customFormat="1" hidden="1" x14ac:dyDescent="0.2"/>
    <row r="628" spans="2:9" s="72" customFormat="1" hidden="1" x14ac:dyDescent="0.2"/>
    <row r="629" spans="2:9" s="72" customFormat="1" hidden="1" x14ac:dyDescent="0.2"/>
    <row r="630" spans="2:9" s="72" customFormat="1" hidden="1" x14ac:dyDescent="0.2"/>
    <row r="631" spans="2:9" s="72" customFormat="1" hidden="1" x14ac:dyDescent="0.2">
      <c r="B631" s="101"/>
    </row>
    <row r="632" spans="2:9" s="72" customFormat="1" hidden="1" x14ac:dyDescent="0.2">
      <c r="B632" s="101"/>
    </row>
    <row r="633" spans="2:9" s="72" customFormat="1" hidden="1" x14ac:dyDescent="0.2">
      <c r="B633" s="101"/>
    </row>
    <row r="634" spans="2:9" s="72" customFormat="1" hidden="1" x14ac:dyDescent="0.2">
      <c r="B634" s="101"/>
    </row>
    <row r="635" spans="2:9" s="72" customFormat="1" hidden="1" x14ac:dyDescent="0.2">
      <c r="B635" s="101"/>
      <c r="C635" s="101"/>
      <c r="D635" s="101"/>
      <c r="E635" s="101"/>
      <c r="F635" s="101"/>
      <c r="G635" s="101"/>
      <c r="H635" s="101"/>
      <c r="I635" s="101"/>
    </row>
    <row r="636" spans="2:9" s="72" customFormat="1" hidden="1" x14ac:dyDescent="0.2">
      <c r="B636" s="101"/>
      <c r="C636" s="101"/>
      <c r="D636" s="101"/>
      <c r="E636" s="101"/>
      <c r="F636" s="101"/>
      <c r="G636" s="101"/>
      <c r="H636" s="101"/>
      <c r="I636" s="101"/>
    </row>
    <row r="637" spans="2:9" s="72" customFormat="1" hidden="1" x14ac:dyDescent="0.2">
      <c r="B637" s="101"/>
      <c r="C637" s="101"/>
      <c r="D637" s="101"/>
      <c r="E637" s="101"/>
      <c r="F637" s="101"/>
      <c r="G637" s="101"/>
      <c r="H637" s="101"/>
      <c r="I637" s="101"/>
    </row>
    <row r="638" spans="2:9" s="72" customFormat="1" hidden="1" x14ac:dyDescent="0.2">
      <c r="B638" s="101"/>
      <c r="C638" s="101"/>
      <c r="D638" s="101"/>
      <c r="E638" s="101"/>
      <c r="F638" s="101"/>
      <c r="G638" s="101"/>
      <c r="H638" s="101"/>
      <c r="I638" s="101"/>
    </row>
    <row r="639" spans="2:9" s="72" customFormat="1" hidden="1" x14ac:dyDescent="0.2">
      <c r="B639" s="101"/>
      <c r="C639" s="101"/>
      <c r="D639" s="101"/>
      <c r="E639" s="101"/>
      <c r="F639" s="101"/>
      <c r="G639" s="101"/>
      <c r="H639" s="101"/>
      <c r="I639" s="101"/>
    </row>
    <row r="640" spans="2:9" s="72" customFormat="1" hidden="1" x14ac:dyDescent="0.2">
      <c r="B640" s="101"/>
      <c r="C640" s="101"/>
      <c r="D640" s="101"/>
      <c r="E640" s="101"/>
      <c r="F640" s="101"/>
      <c r="G640" s="101"/>
      <c r="H640" s="101"/>
      <c r="I640" s="101"/>
    </row>
    <row r="641" spans="1:9" s="72" customFormat="1" hidden="1" x14ac:dyDescent="0.2">
      <c r="B641" s="101"/>
      <c r="C641" s="101"/>
      <c r="D641" s="101"/>
      <c r="E641" s="101"/>
      <c r="F641" s="101"/>
      <c r="G641" s="101"/>
      <c r="H641" s="101"/>
      <c r="I641" s="101"/>
    </row>
    <row r="642" spans="1:9" s="72" customFormat="1" hidden="1" x14ac:dyDescent="0.2">
      <c r="A642" s="101"/>
      <c r="B642" s="101"/>
      <c r="C642" s="101"/>
      <c r="D642" s="101"/>
      <c r="E642" s="101"/>
      <c r="F642" s="101"/>
      <c r="G642" s="101"/>
      <c r="H642" s="101"/>
      <c r="I642" s="101"/>
    </row>
    <row r="643" spans="1:9" s="72" customFormat="1" hidden="1" x14ac:dyDescent="0.2">
      <c r="A643" s="101"/>
      <c r="B643" s="101"/>
      <c r="C643" s="101"/>
      <c r="D643" s="101"/>
      <c r="E643" s="101"/>
      <c r="F643" s="101"/>
      <c r="G643" s="101"/>
      <c r="H643" s="101"/>
      <c r="I643" s="101"/>
    </row>
  </sheetData>
  <sheetProtection algorithmName="SHA-512" hashValue="2sfzgxAosewBy+QcsA5hpgVxF9z6Xtj7E1KLUM3biFQ8FC7DvZUtTNXygYez+ay6V4bam07qeeWUJWGGZkUrqQ==" saltValue="lrLo0Ri9WaI98ag7Br3KBQ==" spinCount="100000" sheet="1" objects="1" scenarios="1"/>
  <conditionalFormatting sqref="A109">
    <cfRule type="duplicateValues" dxfId="46" priority="28"/>
    <cfRule type="duplicateValues" dxfId="45" priority="29"/>
    <cfRule type="duplicateValues" dxfId="44" priority="30"/>
    <cfRule type="duplicateValues" dxfId="43" priority="31"/>
    <cfRule type="duplicateValues" dxfId="42" priority="32"/>
    <cfRule type="duplicateValues" dxfId="41" priority="33"/>
  </conditionalFormatting>
  <conditionalFormatting sqref="A159">
    <cfRule type="duplicateValues" dxfId="40" priority="22"/>
    <cfRule type="duplicateValues" dxfId="39" priority="23"/>
    <cfRule type="duplicateValues" dxfId="38" priority="24"/>
    <cfRule type="duplicateValues" dxfId="37" priority="25"/>
    <cfRule type="duplicateValues" dxfId="36" priority="26"/>
    <cfRule type="duplicateValues" dxfId="35" priority="27"/>
  </conditionalFormatting>
  <conditionalFormatting sqref="A191">
    <cfRule type="duplicateValues" dxfId="34" priority="16"/>
    <cfRule type="duplicateValues" dxfId="33" priority="17"/>
    <cfRule type="duplicateValues" dxfId="32" priority="18"/>
    <cfRule type="duplicateValues" dxfId="31" priority="19"/>
    <cfRule type="duplicateValues" dxfId="30" priority="20"/>
    <cfRule type="duplicateValues" dxfId="29" priority="21"/>
  </conditionalFormatting>
  <conditionalFormatting sqref="A207">
    <cfRule type="duplicateValues" dxfId="28" priority="10"/>
    <cfRule type="duplicateValues" dxfId="27" priority="11"/>
    <cfRule type="duplicateValues" dxfId="26" priority="12"/>
    <cfRule type="duplicateValues" dxfId="25" priority="13"/>
    <cfRule type="duplicateValues" dxfId="24" priority="14"/>
    <cfRule type="duplicateValues" dxfId="23" priority="15"/>
  </conditionalFormatting>
  <conditionalFormatting sqref="B2:B480">
    <cfRule type="duplicateValues" dxfId="22" priority="915"/>
  </conditionalFormatting>
  <conditionalFormatting sqref="B481:B1048576 B1">
    <cfRule type="duplicateValues" dxfId="21" priority="2"/>
    <cfRule type="duplicateValues" dxfId="20" priority="3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Arkusz3"/>
  <dimension ref="A1:JG198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8.7109375" style="1" customWidth="1"/>
    <col min="2" max="2" width="2.140625" style="1" bestFit="1" customWidth="1"/>
    <col min="3" max="3" width="8.140625" style="1" customWidth="1"/>
    <col min="4" max="4" width="28.140625" style="1" bestFit="1" customWidth="1"/>
    <col min="5" max="5" width="11.42578125" style="1" bestFit="1" customWidth="1"/>
    <col min="6" max="6" width="2.140625" style="1" bestFit="1" customWidth="1"/>
    <col min="7" max="7" width="10.140625" style="1" bestFit="1" customWidth="1"/>
    <col min="8" max="8" width="2.140625" style="1" bestFit="1" customWidth="1"/>
    <col min="9" max="9" width="3.42578125" style="1" bestFit="1" customWidth="1"/>
    <col min="10" max="10" width="5.42578125" style="1" bestFit="1" customWidth="1"/>
    <col min="11" max="11" width="9.140625" style="1" customWidth="1"/>
    <col min="12" max="12" width="17.28515625" style="1" bestFit="1" customWidth="1"/>
    <col min="13" max="13" width="13.85546875" style="1" customWidth="1"/>
    <col min="14" max="15" width="6" style="1" bestFit="1" customWidth="1"/>
    <col min="16" max="16" width="12.42578125" style="1" bestFit="1" customWidth="1"/>
    <col min="17" max="17" width="15" style="1" bestFit="1" customWidth="1"/>
    <col min="18" max="18" width="5.7109375" style="1" bestFit="1" customWidth="1"/>
    <col min="19" max="19" width="21.140625" style="1" bestFit="1" customWidth="1"/>
    <col min="20" max="20" width="23.85546875" style="1" bestFit="1" customWidth="1"/>
    <col min="21" max="21" width="17.28515625" style="1" bestFit="1" customWidth="1"/>
    <col min="22" max="22" width="9.140625" style="20" customWidth="1"/>
    <col min="23" max="23" width="11" style="20" bestFit="1" customWidth="1"/>
    <col min="24" max="33" width="9.140625" style="20" customWidth="1"/>
    <col min="34" max="34" width="12.42578125" style="20" customWidth="1"/>
    <col min="35" max="52" width="9.140625" style="20" hidden="1" customWidth="1"/>
    <col min="53" max="53" width="13.7109375" style="20" hidden="1" customWidth="1"/>
    <col min="54" max="104" width="4.28515625" style="20" hidden="1" customWidth="1"/>
    <col min="105" max="107" width="9.140625" style="24" hidden="1" customWidth="1"/>
    <col min="108" max="108" width="9.140625" style="20" hidden="1" customWidth="1"/>
    <col min="109" max="129" width="4.28515625" style="20" hidden="1" customWidth="1"/>
    <col min="130" max="133" width="9.140625" style="20" hidden="1" customWidth="1"/>
    <col min="134" max="184" width="4.28515625" style="20" hidden="1" customWidth="1"/>
    <col min="185" max="187" width="9.140625" style="20" hidden="1" customWidth="1"/>
    <col min="188" max="238" width="4.28515625" style="20" hidden="1" customWidth="1"/>
    <col min="239" max="240" width="9.140625" style="20" hidden="1" customWidth="1"/>
    <col min="241" max="267" width="3.7109375" style="20" hidden="1" customWidth="1"/>
    <col min="268" max="16384" width="9.140625" style="20" hidden="1"/>
  </cols>
  <sheetData>
    <row r="1" spans="1:266" ht="39" x14ac:dyDescent="0.25">
      <c r="A1" s="3" t="s">
        <v>549</v>
      </c>
      <c r="B1" s="3"/>
      <c r="C1" s="3" t="s">
        <v>550</v>
      </c>
      <c r="D1" s="4"/>
      <c r="E1" s="4"/>
      <c r="F1" s="4"/>
      <c r="G1" s="4"/>
      <c r="H1" s="4"/>
      <c r="I1" s="4"/>
      <c r="J1" s="4"/>
      <c r="K1" s="4"/>
      <c r="L1" s="221" t="str">
        <f>IF(E5=AB1,"KONŠTRUKCIA DS-V1N",IF(E5=AB2,"KONŠTRUKCIA DS-H1N"))</f>
        <v>KONŠTRUKCIA DS-V1N</v>
      </c>
      <c r="M1" s="221"/>
      <c r="N1" s="221"/>
      <c r="O1" s="221"/>
      <c r="P1" s="221"/>
      <c r="Q1" s="221"/>
      <c r="R1" s="221"/>
      <c r="S1" s="221"/>
      <c r="T1" s="221"/>
      <c r="U1" s="221"/>
      <c r="V1" s="19"/>
      <c r="W1" s="19" t="s">
        <v>93</v>
      </c>
      <c r="X1" s="25" t="s">
        <v>73</v>
      </c>
      <c r="Y1" s="19" t="s">
        <v>70</v>
      </c>
      <c r="Z1" s="19"/>
      <c r="AA1" s="19"/>
      <c r="AB1" s="19" t="s">
        <v>462</v>
      </c>
      <c r="AC1" s="19" t="s">
        <v>464</v>
      </c>
      <c r="AD1" s="85" t="s">
        <v>466</v>
      </c>
      <c r="AE1" s="19"/>
      <c r="AF1" s="19"/>
      <c r="AG1" s="19"/>
      <c r="AH1" s="19"/>
      <c r="AI1" s="19"/>
      <c r="AJ1" s="19"/>
      <c r="AK1" s="19"/>
      <c r="AL1" s="19"/>
      <c r="AM1" s="220" t="s">
        <v>93</v>
      </c>
      <c r="AN1" s="220"/>
      <c r="AO1" s="220"/>
      <c r="AP1" s="220"/>
      <c r="AQ1" s="220"/>
      <c r="AR1" s="220"/>
      <c r="AS1" s="19"/>
      <c r="AT1" s="19"/>
      <c r="AU1" s="19"/>
      <c r="AV1" s="19"/>
      <c r="AW1" s="19"/>
      <c r="AX1" s="19"/>
      <c r="AY1" s="19"/>
      <c r="AZ1" s="19"/>
      <c r="BA1" s="19" t="s">
        <v>59</v>
      </c>
      <c r="BB1" s="19"/>
      <c r="BC1" s="19"/>
      <c r="BD1" s="19"/>
      <c r="BE1" s="19"/>
      <c r="BF1" s="19"/>
      <c r="BG1" s="19"/>
      <c r="BH1" s="19"/>
      <c r="BI1" s="19"/>
      <c r="BJ1" s="19"/>
      <c r="BK1" s="19"/>
      <c r="BL1" s="19"/>
      <c r="BM1" s="19"/>
      <c r="BN1" s="19"/>
      <c r="BO1" s="19"/>
      <c r="BP1" s="19"/>
      <c r="BQ1" s="19"/>
      <c r="BR1" s="19"/>
      <c r="BS1" s="19"/>
      <c r="BT1" s="19"/>
      <c r="BU1" s="19"/>
      <c r="BV1" s="19"/>
      <c r="BW1" s="19"/>
      <c r="BX1" s="19"/>
      <c r="BY1" s="19"/>
      <c r="BZ1" s="19"/>
      <c r="CA1" s="19"/>
      <c r="CB1" s="19"/>
      <c r="CC1" s="19"/>
      <c r="CD1" s="19"/>
      <c r="CE1" s="19"/>
      <c r="CF1" s="19"/>
      <c r="CG1" s="19"/>
      <c r="CH1" s="19"/>
      <c r="CI1" s="19"/>
      <c r="CJ1" s="19"/>
      <c r="CK1" s="19"/>
      <c r="CL1" s="19"/>
      <c r="CM1" s="19"/>
      <c r="CN1" s="19"/>
      <c r="CO1" s="19"/>
      <c r="CP1" s="19"/>
      <c r="CQ1" s="19"/>
      <c r="CR1" s="19"/>
      <c r="CS1" s="19"/>
      <c r="CT1" s="19"/>
      <c r="CU1" s="19"/>
      <c r="CV1" s="19"/>
      <c r="CW1" s="19"/>
      <c r="CX1" s="19"/>
      <c r="CY1" s="19"/>
      <c r="CZ1" s="19"/>
      <c r="DA1" s="17"/>
      <c r="DB1" s="17"/>
      <c r="DC1" s="17"/>
      <c r="DD1" s="19" t="s">
        <v>59</v>
      </c>
      <c r="DE1" s="19">
        <v>0</v>
      </c>
      <c r="DF1" s="19">
        <v>1</v>
      </c>
      <c r="DG1" s="19">
        <v>2</v>
      </c>
      <c r="DH1" s="19">
        <v>3</v>
      </c>
      <c r="DI1" s="19">
        <v>4</v>
      </c>
      <c r="DJ1" s="19">
        <v>5</v>
      </c>
      <c r="DK1" s="19">
        <v>6</v>
      </c>
      <c r="DL1" s="19">
        <v>7</v>
      </c>
      <c r="DM1" s="19">
        <v>8</v>
      </c>
      <c r="DN1" s="19">
        <v>9</v>
      </c>
      <c r="DO1" s="19">
        <v>10</v>
      </c>
      <c r="DP1" s="19">
        <v>11</v>
      </c>
      <c r="DQ1" s="19">
        <v>12</v>
      </c>
      <c r="DR1" s="19">
        <v>13</v>
      </c>
      <c r="DS1" s="19">
        <v>14</v>
      </c>
      <c r="DT1" s="19">
        <v>15</v>
      </c>
      <c r="DU1" s="19">
        <v>16</v>
      </c>
      <c r="DV1" s="19">
        <v>17</v>
      </c>
      <c r="DW1" s="19">
        <v>18</v>
      </c>
      <c r="DX1" s="19">
        <v>19</v>
      </c>
      <c r="DY1" s="19">
        <v>20</v>
      </c>
      <c r="DZ1" s="19"/>
      <c r="EA1" s="19"/>
      <c r="EB1" s="19" t="s">
        <v>56</v>
      </c>
      <c r="EC1" s="19"/>
      <c r="ED1" s="19"/>
      <c r="EE1" s="19"/>
      <c r="EF1" s="19"/>
      <c r="EG1" s="19"/>
      <c r="EH1" s="19"/>
      <c r="EI1" s="19"/>
      <c r="EJ1" s="19"/>
      <c r="EK1" s="19"/>
      <c r="EL1" s="19"/>
      <c r="EM1" s="19"/>
      <c r="EN1" s="19"/>
      <c r="EO1" s="19"/>
      <c r="EP1" s="19"/>
      <c r="EQ1" s="19"/>
      <c r="ER1" s="19"/>
      <c r="ES1" s="19"/>
      <c r="ET1" s="19"/>
      <c r="EU1" s="19"/>
      <c r="EV1" s="19"/>
      <c r="EW1" s="19"/>
      <c r="EX1" s="19"/>
      <c r="EY1" s="19"/>
      <c r="EZ1" s="19"/>
      <c r="FA1" s="19"/>
      <c r="FB1" s="19"/>
      <c r="FC1" s="19"/>
      <c r="FD1" s="19"/>
      <c r="FE1" s="19"/>
      <c r="FF1" s="19"/>
      <c r="FG1" s="19"/>
      <c r="FH1" s="19"/>
      <c r="FI1" s="19"/>
      <c r="FJ1" s="19"/>
      <c r="FK1" s="19"/>
      <c r="FL1" s="19"/>
      <c r="FM1" s="19"/>
      <c r="FN1" s="19"/>
      <c r="FO1" s="19"/>
      <c r="FP1" s="19"/>
      <c r="FQ1" s="19"/>
      <c r="FR1" s="19"/>
      <c r="FS1" s="19"/>
      <c r="FT1" s="19"/>
      <c r="FU1" s="19"/>
      <c r="FV1" s="19"/>
      <c r="FW1" s="19"/>
      <c r="FX1" s="19"/>
      <c r="FY1" s="19"/>
      <c r="FZ1" s="19"/>
      <c r="GA1" s="19"/>
      <c r="GC1" s="19"/>
      <c r="GD1" s="19"/>
      <c r="GE1" s="19" t="s">
        <v>196</v>
      </c>
      <c r="GF1" s="19"/>
      <c r="GG1" s="19"/>
      <c r="GH1" s="19"/>
      <c r="GI1" s="19"/>
      <c r="GJ1" s="19"/>
      <c r="GK1" s="19"/>
      <c r="GL1" s="19"/>
      <c r="GM1" s="19"/>
      <c r="GN1" s="19"/>
      <c r="GO1" s="19"/>
      <c r="GP1" s="19"/>
      <c r="GQ1" s="19"/>
      <c r="GR1" s="19"/>
      <c r="GS1" s="19"/>
      <c r="GT1" s="19"/>
      <c r="GU1" s="19"/>
      <c r="GV1" s="19"/>
      <c r="GW1" s="19"/>
      <c r="GX1" s="19"/>
      <c r="GY1" s="19"/>
      <c r="GZ1" s="19"/>
      <c r="HA1" s="19"/>
      <c r="HB1" s="19"/>
      <c r="HC1" s="19"/>
      <c r="HD1" s="19"/>
      <c r="HE1" s="19"/>
      <c r="HF1" s="19"/>
      <c r="HG1" s="19"/>
      <c r="HH1" s="19"/>
      <c r="HI1" s="19"/>
      <c r="HJ1" s="19"/>
      <c r="HK1" s="19"/>
      <c r="HL1" s="19"/>
      <c r="HM1" s="19"/>
      <c r="HN1" s="19"/>
      <c r="HO1" s="19"/>
      <c r="HP1" s="19"/>
      <c r="HQ1" s="19"/>
      <c r="HR1" s="19"/>
      <c r="HS1" s="19"/>
      <c r="HT1" s="19"/>
      <c r="HU1" s="19"/>
      <c r="HV1" s="19"/>
      <c r="HW1" s="19"/>
      <c r="HX1" s="19"/>
      <c r="HY1" s="19"/>
      <c r="HZ1" s="19"/>
      <c r="IA1" s="19"/>
      <c r="IB1" s="19"/>
      <c r="IC1" s="19"/>
      <c r="ID1" s="19"/>
      <c r="IF1" s="20" t="s">
        <v>351</v>
      </c>
    </row>
    <row r="2" spans="1:266" x14ac:dyDescent="0.25">
      <c r="A2" s="8"/>
      <c r="B2" s="5" t="s">
        <v>61</v>
      </c>
      <c r="C2" s="8"/>
      <c r="D2" s="4"/>
      <c r="E2" s="4"/>
      <c r="F2" s="4"/>
      <c r="G2" s="4"/>
      <c r="H2" s="4"/>
      <c r="I2" s="4"/>
      <c r="J2" s="4"/>
      <c r="K2" s="4"/>
      <c r="L2" s="5" t="s">
        <v>53</v>
      </c>
      <c r="M2" s="5" t="s">
        <v>559</v>
      </c>
      <c r="N2" s="5" t="s">
        <v>436</v>
      </c>
      <c r="O2" s="5" t="s">
        <v>442</v>
      </c>
      <c r="P2" s="5" t="s">
        <v>443</v>
      </c>
      <c r="Q2" s="5" t="s">
        <v>444</v>
      </c>
      <c r="R2" s="5" t="s">
        <v>445</v>
      </c>
      <c r="S2" s="5" t="s">
        <v>446</v>
      </c>
      <c r="T2" s="5" t="s">
        <v>447</v>
      </c>
      <c r="U2" s="5" t="s">
        <v>438</v>
      </c>
      <c r="V2" s="19"/>
      <c r="W2" s="19" t="str">
        <f>IF(E5=AB1,G3,IF(E5="AB2",E3,0))</f>
        <v>1150-1200</v>
      </c>
      <c r="X2" s="25">
        <f>((IF($E$5=$AB$1,(IF(A2=0,0,IF(A2&gt;0,IF((((INT(((A2*$W$5)+((A2-1)*20)+80)/$E$4))-1)*$E$4)+500&gt;=((A2*$W$5)+((A2-1)*20)+80),(INT(((A2*$W$5)+((A2-1)*20)+80)/$E$4))*2,((INT(((A2*$W$5)+((A2-1)*20)+80)/$E$4))+1)*2)))),IF($E$5=$AB$2,(IF(A2=0,0,IF(A2&gt;0,IF((((INT(((A2*$W$6)+((A2-1)*20)+80)/$E$4))-1)*$E$4)+500&gt;=((A2*$W$6)+((A2-1)*20)+80),(INT(((A2*$W$6)+((A2-1)*20)+80)/$E$4))*2,((INT(((A2*$W$6)+((A2-1)*20)+80)/$E$4))+1)*2)))))))*C2)</f>
        <v>0</v>
      </c>
      <c r="Y2" s="19" t="s">
        <v>75</v>
      </c>
      <c r="Z2" s="19"/>
      <c r="AA2" s="19"/>
      <c r="AB2" s="19" t="s">
        <v>463</v>
      </c>
      <c r="AC2" s="19" t="s">
        <v>465</v>
      </c>
      <c r="AD2" s="85" t="s">
        <v>467</v>
      </c>
      <c r="AE2" s="19"/>
      <c r="AF2" s="19"/>
      <c r="AG2" s="19"/>
      <c r="AH2" s="19"/>
      <c r="AI2" s="19"/>
      <c r="AJ2" s="19"/>
      <c r="AK2" s="19"/>
      <c r="AL2" s="19"/>
      <c r="AM2" s="26" t="s">
        <v>94</v>
      </c>
      <c r="AN2" s="28">
        <v>1.1499999999999999</v>
      </c>
      <c r="AO2" s="28">
        <v>2.1</v>
      </c>
      <c r="AP2" s="28">
        <v>2.2000000000000002</v>
      </c>
      <c r="AQ2" s="28">
        <v>3.15</v>
      </c>
      <c r="AR2" s="28">
        <v>3.3</v>
      </c>
      <c r="AS2" s="19"/>
      <c r="AT2" s="19"/>
      <c r="AU2" s="19"/>
      <c r="AV2" s="19"/>
      <c r="AW2" s="19"/>
      <c r="AX2" s="19"/>
      <c r="AY2" s="19"/>
      <c r="AZ2" s="19"/>
      <c r="BA2" s="19"/>
      <c r="BB2" s="26">
        <v>0</v>
      </c>
      <c r="BC2" s="26">
        <v>1</v>
      </c>
      <c r="BD2" s="26">
        <v>2</v>
      </c>
      <c r="BE2" s="26">
        <v>3</v>
      </c>
      <c r="BF2" s="26">
        <v>4</v>
      </c>
      <c r="BG2" s="26">
        <v>5</v>
      </c>
      <c r="BH2" s="26">
        <v>6</v>
      </c>
      <c r="BI2" s="26">
        <v>7</v>
      </c>
      <c r="BJ2" s="26">
        <v>8</v>
      </c>
      <c r="BK2" s="26">
        <v>9</v>
      </c>
      <c r="BL2" s="26">
        <v>10</v>
      </c>
      <c r="BM2" s="26">
        <v>11</v>
      </c>
      <c r="BN2" s="26">
        <v>12</v>
      </c>
      <c r="BO2" s="26">
        <v>13</v>
      </c>
      <c r="BP2" s="26">
        <v>14</v>
      </c>
      <c r="BQ2" s="26">
        <v>15</v>
      </c>
      <c r="BR2" s="26">
        <v>16</v>
      </c>
      <c r="BS2" s="26">
        <v>17</v>
      </c>
      <c r="BT2" s="26">
        <v>18</v>
      </c>
      <c r="BU2" s="26">
        <v>19</v>
      </c>
      <c r="BV2" s="26">
        <v>20</v>
      </c>
      <c r="BW2" s="26">
        <v>21</v>
      </c>
      <c r="BX2" s="26">
        <v>22</v>
      </c>
      <c r="BY2" s="26">
        <v>23</v>
      </c>
      <c r="BZ2" s="26">
        <v>24</v>
      </c>
      <c r="CA2" s="26">
        <v>25</v>
      </c>
      <c r="CB2" s="26">
        <v>26</v>
      </c>
      <c r="CC2" s="26">
        <v>27</v>
      </c>
      <c r="CD2" s="26">
        <v>28</v>
      </c>
      <c r="CE2" s="26">
        <v>29</v>
      </c>
      <c r="CF2" s="26">
        <v>30</v>
      </c>
      <c r="CG2" s="26">
        <v>31</v>
      </c>
      <c r="CH2" s="26">
        <v>32</v>
      </c>
      <c r="CI2" s="26">
        <v>33</v>
      </c>
      <c r="CJ2" s="26">
        <v>34</v>
      </c>
      <c r="CK2" s="26">
        <v>35</v>
      </c>
      <c r="CL2" s="26">
        <v>36</v>
      </c>
      <c r="CM2" s="26">
        <v>37</v>
      </c>
      <c r="CN2" s="26">
        <v>38</v>
      </c>
      <c r="CO2" s="26">
        <v>39</v>
      </c>
      <c r="CP2" s="26">
        <v>40</v>
      </c>
      <c r="CQ2" s="26">
        <v>41</v>
      </c>
      <c r="CR2" s="26">
        <v>42</v>
      </c>
      <c r="CS2" s="26">
        <v>43</v>
      </c>
      <c r="CT2" s="26">
        <v>44</v>
      </c>
      <c r="CU2" s="26">
        <v>45</v>
      </c>
      <c r="CV2" s="26">
        <v>46</v>
      </c>
      <c r="CW2" s="26">
        <v>47</v>
      </c>
      <c r="CX2" s="26">
        <v>48</v>
      </c>
      <c r="CY2" s="26">
        <v>49</v>
      </c>
      <c r="CZ2" s="26">
        <v>50</v>
      </c>
      <c r="DA2" s="17"/>
      <c r="DB2" s="17">
        <v>1</v>
      </c>
      <c r="DC2" s="17"/>
      <c r="DD2" s="19" t="s">
        <v>64</v>
      </c>
      <c r="DE2" s="19">
        <v>0</v>
      </c>
      <c r="DF2" s="19">
        <v>2</v>
      </c>
      <c r="DG2" s="19">
        <v>2</v>
      </c>
      <c r="DH2" s="19">
        <v>0</v>
      </c>
      <c r="DI2" s="19">
        <v>4</v>
      </c>
      <c r="DJ2" s="19">
        <v>2</v>
      </c>
      <c r="DK2" s="19">
        <v>0</v>
      </c>
      <c r="DL2" s="19">
        <v>4</v>
      </c>
      <c r="DM2" s="19">
        <v>2</v>
      </c>
      <c r="DN2" s="19">
        <v>0</v>
      </c>
      <c r="DO2" s="19">
        <v>4</v>
      </c>
      <c r="DP2" s="19">
        <v>2</v>
      </c>
      <c r="DQ2" s="19">
        <v>0</v>
      </c>
      <c r="DR2" s="19">
        <v>4</v>
      </c>
      <c r="DS2" s="19">
        <v>2</v>
      </c>
      <c r="DT2" s="19">
        <v>2</v>
      </c>
      <c r="DU2" s="19">
        <v>0</v>
      </c>
      <c r="DV2" s="19">
        <v>4</v>
      </c>
      <c r="DW2" s="19">
        <v>2</v>
      </c>
      <c r="DX2" s="19">
        <v>0</v>
      </c>
      <c r="DY2" s="19">
        <v>4</v>
      </c>
      <c r="DZ2" s="19"/>
      <c r="EA2" s="19"/>
      <c r="EB2" s="19"/>
      <c r="EC2" s="19">
        <v>0</v>
      </c>
      <c r="ED2" s="19">
        <v>1</v>
      </c>
      <c r="EE2" s="19">
        <v>2</v>
      </c>
      <c r="EF2" s="19">
        <v>3</v>
      </c>
      <c r="EG2" s="19">
        <v>4</v>
      </c>
      <c r="EH2" s="19">
        <v>5</v>
      </c>
      <c r="EI2" s="19">
        <v>6</v>
      </c>
      <c r="EJ2" s="19">
        <v>7</v>
      </c>
      <c r="EK2" s="19">
        <v>8</v>
      </c>
      <c r="EL2" s="19">
        <v>9</v>
      </c>
      <c r="EM2" s="19">
        <v>10</v>
      </c>
      <c r="EN2" s="19">
        <v>11</v>
      </c>
      <c r="EO2" s="19">
        <v>12</v>
      </c>
      <c r="EP2" s="19">
        <v>13</v>
      </c>
      <c r="EQ2" s="19">
        <v>14</v>
      </c>
      <c r="ER2" s="19">
        <v>15</v>
      </c>
      <c r="ES2" s="19">
        <v>16</v>
      </c>
      <c r="ET2" s="19">
        <v>17</v>
      </c>
      <c r="EU2" s="19">
        <v>18</v>
      </c>
      <c r="EV2" s="19">
        <v>19</v>
      </c>
      <c r="EW2" s="19">
        <v>20</v>
      </c>
      <c r="EX2" s="19">
        <v>21</v>
      </c>
      <c r="EY2" s="19">
        <v>22</v>
      </c>
      <c r="EZ2" s="19">
        <v>23</v>
      </c>
      <c r="FA2" s="19">
        <v>24</v>
      </c>
      <c r="FB2" s="19">
        <v>25</v>
      </c>
      <c r="FC2" s="19">
        <v>26</v>
      </c>
      <c r="FD2" s="19">
        <v>27</v>
      </c>
      <c r="FE2" s="19">
        <v>28</v>
      </c>
      <c r="FF2" s="19">
        <v>29</v>
      </c>
      <c r="FG2" s="19">
        <v>30</v>
      </c>
      <c r="FH2" s="19">
        <v>31</v>
      </c>
      <c r="FI2" s="19">
        <v>32</v>
      </c>
      <c r="FJ2" s="19">
        <v>33</v>
      </c>
      <c r="FK2" s="19">
        <v>34</v>
      </c>
      <c r="FL2" s="19">
        <v>35</v>
      </c>
      <c r="FM2" s="19">
        <v>36</v>
      </c>
      <c r="FN2" s="19">
        <v>37</v>
      </c>
      <c r="FO2" s="19">
        <v>38</v>
      </c>
      <c r="FP2" s="19">
        <v>39</v>
      </c>
      <c r="FQ2" s="19">
        <v>40</v>
      </c>
      <c r="FR2" s="19">
        <v>41</v>
      </c>
      <c r="FS2" s="19">
        <v>42</v>
      </c>
      <c r="FT2" s="19">
        <v>43</v>
      </c>
      <c r="FU2" s="19">
        <v>44</v>
      </c>
      <c r="FV2" s="19">
        <v>45</v>
      </c>
      <c r="FW2" s="19">
        <v>46</v>
      </c>
      <c r="FX2" s="19">
        <v>47</v>
      </c>
      <c r="FY2" s="19">
        <v>48</v>
      </c>
      <c r="FZ2" s="19">
        <v>49</v>
      </c>
      <c r="GA2" s="19">
        <v>50</v>
      </c>
      <c r="GC2" s="19"/>
      <c r="GD2" s="19"/>
      <c r="GE2" s="19"/>
      <c r="GF2" s="19">
        <v>0</v>
      </c>
      <c r="GG2" s="19">
        <v>1</v>
      </c>
      <c r="GH2" s="19">
        <v>2</v>
      </c>
      <c r="GI2" s="19">
        <v>3</v>
      </c>
      <c r="GJ2" s="19">
        <v>4</v>
      </c>
      <c r="GK2" s="19">
        <v>5</v>
      </c>
      <c r="GL2" s="19">
        <v>6</v>
      </c>
      <c r="GM2" s="19">
        <v>7</v>
      </c>
      <c r="GN2" s="19">
        <v>8</v>
      </c>
      <c r="GO2" s="19">
        <v>9</v>
      </c>
      <c r="GP2" s="19">
        <v>10</v>
      </c>
      <c r="GQ2" s="19">
        <v>11</v>
      </c>
      <c r="GR2" s="19">
        <v>12</v>
      </c>
      <c r="GS2" s="19">
        <v>13</v>
      </c>
      <c r="GT2" s="19">
        <v>14</v>
      </c>
      <c r="GU2" s="19">
        <v>15</v>
      </c>
      <c r="GV2" s="19">
        <v>16</v>
      </c>
      <c r="GW2" s="19">
        <v>17</v>
      </c>
      <c r="GX2" s="19">
        <v>18</v>
      </c>
      <c r="GY2" s="19">
        <v>19</v>
      </c>
      <c r="GZ2" s="19">
        <v>20</v>
      </c>
      <c r="HA2" s="19">
        <v>21</v>
      </c>
      <c r="HB2" s="19">
        <v>22</v>
      </c>
      <c r="HC2" s="19">
        <v>23</v>
      </c>
      <c r="HD2" s="19">
        <v>24</v>
      </c>
      <c r="HE2" s="19">
        <v>25</v>
      </c>
      <c r="HF2" s="19">
        <v>26</v>
      </c>
      <c r="HG2" s="19">
        <v>27</v>
      </c>
      <c r="HH2" s="19">
        <v>28</v>
      </c>
      <c r="HI2" s="19">
        <v>29</v>
      </c>
      <c r="HJ2" s="19">
        <v>30</v>
      </c>
      <c r="HK2" s="19">
        <v>31</v>
      </c>
      <c r="HL2" s="19">
        <v>32</v>
      </c>
      <c r="HM2" s="19">
        <v>33</v>
      </c>
      <c r="HN2" s="19">
        <v>34</v>
      </c>
      <c r="HO2" s="19">
        <v>35</v>
      </c>
      <c r="HP2" s="19">
        <v>36</v>
      </c>
      <c r="HQ2" s="19">
        <v>37</v>
      </c>
      <c r="HR2" s="19">
        <v>38</v>
      </c>
      <c r="HS2" s="19">
        <v>39</v>
      </c>
      <c r="HT2" s="19">
        <v>40</v>
      </c>
      <c r="HU2" s="19">
        <v>41</v>
      </c>
      <c r="HV2" s="19">
        <v>42</v>
      </c>
      <c r="HW2" s="19">
        <v>43</v>
      </c>
      <c r="HX2" s="19">
        <v>44</v>
      </c>
      <c r="HY2" s="19">
        <v>45</v>
      </c>
      <c r="HZ2" s="19">
        <v>46</v>
      </c>
      <c r="IA2" s="19">
        <v>47</v>
      </c>
      <c r="IB2" s="19">
        <v>48</v>
      </c>
      <c r="IC2" s="19">
        <v>49</v>
      </c>
      <c r="ID2" s="19">
        <v>50</v>
      </c>
      <c r="IG2" s="20">
        <v>0</v>
      </c>
      <c r="IH2" s="20">
        <v>1</v>
      </c>
      <c r="II2" s="20">
        <v>2</v>
      </c>
      <c r="IJ2" s="20">
        <v>3</v>
      </c>
      <c r="IK2" s="20">
        <v>4</v>
      </c>
      <c r="IL2" s="20">
        <v>5</v>
      </c>
      <c r="IM2" s="20">
        <v>6</v>
      </c>
      <c r="IN2" s="20">
        <v>7</v>
      </c>
      <c r="IO2" s="20">
        <v>8</v>
      </c>
      <c r="IP2" s="20">
        <v>9</v>
      </c>
      <c r="IQ2" s="20">
        <v>10</v>
      </c>
      <c r="IR2" s="20">
        <v>11</v>
      </c>
      <c r="IS2" s="20">
        <v>12</v>
      </c>
      <c r="IT2" s="20">
        <v>13</v>
      </c>
      <c r="IU2" s="20">
        <v>14</v>
      </c>
      <c r="IV2" s="20">
        <v>15</v>
      </c>
      <c r="IW2" s="20">
        <v>16</v>
      </c>
      <c r="IX2" s="20">
        <v>17</v>
      </c>
      <c r="IY2" s="20">
        <v>18</v>
      </c>
      <c r="IZ2" s="20">
        <v>19</v>
      </c>
      <c r="JA2" s="20">
        <v>20</v>
      </c>
      <c r="JB2" s="20">
        <v>21</v>
      </c>
      <c r="JC2" s="20">
        <v>22</v>
      </c>
      <c r="JD2" s="20">
        <v>23</v>
      </c>
      <c r="JE2" s="20">
        <v>24</v>
      </c>
      <c r="JF2" s="20">
        <v>25</v>
      </c>
    </row>
    <row r="3" spans="1:266" x14ac:dyDescent="0.25">
      <c r="A3" s="8"/>
      <c r="B3" s="5" t="s">
        <v>61</v>
      </c>
      <c r="C3" s="8"/>
      <c r="D3" s="6" t="s">
        <v>452</v>
      </c>
      <c r="E3" s="8" t="s">
        <v>72</v>
      </c>
      <c r="F3" s="5" t="s">
        <v>61</v>
      </c>
      <c r="G3" s="8" t="s">
        <v>329</v>
      </c>
      <c r="H3" s="5" t="s">
        <v>61</v>
      </c>
      <c r="I3" s="8">
        <v>30</v>
      </c>
      <c r="J3" s="5" t="s">
        <v>62</v>
      </c>
      <c r="K3" s="4"/>
      <c r="L3" s="6" t="str">
        <f>IF($E$10=AK22,"PAL40H40/1,15",IF($E$10=AK23,"PAL30H32/1,15","-------"))</f>
        <v>PAL40H40/1,15</v>
      </c>
      <c r="M3" s="14">
        <f>INDEX(cenník!$A$2:$I$568,MATCH($L3,cenník!$B$2:$B$557,0),MATCH(M$2,cenník!$A$1:$I$1,0))</f>
        <v>894510</v>
      </c>
      <c r="N3" s="14" t="str">
        <f>INDEX(cenník!$A$2:$I$568,MATCH($L3,cenník!$B$2:$B$557,0),MATCH(N$2,cenník!$A$1:$I$1,0))</f>
        <v>ks</v>
      </c>
      <c r="O3" s="14">
        <f>IF(L3="-------",0,SUM(AN3:AN18))</f>
        <v>0</v>
      </c>
      <c r="P3" s="21">
        <f>INDEX(cenník!$A$2:$I$568,MATCH($L3,cenník!$B$2:$B$557,0),MATCH(P$2,cenník!$A$1:$I$1,0))</f>
        <v>11.08</v>
      </c>
      <c r="Q3" s="21">
        <f>O3*P3</f>
        <v>0</v>
      </c>
      <c r="R3" s="22">
        <f>$E$9</f>
        <v>0</v>
      </c>
      <c r="S3" s="21">
        <f>P3*((100-$E$9)/100)</f>
        <v>11.08</v>
      </c>
      <c r="T3" s="21">
        <f>O3*S3</f>
        <v>0</v>
      </c>
      <c r="U3" s="21">
        <f>INDEX(cenník!$A$2:$I$568,MATCH($L3,cenník!$B$2:$B$557,0),MATCH(U$2,cenník!$A$1:$I$1,0))*O3</f>
        <v>0</v>
      </c>
      <c r="V3" s="19"/>
      <c r="W3" s="19"/>
      <c r="X3" s="25">
        <f>((IF($E$5=$AB$1,(IF(A3=0,0,IF(A3&gt;0,IF((((INT(((A3*$W$5)+((A3-1)*20)+80)/$E$4))-1)*$E$4)+500&gt;=((A3*$W$5)+((A3-1)*20)+80),(INT(((A3*$W$5)+((A3-1)*20)+80)/$E$4))*2,((INT(((A3*$W$5)+((A3-1)*20)+80)/$E$4))+1)*2)))),IF($E$5=$AB$2,(IF(A3=0,0,IF(A3&gt;0,IF((((INT(((A3*$W$6)+((A3-1)*20)+80)/$E$4))-1)*$E$4)+500&gt;=((A3*$W$6)+((A3-1)*20)+80),(INT(((A3*$W$6)+((A3-1)*20)+80)/$E$4))*2,((INT(((A3*$W$6)+((A3-1)*20)+80)/$E$4))+1)*2)))))))*C3)</f>
        <v>0</v>
      </c>
      <c r="Y3" s="19" t="s">
        <v>76</v>
      </c>
      <c r="Z3" s="19"/>
      <c r="AA3" s="19"/>
      <c r="AB3" s="19"/>
      <c r="AC3" s="19"/>
      <c r="AD3" s="19"/>
      <c r="AE3" s="19"/>
      <c r="AF3" s="19"/>
      <c r="AG3" s="19"/>
      <c r="AH3" s="19"/>
      <c r="AI3" s="19"/>
      <c r="AJ3" s="19"/>
      <c r="AK3" s="19"/>
      <c r="AL3" s="19"/>
      <c r="AM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2,$BB$2:$CA$2,0),MATCH($W$2,$AH$22:$AH$47,0)))*C2</f>
        <v>0</v>
      </c>
      <c r="AN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2,$BB$2:$CA$2,0),MATCH($W$2,$AH$22:$AH$47,0)))*C2</f>
        <v>0</v>
      </c>
      <c r="AO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2,$BB$2:$CA$2,0),MATCH($W$2,$AH$22:$AH$47,0)))*C2</f>
        <v>0</v>
      </c>
      <c r="AP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2,$BB$2:$CA$2,0),MATCH($W$2,$AH$22:$AH$47,0)))*C2</f>
        <v>0</v>
      </c>
      <c r="AQ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2,$BB$2:$CA$2,0),MATCH($W$2,$AH$22:$AH$47,0)))*C2</f>
        <v>0</v>
      </c>
      <c r="AR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2,$BB$2:$CA$2,0),MATCH($W$2,$AH$22:$AH$47,0)))*C2</f>
        <v>0</v>
      </c>
      <c r="AS3" s="19"/>
      <c r="AT3" s="19" t="s">
        <v>92</v>
      </c>
      <c r="AU3" s="19"/>
      <c r="AV3" s="19"/>
      <c r="AW3" s="19"/>
      <c r="AX3" s="19"/>
      <c r="AY3" s="19"/>
      <c r="AZ3" s="19"/>
      <c r="BA3" s="19" t="s">
        <v>63</v>
      </c>
      <c r="BB3" s="19">
        <v>0</v>
      </c>
      <c r="BC3" s="19">
        <v>2</v>
      </c>
      <c r="BD3" s="19">
        <v>0</v>
      </c>
      <c r="BE3" s="19">
        <v>0</v>
      </c>
      <c r="BF3" s="19">
        <v>0</v>
      </c>
      <c r="BG3" s="19">
        <v>0</v>
      </c>
      <c r="BH3" s="19">
        <v>0</v>
      </c>
      <c r="BI3" s="19">
        <v>0</v>
      </c>
      <c r="BJ3" s="19">
        <v>0</v>
      </c>
      <c r="BK3" s="19">
        <v>0</v>
      </c>
      <c r="BL3" s="19">
        <v>0</v>
      </c>
      <c r="BM3" s="19">
        <v>0</v>
      </c>
      <c r="BN3" s="19">
        <v>0</v>
      </c>
      <c r="BO3" s="19">
        <v>0</v>
      </c>
      <c r="BP3" s="19">
        <v>0</v>
      </c>
      <c r="BQ3" s="19">
        <v>0</v>
      </c>
      <c r="BR3" s="19">
        <v>0</v>
      </c>
      <c r="BS3" s="19">
        <v>0</v>
      </c>
      <c r="BT3" s="19">
        <v>0</v>
      </c>
      <c r="BU3" s="19">
        <v>0</v>
      </c>
      <c r="BV3" s="19">
        <v>0</v>
      </c>
      <c r="BW3" s="19">
        <v>0</v>
      </c>
      <c r="BX3" s="19">
        <v>0</v>
      </c>
      <c r="BY3" s="19">
        <v>0</v>
      </c>
      <c r="BZ3" s="19">
        <v>0</v>
      </c>
      <c r="CA3" s="19">
        <v>0</v>
      </c>
      <c r="CB3" s="19">
        <v>0</v>
      </c>
      <c r="CC3" s="19">
        <v>0</v>
      </c>
      <c r="CD3" s="19">
        <v>0</v>
      </c>
      <c r="CE3" s="19">
        <v>0</v>
      </c>
      <c r="CF3" s="19">
        <v>0</v>
      </c>
      <c r="CG3" s="19">
        <v>0</v>
      </c>
      <c r="CH3" s="19">
        <v>0</v>
      </c>
      <c r="CI3" s="19">
        <v>0</v>
      </c>
      <c r="CJ3" s="19">
        <v>0</v>
      </c>
      <c r="CK3" s="19">
        <v>0</v>
      </c>
      <c r="CL3" s="19">
        <v>0</v>
      </c>
      <c r="CM3" s="19">
        <v>0</v>
      </c>
      <c r="CN3" s="19">
        <v>0</v>
      </c>
      <c r="CO3" s="19">
        <v>0</v>
      </c>
      <c r="CP3" s="19">
        <v>0</v>
      </c>
      <c r="CQ3" s="19">
        <v>0</v>
      </c>
      <c r="CR3" s="19">
        <v>0</v>
      </c>
      <c r="CS3" s="19">
        <v>0</v>
      </c>
      <c r="CT3" s="19">
        <v>0</v>
      </c>
      <c r="CU3" s="19">
        <v>0</v>
      </c>
      <c r="CV3" s="19">
        <v>0</v>
      </c>
      <c r="CW3" s="19">
        <v>0</v>
      </c>
      <c r="CX3" s="19">
        <v>0</v>
      </c>
      <c r="CY3" s="19">
        <v>0</v>
      </c>
      <c r="CZ3" s="19">
        <v>0</v>
      </c>
      <c r="DA3" s="17"/>
      <c r="DB3" s="17">
        <v>2</v>
      </c>
      <c r="DC3" s="17"/>
      <c r="DD3" s="19" t="s">
        <v>18</v>
      </c>
      <c r="DE3" s="19">
        <v>0</v>
      </c>
      <c r="DF3" s="19">
        <v>0</v>
      </c>
      <c r="DG3" s="19">
        <v>0</v>
      </c>
      <c r="DH3" s="19">
        <v>2</v>
      </c>
      <c r="DI3" s="19">
        <v>0</v>
      </c>
      <c r="DJ3" s="19">
        <v>2</v>
      </c>
      <c r="DK3" s="19">
        <v>4</v>
      </c>
      <c r="DL3" s="19">
        <v>2</v>
      </c>
      <c r="DM3" s="19">
        <v>4</v>
      </c>
      <c r="DN3" s="19">
        <v>6</v>
      </c>
      <c r="DO3" s="19">
        <v>4</v>
      </c>
      <c r="DP3" s="19">
        <v>6</v>
      </c>
      <c r="DQ3" s="19">
        <v>8</v>
      </c>
      <c r="DR3" s="19">
        <v>6</v>
      </c>
      <c r="DS3" s="19">
        <v>8</v>
      </c>
      <c r="DT3" s="19">
        <v>8</v>
      </c>
      <c r="DU3" s="19">
        <v>10</v>
      </c>
      <c r="DV3" s="19">
        <v>8</v>
      </c>
      <c r="DW3" s="19">
        <v>10</v>
      </c>
      <c r="DX3" s="19">
        <v>12</v>
      </c>
      <c r="DY3" s="19">
        <v>10</v>
      </c>
      <c r="DZ3" s="19"/>
      <c r="EA3" s="19"/>
      <c r="EB3" s="19" t="s">
        <v>63</v>
      </c>
      <c r="EC3" s="19">
        <v>0</v>
      </c>
      <c r="ED3" s="19">
        <v>0</v>
      </c>
      <c r="EE3" s="19">
        <v>6</v>
      </c>
      <c r="EF3" s="19">
        <v>0</v>
      </c>
      <c r="EG3" s="19">
        <v>0</v>
      </c>
      <c r="EH3" s="19">
        <v>0</v>
      </c>
      <c r="EI3" s="19">
        <v>0</v>
      </c>
      <c r="EJ3" s="19">
        <v>0</v>
      </c>
      <c r="EK3" s="19">
        <v>0</v>
      </c>
      <c r="EL3" s="19">
        <v>0</v>
      </c>
      <c r="EM3" s="19">
        <v>2</v>
      </c>
      <c r="EN3" s="19">
        <v>0</v>
      </c>
      <c r="EO3" s="19">
        <v>0</v>
      </c>
      <c r="EP3" s="19">
        <v>0</v>
      </c>
      <c r="EQ3" s="19">
        <v>0</v>
      </c>
      <c r="ER3" s="19">
        <v>0</v>
      </c>
      <c r="ES3" s="19">
        <v>0</v>
      </c>
      <c r="ET3" s="19">
        <v>0</v>
      </c>
      <c r="EU3" s="19">
        <v>0</v>
      </c>
      <c r="EV3" s="19">
        <v>0</v>
      </c>
      <c r="EW3" s="19">
        <v>0</v>
      </c>
      <c r="EX3" s="19">
        <v>0</v>
      </c>
      <c r="EY3" s="19">
        <v>0</v>
      </c>
      <c r="EZ3" s="19">
        <v>0</v>
      </c>
      <c r="FA3" s="19">
        <v>0</v>
      </c>
      <c r="FB3" s="19">
        <v>0</v>
      </c>
      <c r="FC3" s="19">
        <v>0</v>
      </c>
      <c r="FD3" s="19">
        <v>0</v>
      </c>
      <c r="FE3" s="19">
        <v>0</v>
      </c>
      <c r="FF3" s="19">
        <v>0</v>
      </c>
      <c r="FG3" s="19">
        <v>0</v>
      </c>
      <c r="FH3" s="19">
        <v>0</v>
      </c>
      <c r="FI3" s="19">
        <v>2</v>
      </c>
      <c r="FJ3" s="19">
        <v>0</v>
      </c>
      <c r="FK3" s="19">
        <v>0</v>
      </c>
      <c r="FL3" s="19">
        <v>0</v>
      </c>
      <c r="FM3" s="19">
        <v>0</v>
      </c>
      <c r="FN3" s="19">
        <v>0</v>
      </c>
      <c r="FO3" s="19">
        <v>0</v>
      </c>
      <c r="FP3" s="19">
        <v>0</v>
      </c>
      <c r="FQ3" s="19">
        <v>0</v>
      </c>
      <c r="FR3" s="19">
        <v>0</v>
      </c>
      <c r="FS3" s="19">
        <v>0</v>
      </c>
      <c r="FT3" s="19">
        <v>0</v>
      </c>
      <c r="FU3" s="19">
        <v>0</v>
      </c>
      <c r="FV3" s="19">
        <v>0</v>
      </c>
      <c r="FW3" s="19">
        <v>0</v>
      </c>
      <c r="FX3" s="19">
        <v>0</v>
      </c>
      <c r="FY3" s="19">
        <v>0</v>
      </c>
      <c r="FZ3" s="19">
        <v>0</v>
      </c>
      <c r="GA3" s="19">
        <v>0</v>
      </c>
      <c r="GC3" s="19"/>
      <c r="GD3" s="19"/>
      <c r="GE3" s="19" t="s">
        <v>63</v>
      </c>
      <c r="GF3" s="19">
        <v>0</v>
      </c>
      <c r="GG3" s="19">
        <v>0</v>
      </c>
      <c r="GH3" s="19">
        <v>0</v>
      </c>
      <c r="GI3" s="19">
        <v>0</v>
      </c>
      <c r="GJ3" s="19">
        <v>2</v>
      </c>
      <c r="GK3" s="19">
        <v>0</v>
      </c>
      <c r="GL3" s="19">
        <v>0</v>
      </c>
      <c r="GM3" s="19">
        <v>0</v>
      </c>
      <c r="GN3" s="19">
        <v>0</v>
      </c>
      <c r="GO3" s="19">
        <v>0</v>
      </c>
      <c r="GP3" s="19">
        <v>0</v>
      </c>
      <c r="GQ3" s="19">
        <v>0</v>
      </c>
      <c r="GR3" s="19">
        <v>0</v>
      </c>
      <c r="GS3" s="19">
        <v>0</v>
      </c>
      <c r="GT3" s="19">
        <v>0</v>
      </c>
      <c r="GU3" s="19">
        <v>0</v>
      </c>
      <c r="GV3" s="19">
        <v>0</v>
      </c>
      <c r="GW3" s="19">
        <v>0</v>
      </c>
      <c r="GX3" s="19">
        <v>0</v>
      </c>
      <c r="GY3" s="19">
        <v>0</v>
      </c>
      <c r="GZ3" s="19">
        <v>0</v>
      </c>
      <c r="HA3" s="19">
        <v>0</v>
      </c>
      <c r="HB3" s="19">
        <v>0</v>
      </c>
      <c r="HC3" s="19">
        <v>0</v>
      </c>
      <c r="HD3" s="19">
        <v>0</v>
      </c>
      <c r="HE3" s="19">
        <v>0</v>
      </c>
      <c r="HF3" s="19">
        <v>0</v>
      </c>
      <c r="HG3" s="19">
        <v>0</v>
      </c>
      <c r="HH3" s="19">
        <v>0</v>
      </c>
      <c r="HI3" s="19">
        <v>0</v>
      </c>
      <c r="HJ3" s="19">
        <v>0</v>
      </c>
      <c r="HK3" s="19">
        <v>0</v>
      </c>
      <c r="HL3" s="19">
        <v>0</v>
      </c>
      <c r="HM3" s="19">
        <v>0</v>
      </c>
      <c r="HN3" s="19">
        <v>0</v>
      </c>
      <c r="HO3" s="19">
        <v>0</v>
      </c>
      <c r="HP3" s="19">
        <v>0</v>
      </c>
      <c r="HQ3" s="19">
        <v>0</v>
      </c>
      <c r="HR3" s="19">
        <v>0</v>
      </c>
      <c r="HS3" s="19">
        <v>0</v>
      </c>
      <c r="HT3" s="19">
        <v>0</v>
      </c>
      <c r="HU3" s="19">
        <v>0</v>
      </c>
      <c r="HV3" s="19">
        <v>0</v>
      </c>
      <c r="HW3" s="19">
        <v>0</v>
      </c>
      <c r="HX3" s="19">
        <v>0</v>
      </c>
      <c r="HY3" s="19">
        <v>0</v>
      </c>
      <c r="HZ3" s="19">
        <v>0</v>
      </c>
      <c r="IA3" s="19">
        <v>0</v>
      </c>
      <c r="IB3" s="19">
        <v>0</v>
      </c>
      <c r="IC3" s="19">
        <v>0</v>
      </c>
      <c r="ID3" s="19">
        <v>0</v>
      </c>
      <c r="IF3" s="20" t="s">
        <v>63</v>
      </c>
      <c r="IG3" s="20">
        <v>0</v>
      </c>
      <c r="IH3" s="20">
        <v>0</v>
      </c>
      <c r="II3" s="20">
        <v>0</v>
      </c>
      <c r="IJ3" s="20">
        <v>0</v>
      </c>
      <c r="IK3" s="20">
        <v>0</v>
      </c>
      <c r="IL3" s="20">
        <v>0</v>
      </c>
      <c r="IM3" s="20">
        <v>0</v>
      </c>
      <c r="IN3" s="20">
        <v>0</v>
      </c>
      <c r="IO3" s="20">
        <v>0</v>
      </c>
      <c r="IP3" s="20">
        <v>0</v>
      </c>
      <c r="IQ3" s="20">
        <v>0</v>
      </c>
      <c r="IR3" s="20">
        <v>0</v>
      </c>
      <c r="IS3" s="20">
        <v>0</v>
      </c>
      <c r="IT3" s="20">
        <v>0</v>
      </c>
      <c r="IU3" s="20">
        <v>0</v>
      </c>
      <c r="IV3" s="20">
        <v>0</v>
      </c>
      <c r="IW3" s="20">
        <v>0</v>
      </c>
      <c r="IX3" s="20">
        <v>0</v>
      </c>
      <c r="IY3" s="20">
        <v>0</v>
      </c>
      <c r="IZ3" s="20">
        <v>0</v>
      </c>
      <c r="JA3" s="20">
        <v>0</v>
      </c>
      <c r="JB3" s="20">
        <v>0</v>
      </c>
      <c r="JC3" s="20">
        <v>0</v>
      </c>
      <c r="JD3" s="20">
        <v>0</v>
      </c>
      <c r="JE3" s="20">
        <v>0</v>
      </c>
      <c r="JF3" s="20">
        <v>0</v>
      </c>
    </row>
    <row r="4" spans="1:266" x14ac:dyDescent="0.25">
      <c r="A4" s="8"/>
      <c r="B4" s="5" t="s">
        <v>61</v>
      </c>
      <c r="C4" s="8"/>
      <c r="D4" s="6" t="s">
        <v>453</v>
      </c>
      <c r="E4" s="8">
        <v>800</v>
      </c>
      <c r="F4" s="5"/>
      <c r="G4" s="5"/>
      <c r="H4" s="5"/>
      <c r="I4" s="5"/>
      <c r="J4" s="5" t="s">
        <v>62</v>
      </c>
      <c r="K4" s="4"/>
      <c r="L4" s="6" t="str">
        <f>IF($E$10=AK22,"PAL40H40/2,1",IF($E$10=AK23,"PAL30H32/2,1","-------"))</f>
        <v>PAL40H40/2,1</v>
      </c>
      <c r="M4" s="14">
        <f>INDEX(cenník!$A$2:$I$568,MATCH($L4,cenník!$B$2:$B$557,0),MATCH(M$2,cenník!$A$1:$I$1,0))</f>
        <v>894621</v>
      </c>
      <c r="N4" s="14" t="str">
        <f>INDEX(cenník!$A$2:$I$568,MATCH($L4,cenník!$B$2:$B$557,0),MATCH(N$2,cenník!$A$1:$I$1,0))</f>
        <v>ks</v>
      </c>
      <c r="O4" s="14">
        <f>IF(L4="-------",0,SUM(AO3:AO18))</f>
        <v>0</v>
      </c>
      <c r="P4" s="21">
        <f>INDEX(cenník!$A$2:$I$568,MATCH($L4,cenník!$B$2:$B$557,0),MATCH(P$2,cenník!$A$1:$I$1,0))</f>
        <v>20.05</v>
      </c>
      <c r="Q4" s="21">
        <f t="shared" ref="Q4:Q19" si="0">O4*P4</f>
        <v>0</v>
      </c>
      <c r="R4" s="22">
        <f t="shared" ref="R4:R17" si="1">$E$9</f>
        <v>0</v>
      </c>
      <c r="S4" s="21">
        <f t="shared" ref="S4:S17" si="2">P4*((100-$E$9)/100)</f>
        <v>20.05</v>
      </c>
      <c r="T4" s="21">
        <f t="shared" ref="T4:T19" si="3">O4*S4</f>
        <v>0</v>
      </c>
      <c r="U4" s="21">
        <f>INDEX(cenník!$A$2:$I$568,MATCH($L4,cenník!$B$2:$B$557,0),MATCH(U$2,cenník!$A$1:$I$1,0))*O4</f>
        <v>0</v>
      </c>
      <c r="W4" s="19"/>
      <c r="X4" s="25">
        <f>((IF($E$5=$AB$1,(IF(A4=0,0,IF(A4&gt;0,IF((((INT(((A4*$W$5)+((A4-1)*20)+80)/$E$4))-1)*$E$4)+500&gt;=((A4*$W$5)+((A4-1)*20)+80),(INT(((A4*$W$5)+((A4-1)*20)+80)/$E$4))*2,((INT(((A4*$W$5)+((A4-1)*20)+80)/$E$4))+1)*2)))),IF($E$5=$AB$2,(IF(A4=0,0,IF(A4&gt;0,IF((((INT(((A4*$W$6)+((A4-1)*20)+80)/$E$4))-1)*$E$4)+500&gt;=((A4*$W$6)+((A4-1)*20)+80),(INT(((A4*$W$6)+((A4-1)*20)+80)/$E$4))*2,((INT(((A4*$W$6)+((A4-1)*20)+80)/$E$4))+1)*2)))))))*C4)</f>
        <v>0</v>
      </c>
      <c r="Y4" s="19" t="s">
        <v>77</v>
      </c>
      <c r="Z4" s="19"/>
      <c r="AA4" s="19"/>
      <c r="AB4" s="28" t="s">
        <v>464</v>
      </c>
      <c r="AC4" s="28" t="s">
        <v>466</v>
      </c>
      <c r="AD4" s="28" t="s">
        <v>467</v>
      </c>
      <c r="AE4" s="28"/>
      <c r="AF4" s="28"/>
      <c r="AG4" s="28" t="s">
        <v>465</v>
      </c>
      <c r="AH4" s="28" t="s">
        <v>466</v>
      </c>
      <c r="AI4" s="28" t="s">
        <v>467</v>
      </c>
      <c r="AJ4" s="28"/>
      <c r="AK4" s="28"/>
      <c r="AL4" s="19"/>
      <c r="AM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3,$BB$2:$CA$2,0),MATCH($W$2,$AH$22:$AH$47,0)))*C3</f>
        <v>0</v>
      </c>
      <c r="AN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3,$BB$2:$CA$2,0),MATCH($W$2,$AH$22:$AH$47,0)))*C3</f>
        <v>0</v>
      </c>
      <c r="AO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3,$BB$2:$CA$2,0),MATCH($W$2,$AH$22:$AH$47,0)))*C3</f>
        <v>0</v>
      </c>
      <c r="AP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3,$BB$2:$CA$2,0),MATCH($W$2,$AH$22:$AH$47,0)))*C3</f>
        <v>0</v>
      </c>
      <c r="AQ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3,$BB$2:$CA$2,0),MATCH($W$2,$AH$22:$AH$47,0)))*C3</f>
        <v>0</v>
      </c>
      <c r="AR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3,$BB$2:$CA$2,0),MATCH($W$2,$AH$22:$AH$47,0)))*C3</f>
        <v>0</v>
      </c>
      <c r="AS4" s="19"/>
      <c r="AT4" s="26" t="s">
        <v>85</v>
      </c>
      <c r="AU4" s="26" t="s">
        <v>86</v>
      </c>
      <c r="AV4" s="19"/>
      <c r="AW4" s="19"/>
      <c r="AX4" s="19"/>
      <c r="AY4" s="19"/>
      <c r="AZ4" s="19"/>
      <c r="BA4" s="19" t="s">
        <v>11</v>
      </c>
      <c r="BB4" s="19">
        <v>0</v>
      </c>
      <c r="BC4" s="19">
        <v>0</v>
      </c>
      <c r="BD4" s="19">
        <v>2</v>
      </c>
      <c r="BE4" s="19">
        <v>0</v>
      </c>
      <c r="BF4" s="19">
        <v>4</v>
      </c>
      <c r="BG4" s="19">
        <v>2</v>
      </c>
      <c r="BH4" s="19">
        <v>0</v>
      </c>
      <c r="BI4" s="19">
        <v>4</v>
      </c>
      <c r="BJ4" s="19">
        <v>2</v>
      </c>
      <c r="BK4" s="19">
        <v>0</v>
      </c>
      <c r="BL4" s="19">
        <v>4</v>
      </c>
      <c r="BM4" s="19">
        <v>2</v>
      </c>
      <c r="BN4" s="19">
        <v>0</v>
      </c>
      <c r="BO4" s="19">
        <v>4</v>
      </c>
      <c r="BP4" s="19">
        <v>2</v>
      </c>
      <c r="BQ4" s="19">
        <v>0</v>
      </c>
      <c r="BR4" s="19">
        <v>0</v>
      </c>
      <c r="BS4" s="19">
        <v>0</v>
      </c>
      <c r="BT4" s="19">
        <v>2</v>
      </c>
      <c r="BU4" s="19">
        <v>0</v>
      </c>
      <c r="BV4" s="19">
        <v>2</v>
      </c>
      <c r="BW4" s="19">
        <v>0</v>
      </c>
      <c r="BX4" s="19">
        <v>0</v>
      </c>
      <c r="BY4" s="19">
        <v>0</v>
      </c>
      <c r="BZ4" s="19">
        <v>0</v>
      </c>
      <c r="CA4" s="19">
        <v>0</v>
      </c>
      <c r="CB4" s="19">
        <v>0</v>
      </c>
      <c r="CC4" s="19">
        <v>0</v>
      </c>
      <c r="CD4" s="19">
        <v>0</v>
      </c>
      <c r="CE4" s="19">
        <v>0</v>
      </c>
      <c r="CF4" s="19">
        <v>2</v>
      </c>
      <c r="CG4" s="19">
        <v>0</v>
      </c>
      <c r="CH4" s="19">
        <v>0</v>
      </c>
      <c r="CI4" s="19">
        <v>2</v>
      </c>
      <c r="CJ4" s="19">
        <v>0</v>
      </c>
      <c r="CK4" s="19">
        <v>0</v>
      </c>
      <c r="CL4" s="19">
        <v>0</v>
      </c>
      <c r="CM4" s="19">
        <v>0</v>
      </c>
      <c r="CN4" s="19">
        <v>0</v>
      </c>
      <c r="CO4" s="19">
        <v>0</v>
      </c>
      <c r="CP4" s="19">
        <v>0</v>
      </c>
      <c r="CQ4" s="19">
        <v>0</v>
      </c>
      <c r="CR4" s="19">
        <v>2</v>
      </c>
      <c r="CS4" s="19">
        <v>0</v>
      </c>
      <c r="CT4" s="19">
        <v>0</v>
      </c>
      <c r="CU4" s="19">
        <v>0</v>
      </c>
      <c r="CV4" s="19">
        <v>0</v>
      </c>
      <c r="CW4" s="19">
        <v>0</v>
      </c>
      <c r="CX4" s="19">
        <v>0</v>
      </c>
      <c r="CY4" s="19">
        <v>0</v>
      </c>
      <c r="CZ4" s="19">
        <v>0</v>
      </c>
      <c r="DA4" s="17"/>
      <c r="DB4" s="17">
        <v>3</v>
      </c>
      <c r="DC4" s="17"/>
      <c r="DD4" s="19" t="s">
        <v>179</v>
      </c>
      <c r="DE4" s="19">
        <v>0</v>
      </c>
      <c r="DF4" s="19">
        <v>0</v>
      </c>
      <c r="DG4" s="19">
        <v>0</v>
      </c>
      <c r="DH4" s="19">
        <v>0</v>
      </c>
      <c r="DI4" s="19">
        <v>4</v>
      </c>
      <c r="DJ4" s="19">
        <v>4</v>
      </c>
      <c r="DK4" s="19">
        <v>4</v>
      </c>
      <c r="DL4" s="19">
        <v>8</v>
      </c>
      <c r="DM4" s="19">
        <v>8</v>
      </c>
      <c r="DN4" s="19">
        <v>8</v>
      </c>
      <c r="DO4" s="19">
        <v>12</v>
      </c>
      <c r="DP4" s="19">
        <v>12</v>
      </c>
      <c r="DQ4" s="19">
        <v>12</v>
      </c>
      <c r="DR4" s="19">
        <v>16</v>
      </c>
      <c r="DS4" s="19">
        <v>16</v>
      </c>
      <c r="DT4" s="19">
        <v>16</v>
      </c>
      <c r="DU4" s="19">
        <v>16</v>
      </c>
      <c r="DV4" s="19">
        <v>20</v>
      </c>
      <c r="DW4" s="19">
        <v>20</v>
      </c>
      <c r="DX4" s="19">
        <v>20</v>
      </c>
      <c r="DY4" s="19">
        <v>24</v>
      </c>
      <c r="DZ4" s="19"/>
      <c r="EA4" s="19"/>
      <c r="EB4" s="19" t="s">
        <v>11</v>
      </c>
      <c r="EC4" s="19">
        <v>0</v>
      </c>
      <c r="ED4" s="19">
        <v>2</v>
      </c>
      <c r="EE4" s="19">
        <v>0</v>
      </c>
      <c r="EF4" s="19">
        <v>2</v>
      </c>
      <c r="EG4" s="19">
        <v>4</v>
      </c>
      <c r="EH4" s="19">
        <v>0</v>
      </c>
      <c r="EI4" s="19">
        <v>4</v>
      </c>
      <c r="EJ4" s="19">
        <v>2</v>
      </c>
      <c r="EK4" s="19">
        <v>4</v>
      </c>
      <c r="EL4" s="19">
        <v>2</v>
      </c>
      <c r="EM4" s="19">
        <v>0</v>
      </c>
      <c r="EN4" s="19">
        <v>2</v>
      </c>
      <c r="EO4" s="19">
        <v>4</v>
      </c>
      <c r="EP4" s="19">
        <v>2</v>
      </c>
      <c r="EQ4" s="19">
        <v>2</v>
      </c>
      <c r="ER4" s="19">
        <v>0</v>
      </c>
      <c r="ES4" s="19">
        <v>0</v>
      </c>
      <c r="ET4" s="19">
        <v>0</v>
      </c>
      <c r="EU4" s="19">
        <v>2</v>
      </c>
      <c r="EV4" s="19">
        <v>0</v>
      </c>
      <c r="EW4" s="19">
        <v>0</v>
      </c>
      <c r="EX4" s="19">
        <v>0</v>
      </c>
      <c r="EY4" s="19">
        <v>0</v>
      </c>
      <c r="EZ4" s="19">
        <v>0</v>
      </c>
      <c r="FA4" s="19">
        <v>2</v>
      </c>
      <c r="FB4" s="19">
        <v>0</v>
      </c>
      <c r="FC4" s="19">
        <v>0</v>
      </c>
      <c r="FD4" s="19">
        <v>0</v>
      </c>
      <c r="FE4" s="19">
        <v>0</v>
      </c>
      <c r="FF4" s="19">
        <v>0</v>
      </c>
      <c r="FG4" s="19">
        <v>0</v>
      </c>
      <c r="FH4" s="19">
        <v>0</v>
      </c>
      <c r="FI4" s="19">
        <v>0</v>
      </c>
      <c r="FJ4" s="19">
        <v>0</v>
      </c>
      <c r="FK4" s="19">
        <v>0</v>
      </c>
      <c r="FL4" s="19">
        <v>0</v>
      </c>
      <c r="FM4" s="19">
        <v>0</v>
      </c>
      <c r="FN4" s="19">
        <v>0</v>
      </c>
      <c r="FO4" s="19">
        <v>0</v>
      </c>
      <c r="FP4" s="19">
        <v>0</v>
      </c>
      <c r="FQ4" s="19">
        <v>0</v>
      </c>
      <c r="FR4" s="19">
        <v>0</v>
      </c>
      <c r="FS4" s="19">
        <v>4</v>
      </c>
      <c r="FT4" s="19">
        <v>0</v>
      </c>
      <c r="FU4" s="19">
        <v>0</v>
      </c>
      <c r="FV4" s="19">
        <v>0</v>
      </c>
      <c r="FW4" s="19">
        <v>0</v>
      </c>
      <c r="FX4" s="19">
        <v>0</v>
      </c>
      <c r="FY4" s="19">
        <v>0</v>
      </c>
      <c r="FZ4" s="19">
        <v>0</v>
      </c>
      <c r="GA4" s="19">
        <v>0</v>
      </c>
      <c r="GC4" s="19"/>
      <c r="GD4" s="19"/>
      <c r="GE4" s="19" t="s">
        <v>11</v>
      </c>
      <c r="GF4" s="19">
        <v>0</v>
      </c>
      <c r="GG4" s="19">
        <v>2</v>
      </c>
      <c r="GH4" s="19">
        <v>4</v>
      </c>
      <c r="GI4" s="19">
        <v>0</v>
      </c>
      <c r="GJ4" s="19">
        <v>0</v>
      </c>
      <c r="GK4" s="19">
        <v>0</v>
      </c>
      <c r="GL4" s="19">
        <v>0</v>
      </c>
      <c r="GM4" s="19">
        <v>4</v>
      </c>
      <c r="GN4" s="19">
        <v>0</v>
      </c>
      <c r="GO4" s="19">
        <v>2</v>
      </c>
      <c r="GP4" s="19">
        <v>0</v>
      </c>
      <c r="GQ4" s="19">
        <v>0</v>
      </c>
      <c r="GR4" s="19">
        <v>0</v>
      </c>
      <c r="GS4" s="19">
        <v>0</v>
      </c>
      <c r="GT4" s="19">
        <v>0</v>
      </c>
      <c r="GU4" s="19">
        <v>0</v>
      </c>
      <c r="GV4" s="19">
        <v>2</v>
      </c>
      <c r="GW4" s="19">
        <v>0</v>
      </c>
      <c r="GX4" s="19">
        <v>0</v>
      </c>
      <c r="GY4" s="19">
        <v>0</v>
      </c>
      <c r="GZ4" s="19">
        <v>0</v>
      </c>
      <c r="HA4" s="19">
        <v>0</v>
      </c>
      <c r="HB4" s="19">
        <v>0</v>
      </c>
      <c r="HC4" s="19">
        <v>0</v>
      </c>
      <c r="HD4" s="19">
        <v>0</v>
      </c>
      <c r="HE4" s="19">
        <v>0</v>
      </c>
      <c r="HF4" s="19">
        <v>0</v>
      </c>
      <c r="HG4" s="19">
        <v>0</v>
      </c>
      <c r="HH4" s="19">
        <v>0</v>
      </c>
      <c r="HI4" s="19">
        <v>0</v>
      </c>
      <c r="HJ4" s="19">
        <v>0</v>
      </c>
      <c r="HK4" s="19">
        <v>0</v>
      </c>
      <c r="HL4" s="19">
        <v>0</v>
      </c>
      <c r="HM4" s="19">
        <v>0</v>
      </c>
      <c r="HN4" s="19">
        <v>0</v>
      </c>
      <c r="HO4" s="19">
        <v>0</v>
      </c>
      <c r="HP4" s="19">
        <v>0</v>
      </c>
      <c r="HQ4" s="19">
        <v>0</v>
      </c>
      <c r="HR4" s="19">
        <v>0</v>
      </c>
      <c r="HS4" s="19">
        <v>0</v>
      </c>
      <c r="HT4" s="19">
        <v>0</v>
      </c>
      <c r="HU4" s="19">
        <v>0</v>
      </c>
      <c r="HV4" s="19">
        <v>0</v>
      </c>
      <c r="HW4" s="19">
        <v>0</v>
      </c>
      <c r="HX4" s="19">
        <v>0</v>
      </c>
      <c r="HY4" s="19">
        <v>0</v>
      </c>
      <c r="HZ4" s="19">
        <v>0</v>
      </c>
      <c r="IA4" s="19">
        <v>0</v>
      </c>
      <c r="IB4" s="19">
        <v>0</v>
      </c>
      <c r="IC4" s="19">
        <v>0</v>
      </c>
      <c r="ID4" s="19">
        <v>0</v>
      </c>
      <c r="IF4" s="20" t="s">
        <v>11</v>
      </c>
      <c r="IG4" s="20">
        <v>0</v>
      </c>
      <c r="IH4" s="20">
        <v>0</v>
      </c>
      <c r="II4" s="20">
        <v>2</v>
      </c>
      <c r="IJ4" s="20">
        <v>4</v>
      </c>
      <c r="IK4" s="20">
        <v>0</v>
      </c>
      <c r="IL4" s="20">
        <v>2</v>
      </c>
      <c r="IM4" s="20">
        <v>0</v>
      </c>
      <c r="IN4" s="20">
        <v>4</v>
      </c>
      <c r="IO4" s="20">
        <v>0</v>
      </c>
      <c r="IP4" s="20">
        <v>2</v>
      </c>
      <c r="IQ4" s="20">
        <v>4</v>
      </c>
      <c r="IR4" s="20">
        <v>0</v>
      </c>
      <c r="IS4" s="20">
        <v>0</v>
      </c>
      <c r="IT4" s="20">
        <v>0</v>
      </c>
      <c r="IU4" s="20">
        <v>2</v>
      </c>
      <c r="IV4" s="20">
        <v>0</v>
      </c>
      <c r="IW4" s="20">
        <v>0</v>
      </c>
      <c r="IX4" s="20">
        <v>4</v>
      </c>
      <c r="IY4" s="20">
        <v>0</v>
      </c>
      <c r="IZ4" s="20">
        <v>0</v>
      </c>
      <c r="JA4" s="20">
        <v>0</v>
      </c>
      <c r="JB4" s="20">
        <v>0</v>
      </c>
      <c r="JC4" s="20">
        <v>0</v>
      </c>
      <c r="JD4" s="20">
        <v>0</v>
      </c>
      <c r="JE4" s="20">
        <v>0</v>
      </c>
      <c r="JF4" s="20">
        <v>0</v>
      </c>
    </row>
    <row r="5" spans="1:266" x14ac:dyDescent="0.25">
      <c r="A5" s="8"/>
      <c r="B5" s="5" t="s">
        <v>61</v>
      </c>
      <c r="C5" s="8"/>
      <c r="D5" s="6" t="s">
        <v>454</v>
      </c>
      <c r="E5" s="8" t="s">
        <v>462</v>
      </c>
      <c r="F5" s="5"/>
      <c r="G5" s="5"/>
      <c r="H5" s="5"/>
      <c r="I5" s="5"/>
      <c r="J5" s="5"/>
      <c r="K5" s="4"/>
      <c r="L5" s="6" t="str">
        <f>IF($E$10=AK22,"PAL40H40/2,2",IF($E$10=AK23,"PAL30H32/2,2",IF($E$10=AK24,"CWP40H35/2,2MC","-------")))</f>
        <v>PAL40H40/2,2</v>
      </c>
      <c r="M5" s="14">
        <f>INDEX(cenník!$A$2:$I$568,MATCH($L5,cenník!$B$2:$B$557,0),MATCH(M$2,cenník!$A$1:$I$1,0))</f>
        <v>894622</v>
      </c>
      <c r="N5" s="14" t="str">
        <f>INDEX(cenník!$A$2:$I$568,MATCH($L5,cenník!$B$2:$B$557,0),MATCH(N$2,cenník!$A$1:$I$1,0))</f>
        <v>ks</v>
      </c>
      <c r="O5" s="14">
        <f>SUM(AP3:AP18)</f>
        <v>0</v>
      </c>
      <c r="P5" s="21">
        <f>INDEX(cenník!$A$2:$I$568,MATCH($L5,cenník!$B$2:$B$557,0),MATCH(P$2,cenník!$A$1:$I$1,0))</f>
        <v>21.11</v>
      </c>
      <c r="Q5" s="21">
        <f t="shared" si="0"/>
        <v>0</v>
      </c>
      <c r="R5" s="22">
        <f t="shared" si="1"/>
        <v>0</v>
      </c>
      <c r="S5" s="21">
        <f t="shared" si="2"/>
        <v>21.11</v>
      </c>
      <c r="T5" s="21">
        <f t="shared" si="3"/>
        <v>0</v>
      </c>
      <c r="U5" s="21">
        <f>INDEX(cenník!$A$2:$I$568,MATCH($L5,cenník!$B$2:$B$557,0),MATCH(U$2,cenník!$A$1:$I$1,0))*O5</f>
        <v>0</v>
      </c>
      <c r="V5" s="19" t="s">
        <v>395</v>
      </c>
      <c r="W5" s="19">
        <f>IF(G3=$AH$22,$AJ$22,IF(G3=$AH$23,$AJ$23,IF(G3=$AH$24,$AJ$24,IF(G3=$AH$25,$AJ$25,IF(G3=$AH$26,$AJ$26,IF(G3=$AH$27,$AJ$27,IF(G3=$AH$28,$AJ$28,IF(G3=$AH$29,$AJ$29,0))))))))</f>
        <v>1200</v>
      </c>
      <c r="X5" s="25">
        <f t="shared" ref="X5:X17" si="4">((IF($E$5=$AB$1,(IF(A5=0,0,IF(A5&gt;0,IF((((INT(((A5*$W$5)+((A5-1)*20)+80)/$E$4))-1)*$E$4)+500&gt;=((A5*$W$5)+((A5-1)*20)+80),(INT(((A5*$W$5)+((A5-1)*20)+80)/$E$4))*2,((INT(((A5*$W$5)+((A5-1)*20)+80)/$E$4))+1)*2)))),IF($E$5=$AB$2,(IF(A5=0,0,IF(A5&gt;0,IF((((INT(((A5*$W$6)+((A5-1)*20)+80)/$E$4))-1)*$E$4)+500&gt;=((A5*$W$6)+((A5-1)*20)+80),(INT(((A5*$W$6)+((A5-1)*20)+80)/$E$4))*2,((INT(((A5*$W$6)+((A5-1)*20)+80)/$E$4))+1)*2)))))))*C5)</f>
        <v>0</v>
      </c>
      <c r="Y5" s="19"/>
      <c r="Z5" s="19"/>
      <c r="AA5" s="19"/>
      <c r="AB5" s="26">
        <v>30</v>
      </c>
      <c r="AC5" s="121" t="s">
        <v>200</v>
      </c>
      <c r="AD5" s="121" t="s">
        <v>201</v>
      </c>
      <c r="AE5" s="121" t="s">
        <v>202</v>
      </c>
      <c r="AF5" s="19" t="s">
        <v>13</v>
      </c>
      <c r="AG5" s="121">
        <v>30</v>
      </c>
      <c r="AH5" s="121" t="s">
        <v>473</v>
      </c>
      <c r="AI5" s="121" t="s">
        <v>473</v>
      </c>
      <c r="AJ5" s="122" t="s">
        <v>84</v>
      </c>
      <c r="AK5" s="122" t="s">
        <v>84</v>
      </c>
      <c r="AL5" s="122"/>
      <c r="AM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4,$BB$2:$CA$2,0),MATCH($W$2,$AH$22:$AH$47,0)))*C4</f>
        <v>0</v>
      </c>
      <c r="AN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4,$BB$2:$CA$2,0),MATCH($W$2,$AH$22:$AH$47,0)))*C4</f>
        <v>0</v>
      </c>
      <c r="AO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4,$BB$2:$CA$2,0),MATCH($W$2,$AH$22:$AH$47,0)))*C4</f>
        <v>0</v>
      </c>
      <c r="AP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4,$BB$2:$CA$2,0),MATCH($W$2,$AH$22:$AH$47,0)))*C4</f>
        <v>0</v>
      </c>
      <c r="AQ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4,$BB$2:$CA$2,0),MATCH($W$2,$AH$22:$AH$47,0)))*C4</f>
        <v>0</v>
      </c>
      <c r="AR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4,$BB$2:$CA$2,0),MATCH($W$2,$AH$22:$AH$47,0)))*C4</f>
        <v>0</v>
      </c>
      <c r="AS5" s="19"/>
      <c r="AT5" s="19">
        <v>1</v>
      </c>
      <c r="AU5" s="19">
        <v>1000</v>
      </c>
      <c r="AV5" s="19"/>
      <c r="AW5" s="19"/>
      <c r="AX5" s="19"/>
      <c r="AY5" s="19"/>
      <c r="AZ5" s="19"/>
      <c r="BA5" s="19" t="s">
        <v>64</v>
      </c>
      <c r="BB5" s="19">
        <v>0</v>
      </c>
      <c r="BC5" s="19">
        <v>0</v>
      </c>
      <c r="BD5" s="19">
        <v>0</v>
      </c>
      <c r="BE5" s="19">
        <v>0</v>
      </c>
      <c r="BF5" s="19">
        <v>0</v>
      </c>
      <c r="BG5" s="19">
        <v>0</v>
      </c>
      <c r="BH5" s="19">
        <v>0</v>
      </c>
      <c r="BI5" s="19">
        <v>0</v>
      </c>
      <c r="BJ5" s="19">
        <v>0</v>
      </c>
      <c r="BK5" s="19">
        <v>0</v>
      </c>
      <c r="BL5" s="19">
        <v>0</v>
      </c>
      <c r="BM5" s="19">
        <v>0</v>
      </c>
      <c r="BN5" s="19">
        <v>0</v>
      </c>
      <c r="BO5" s="19">
        <v>0</v>
      </c>
      <c r="BP5" s="19">
        <v>0</v>
      </c>
      <c r="BQ5" s="19">
        <v>2</v>
      </c>
      <c r="BR5" s="19">
        <v>0</v>
      </c>
      <c r="BS5" s="19">
        <v>4</v>
      </c>
      <c r="BT5" s="19">
        <v>0</v>
      </c>
      <c r="BU5" s="19">
        <v>0</v>
      </c>
      <c r="BV5" s="19">
        <v>2</v>
      </c>
      <c r="BW5" s="19">
        <v>2</v>
      </c>
      <c r="BX5" s="19">
        <v>0</v>
      </c>
      <c r="BY5" s="19">
        <v>4</v>
      </c>
      <c r="BZ5" s="19">
        <v>4</v>
      </c>
      <c r="CA5" s="19">
        <v>0</v>
      </c>
      <c r="CB5" s="19">
        <v>4</v>
      </c>
      <c r="CC5" s="19">
        <v>2</v>
      </c>
      <c r="CD5" s="19">
        <v>0</v>
      </c>
      <c r="CE5" s="19">
        <v>0</v>
      </c>
      <c r="CF5" s="19">
        <v>0</v>
      </c>
      <c r="CG5" s="19">
        <v>0</v>
      </c>
      <c r="CH5" s="19">
        <v>0</v>
      </c>
      <c r="CI5" s="19">
        <v>0</v>
      </c>
      <c r="CJ5" s="19">
        <v>0</v>
      </c>
      <c r="CK5" s="19">
        <v>0</v>
      </c>
      <c r="CL5" s="19">
        <v>4</v>
      </c>
      <c r="CM5" s="19">
        <v>2</v>
      </c>
      <c r="CN5" s="19">
        <v>0</v>
      </c>
      <c r="CO5" s="19">
        <v>4</v>
      </c>
      <c r="CP5" s="19">
        <v>0</v>
      </c>
      <c r="CQ5" s="19">
        <v>0</v>
      </c>
      <c r="CR5" s="19">
        <v>0</v>
      </c>
      <c r="CS5" s="19">
        <v>2</v>
      </c>
      <c r="CT5" s="19">
        <v>0</v>
      </c>
      <c r="CU5" s="19">
        <v>0</v>
      </c>
      <c r="CV5" s="19">
        <v>4</v>
      </c>
      <c r="CW5" s="19">
        <v>0</v>
      </c>
      <c r="CX5" s="19">
        <v>0</v>
      </c>
      <c r="CY5" s="19">
        <v>0</v>
      </c>
      <c r="CZ5" s="19">
        <v>2</v>
      </c>
      <c r="DA5" s="17"/>
      <c r="DB5" s="17">
        <v>4</v>
      </c>
      <c r="DC5" s="17"/>
      <c r="DD5" s="19" t="s">
        <v>236</v>
      </c>
      <c r="DE5" s="19">
        <v>0</v>
      </c>
      <c r="DF5" s="19">
        <v>2</v>
      </c>
      <c r="DG5" s="19">
        <v>2</v>
      </c>
      <c r="DH5" s="19">
        <v>0</v>
      </c>
      <c r="DI5" s="19">
        <v>4</v>
      </c>
      <c r="DJ5" s="19">
        <v>2</v>
      </c>
      <c r="DK5" s="19">
        <v>0</v>
      </c>
      <c r="DL5" s="19">
        <v>4</v>
      </c>
      <c r="DM5" s="19">
        <v>2</v>
      </c>
      <c r="DN5" s="19">
        <v>0</v>
      </c>
      <c r="DO5" s="19">
        <v>4</v>
      </c>
      <c r="DP5" s="19">
        <v>2</v>
      </c>
      <c r="DQ5" s="19">
        <v>0</v>
      </c>
      <c r="DR5" s="19">
        <v>4</v>
      </c>
      <c r="DS5" s="19">
        <v>2</v>
      </c>
      <c r="DT5" s="19">
        <v>2</v>
      </c>
      <c r="DU5" s="19">
        <v>0</v>
      </c>
      <c r="DV5" s="19">
        <v>4</v>
      </c>
      <c r="DW5" s="19">
        <v>2</v>
      </c>
      <c r="DX5" s="19">
        <v>0</v>
      </c>
      <c r="DY5" s="19">
        <v>4</v>
      </c>
      <c r="DZ5" s="19"/>
      <c r="EA5" s="19"/>
      <c r="EB5" s="19" t="s">
        <v>64</v>
      </c>
      <c r="EC5" s="19">
        <v>0</v>
      </c>
      <c r="ED5" s="19">
        <v>0</v>
      </c>
      <c r="EE5" s="19">
        <v>0</v>
      </c>
      <c r="EF5" s="19">
        <v>0</v>
      </c>
      <c r="EG5" s="19">
        <v>0</v>
      </c>
      <c r="EH5" s="19">
        <v>2</v>
      </c>
      <c r="EI5" s="19">
        <v>0</v>
      </c>
      <c r="EJ5" s="19">
        <v>0</v>
      </c>
      <c r="EK5" s="19">
        <v>0</v>
      </c>
      <c r="EL5" s="19">
        <v>0</v>
      </c>
      <c r="EM5" s="19">
        <v>0</v>
      </c>
      <c r="EN5" s="19">
        <v>0</v>
      </c>
      <c r="EO5" s="19">
        <v>0</v>
      </c>
      <c r="EP5" s="19">
        <v>0</v>
      </c>
      <c r="EQ5" s="19">
        <v>2</v>
      </c>
      <c r="ER5" s="19">
        <v>0</v>
      </c>
      <c r="ES5" s="19">
        <v>4</v>
      </c>
      <c r="ET5" s="19">
        <v>2</v>
      </c>
      <c r="EU5" s="19">
        <v>2</v>
      </c>
      <c r="EV5" s="19">
        <v>0</v>
      </c>
      <c r="EW5" s="19">
        <v>2</v>
      </c>
      <c r="EX5" s="19">
        <v>0</v>
      </c>
      <c r="EY5" s="19">
        <v>4</v>
      </c>
      <c r="EZ5" s="19">
        <v>0</v>
      </c>
      <c r="FA5" s="19">
        <v>0</v>
      </c>
      <c r="FB5" s="19">
        <v>0</v>
      </c>
      <c r="FC5" s="19">
        <v>2</v>
      </c>
      <c r="FD5" s="19">
        <v>0</v>
      </c>
      <c r="FE5" s="19">
        <v>0</v>
      </c>
      <c r="FF5" s="19">
        <v>0</v>
      </c>
      <c r="FG5" s="19">
        <v>2</v>
      </c>
      <c r="FH5" s="19">
        <v>0</v>
      </c>
      <c r="FI5" s="19">
        <v>0</v>
      </c>
      <c r="FJ5" s="19">
        <v>0</v>
      </c>
      <c r="FK5" s="19">
        <v>2</v>
      </c>
      <c r="FL5" s="19">
        <v>0</v>
      </c>
      <c r="FM5" s="19">
        <v>0</v>
      </c>
      <c r="FN5" s="19">
        <v>0</v>
      </c>
      <c r="FO5" s="19">
        <v>2</v>
      </c>
      <c r="FP5" s="19">
        <v>0</v>
      </c>
      <c r="FQ5" s="19">
        <v>0</v>
      </c>
      <c r="FR5" s="19">
        <v>0</v>
      </c>
      <c r="FS5" s="19">
        <v>0</v>
      </c>
      <c r="FT5" s="19">
        <v>0</v>
      </c>
      <c r="FU5" s="19">
        <v>0</v>
      </c>
      <c r="FV5" s="19">
        <v>0</v>
      </c>
      <c r="FW5" s="19">
        <v>2</v>
      </c>
      <c r="FX5" s="19">
        <v>0</v>
      </c>
      <c r="FY5" s="19">
        <v>0</v>
      </c>
      <c r="FZ5" s="19">
        <v>0</v>
      </c>
      <c r="GA5" s="19">
        <v>2</v>
      </c>
      <c r="GC5" s="19"/>
      <c r="GD5" s="19"/>
      <c r="GE5" s="19" t="s">
        <v>64</v>
      </c>
      <c r="GF5" s="19">
        <v>0</v>
      </c>
      <c r="GG5" s="19">
        <v>0</v>
      </c>
      <c r="GH5" s="19">
        <v>0</v>
      </c>
      <c r="GI5" s="19">
        <v>0</v>
      </c>
      <c r="GJ5" s="19">
        <v>0</v>
      </c>
      <c r="GK5" s="19">
        <v>0</v>
      </c>
      <c r="GL5" s="19">
        <v>2</v>
      </c>
      <c r="GM5" s="19">
        <v>0</v>
      </c>
      <c r="GN5" s="19">
        <v>0</v>
      </c>
      <c r="GO5" s="19">
        <v>2</v>
      </c>
      <c r="GP5" s="19">
        <v>0</v>
      </c>
      <c r="GQ5" s="19">
        <v>2</v>
      </c>
      <c r="GR5" s="19">
        <v>0</v>
      </c>
      <c r="GS5" s="19">
        <v>0</v>
      </c>
      <c r="GT5" s="19">
        <v>4</v>
      </c>
      <c r="GU5" s="19">
        <v>0</v>
      </c>
      <c r="GV5" s="19">
        <v>0</v>
      </c>
      <c r="GW5" s="19">
        <v>0</v>
      </c>
      <c r="GX5" s="19">
        <v>0</v>
      </c>
      <c r="GY5" s="19">
        <v>2</v>
      </c>
      <c r="GZ5" s="19">
        <v>0</v>
      </c>
      <c r="HA5" s="19">
        <v>2</v>
      </c>
      <c r="HB5" s="19">
        <v>0</v>
      </c>
      <c r="HC5" s="19">
        <v>2</v>
      </c>
      <c r="HD5" s="19">
        <v>0</v>
      </c>
      <c r="HE5" s="19">
        <v>0</v>
      </c>
      <c r="HF5" s="19">
        <v>0</v>
      </c>
      <c r="HG5" s="19">
        <v>0</v>
      </c>
      <c r="HH5" s="19">
        <v>0</v>
      </c>
      <c r="HI5" s="19">
        <v>0</v>
      </c>
      <c r="HJ5" s="19">
        <v>0</v>
      </c>
      <c r="HK5" s="19">
        <v>0</v>
      </c>
      <c r="HL5" s="19">
        <v>0</v>
      </c>
      <c r="HM5" s="19">
        <v>0</v>
      </c>
      <c r="HN5" s="19">
        <v>0</v>
      </c>
      <c r="HO5" s="19">
        <v>2</v>
      </c>
      <c r="HP5" s="19">
        <v>0</v>
      </c>
      <c r="HQ5" s="19">
        <v>0</v>
      </c>
      <c r="HR5" s="19">
        <v>2</v>
      </c>
      <c r="HS5" s="19">
        <v>0</v>
      </c>
      <c r="HT5" s="19">
        <v>0</v>
      </c>
      <c r="HU5" s="19">
        <v>0</v>
      </c>
      <c r="HV5" s="19">
        <v>0</v>
      </c>
      <c r="HW5" s="19">
        <v>0</v>
      </c>
      <c r="HX5" s="19">
        <v>0</v>
      </c>
      <c r="HY5" s="19">
        <v>0</v>
      </c>
      <c r="HZ5" s="19">
        <v>0</v>
      </c>
      <c r="IA5" s="19">
        <v>0</v>
      </c>
      <c r="IB5" s="19">
        <v>0</v>
      </c>
      <c r="IC5" s="19">
        <v>0</v>
      </c>
      <c r="ID5" s="19">
        <v>2</v>
      </c>
      <c r="IF5" s="20" t="s">
        <v>64</v>
      </c>
      <c r="IG5" s="20">
        <v>0</v>
      </c>
      <c r="IH5" s="20">
        <v>0</v>
      </c>
      <c r="II5" s="20">
        <v>0</v>
      </c>
      <c r="IJ5" s="20">
        <v>0</v>
      </c>
      <c r="IK5" s="20">
        <v>0</v>
      </c>
      <c r="IL5" s="20">
        <v>0</v>
      </c>
      <c r="IM5" s="20">
        <v>4</v>
      </c>
      <c r="IN5" s="20">
        <v>0</v>
      </c>
      <c r="IO5" s="20">
        <v>0</v>
      </c>
      <c r="IP5" s="20">
        <v>0</v>
      </c>
      <c r="IQ5" s="20">
        <v>0</v>
      </c>
      <c r="IR5" s="20">
        <v>0</v>
      </c>
      <c r="IS5" s="20">
        <v>0</v>
      </c>
      <c r="IT5" s="20">
        <v>2</v>
      </c>
      <c r="IU5" s="20">
        <v>2</v>
      </c>
      <c r="IV5" s="20">
        <v>0</v>
      </c>
      <c r="IW5" s="20">
        <v>2</v>
      </c>
      <c r="IX5" s="20">
        <v>0</v>
      </c>
      <c r="IY5" s="20">
        <v>0</v>
      </c>
      <c r="IZ5" s="20">
        <v>0</v>
      </c>
      <c r="JA5" s="20">
        <v>0</v>
      </c>
      <c r="JB5" s="20">
        <v>4</v>
      </c>
      <c r="JC5" s="20">
        <v>0</v>
      </c>
      <c r="JD5" s="20">
        <v>0</v>
      </c>
      <c r="JE5" s="20">
        <v>0</v>
      </c>
      <c r="JF5" s="20">
        <v>0</v>
      </c>
    </row>
    <row r="6" spans="1:266" x14ac:dyDescent="0.25">
      <c r="A6" s="8"/>
      <c r="B6" s="5" t="s">
        <v>61</v>
      </c>
      <c r="C6" s="8"/>
      <c r="D6" s="6" t="s">
        <v>455</v>
      </c>
      <c r="E6" s="8" t="s">
        <v>465</v>
      </c>
      <c r="F6" s="126" t="str">
        <f>IF(E10="40x35 oceľ","niekompatybilne z profilem stalowym","")</f>
        <v/>
      </c>
      <c r="G6" s="5"/>
      <c r="H6" s="5"/>
      <c r="I6" s="5"/>
      <c r="J6" s="5"/>
      <c r="K6" s="4"/>
      <c r="L6" s="6" t="str">
        <f>IF($E$10=AK22,"PAL40H40/3,15",IF($E$10=AK23,"PAL30H32/3,15","-------"))</f>
        <v>PAL40H40/3,15</v>
      </c>
      <c r="M6" s="14">
        <f>INDEX(cenník!$A$2:$I$568,MATCH($L6,cenník!$B$2:$B$557,0),MATCH(M$2,cenník!$A$1:$I$1,0))</f>
        <v>894631</v>
      </c>
      <c r="N6" s="14" t="str">
        <f>INDEX(cenník!$A$2:$I$568,MATCH($L6,cenník!$B$2:$B$557,0),MATCH(N$2,cenník!$A$1:$I$1,0))</f>
        <v>ks</v>
      </c>
      <c r="O6" s="14">
        <f>IF(L6="-------",0,SUM(AQ3:AQ18))</f>
        <v>0</v>
      </c>
      <c r="P6" s="21">
        <f>INDEX(cenník!$A$2:$I$568,MATCH($L6,cenník!$B$2:$B$557,0),MATCH(P$2,cenník!$A$1:$I$1,0))</f>
        <v>30.78</v>
      </c>
      <c r="Q6" s="21">
        <f t="shared" si="0"/>
        <v>0</v>
      </c>
      <c r="R6" s="22">
        <f t="shared" si="1"/>
        <v>0</v>
      </c>
      <c r="S6" s="21">
        <f t="shared" si="2"/>
        <v>30.78</v>
      </c>
      <c r="T6" s="21">
        <f t="shared" si="3"/>
        <v>0</v>
      </c>
      <c r="U6" s="21">
        <f>INDEX(cenník!$A$2:$I$568,MATCH($L6,cenník!$B$2:$B$557,0),MATCH(U$2,cenník!$A$1:$I$1,0))*O6</f>
        <v>0</v>
      </c>
      <c r="V6" s="19" t="s">
        <v>396</v>
      </c>
      <c r="W6" s="19">
        <f>IF(E3=$AH$30,$AJ$30,IF(E3=$AH$31,$AJ$31,IF(E3=$AH$32,$AJ$32,IF(E3=$AH$33,$AJ$33,IF(E3=$AH$34,$AJ$34,IF(E3=$AH$35,$AJ$35,IF(E3=$AH$36,$AJ$36,IF(E3=$AH$37,$AJ$37,IF(E3=$AH$38,$AJ$38,IF(E3=$AH$39,$AJ$39,IF(E3=$AH$40,$AJ$40,IF(E3=$AH$41,$AJ$41,IF(E3=$AH$42,$AJ$42,IF(E3=$AH$43,$AJ$43,IF(E3=$AH$44,$AJ$44,IF(E3=$AH$45,$AJ$45,IF(E3=$AH$46,$AJ$46,IF(E3=$AH$47,$AJ$47,0))))))))))))))))))</f>
        <v>2100</v>
      </c>
      <c r="X6" s="25">
        <f t="shared" si="4"/>
        <v>0</v>
      </c>
      <c r="Y6" s="19"/>
      <c r="Z6" s="19"/>
      <c r="AA6" s="19"/>
      <c r="AB6" s="26">
        <v>32</v>
      </c>
      <c r="AC6" s="121" t="s">
        <v>20</v>
      </c>
      <c r="AD6" s="121" t="s">
        <v>21</v>
      </c>
      <c r="AE6" s="121" t="s">
        <v>55</v>
      </c>
      <c r="AF6" s="19" t="s">
        <v>13</v>
      </c>
      <c r="AG6" s="19">
        <v>32</v>
      </c>
      <c r="AH6" s="121" t="s">
        <v>32</v>
      </c>
      <c r="AI6" s="121" t="s">
        <v>33</v>
      </c>
      <c r="AJ6" s="122" t="s">
        <v>84</v>
      </c>
      <c r="AK6" s="122" t="s">
        <v>84</v>
      </c>
      <c r="AL6" s="122"/>
      <c r="AM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5,$BB$2:$CA$2,0),MATCH($W$2,$AH$22:$AH$47,0)))*C5</f>
        <v>0</v>
      </c>
      <c r="AN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5,$BB$2:$CA$2,0),MATCH($W$2,$AH$22:$AH$47,0)))*C5</f>
        <v>0</v>
      </c>
      <c r="AO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5,$BB$2:$CA$2,0),MATCH($W$2,$AH$22:$AH$47,0)))*C5</f>
        <v>0</v>
      </c>
      <c r="AP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5,$BB$2:$CA$2,0),MATCH($W$2,$AH$22:$AH$47,0)))*C5</f>
        <v>0</v>
      </c>
      <c r="AQ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5,$BB$2:$CA$2,0),MATCH($W$2,$AH$22:$AH$47,0)))*C5</f>
        <v>0</v>
      </c>
      <c r="AR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5,$BB$2:$CA$2,0),MATCH($W$2,$AH$22:$AH$47,0)))*C5</f>
        <v>0</v>
      </c>
      <c r="AS6" s="19"/>
      <c r="AT6" s="19">
        <f>((AT5*AU5)+((AT5-1)*20))+80</f>
        <v>1080</v>
      </c>
      <c r="AU6" s="26" t="s">
        <v>91</v>
      </c>
      <c r="AV6" s="26" t="s">
        <v>89</v>
      </c>
      <c r="AW6" s="26" t="s">
        <v>88</v>
      </c>
      <c r="AX6" s="19"/>
      <c r="AY6" s="19" t="s">
        <v>90</v>
      </c>
      <c r="AZ6" s="19"/>
      <c r="BA6" s="19" t="s">
        <v>14</v>
      </c>
      <c r="BB6" s="19">
        <v>0</v>
      </c>
      <c r="BC6" s="19">
        <v>0</v>
      </c>
      <c r="BD6" s="19">
        <v>0</v>
      </c>
      <c r="BE6" s="19">
        <v>2</v>
      </c>
      <c r="BF6" s="19">
        <v>0</v>
      </c>
      <c r="BG6" s="19">
        <v>2</v>
      </c>
      <c r="BH6" s="19">
        <v>4</v>
      </c>
      <c r="BI6" s="19">
        <v>2</v>
      </c>
      <c r="BJ6" s="19">
        <v>4</v>
      </c>
      <c r="BK6" s="19">
        <v>6</v>
      </c>
      <c r="BL6" s="19">
        <v>4</v>
      </c>
      <c r="BM6" s="19">
        <v>6</v>
      </c>
      <c r="BN6" s="19">
        <v>8</v>
      </c>
      <c r="BO6" s="19">
        <v>6</v>
      </c>
      <c r="BP6" s="19">
        <v>8</v>
      </c>
      <c r="BQ6" s="19">
        <v>0</v>
      </c>
      <c r="BR6" s="19">
        <v>0</v>
      </c>
      <c r="BS6" s="19">
        <v>0</v>
      </c>
      <c r="BT6" s="19">
        <v>0</v>
      </c>
      <c r="BU6" s="19">
        <v>2</v>
      </c>
      <c r="BV6" s="19">
        <v>2</v>
      </c>
      <c r="BW6" s="19">
        <v>4</v>
      </c>
      <c r="BX6" s="19">
        <v>6</v>
      </c>
      <c r="BY6" s="19">
        <v>6</v>
      </c>
      <c r="BZ6" s="19">
        <v>6</v>
      </c>
      <c r="CA6" s="19">
        <v>8</v>
      </c>
      <c r="CB6" s="19">
        <v>12</v>
      </c>
      <c r="CC6" s="19">
        <v>10</v>
      </c>
      <c r="CD6" s="19">
        <v>12</v>
      </c>
      <c r="CE6" s="19">
        <v>0</v>
      </c>
      <c r="CF6" s="19">
        <v>12</v>
      </c>
      <c r="CG6" s="19">
        <v>14</v>
      </c>
      <c r="CH6" s="19">
        <v>0</v>
      </c>
      <c r="CI6" s="19">
        <v>14</v>
      </c>
      <c r="CJ6" s="19">
        <v>16</v>
      </c>
      <c r="CK6" s="19">
        <v>4</v>
      </c>
      <c r="CL6" s="19">
        <v>8</v>
      </c>
      <c r="CM6" s="19">
        <v>4</v>
      </c>
      <c r="CN6" s="19">
        <v>6</v>
      </c>
      <c r="CO6" s="19">
        <v>6</v>
      </c>
      <c r="CP6" s="19">
        <v>22</v>
      </c>
      <c r="CQ6" s="19">
        <v>8</v>
      </c>
      <c r="CR6" s="19">
        <v>22</v>
      </c>
      <c r="CS6" s="19">
        <v>10</v>
      </c>
      <c r="CT6" s="19">
        <v>12</v>
      </c>
      <c r="CU6" s="19">
        <v>0</v>
      </c>
      <c r="CV6" s="19">
        <v>4</v>
      </c>
      <c r="CW6" s="19">
        <v>14</v>
      </c>
      <c r="CX6" s="19">
        <v>0</v>
      </c>
      <c r="CY6" s="19">
        <v>30</v>
      </c>
      <c r="CZ6" s="19">
        <v>2</v>
      </c>
      <c r="DA6" s="17"/>
      <c r="DB6" s="17">
        <v>5</v>
      </c>
      <c r="DC6" s="17"/>
      <c r="DD6" s="19" t="s">
        <v>238</v>
      </c>
      <c r="DE6" s="19">
        <v>0</v>
      </c>
      <c r="DF6" s="19">
        <v>0</v>
      </c>
      <c r="DG6" s="19">
        <v>0</v>
      </c>
      <c r="DH6" s="19">
        <v>2</v>
      </c>
      <c r="DI6" s="19">
        <v>0</v>
      </c>
      <c r="DJ6" s="19">
        <v>2</v>
      </c>
      <c r="DK6" s="19">
        <v>4</v>
      </c>
      <c r="DL6" s="19">
        <v>2</v>
      </c>
      <c r="DM6" s="19">
        <v>4</v>
      </c>
      <c r="DN6" s="19">
        <v>6</v>
      </c>
      <c r="DO6" s="19">
        <v>4</v>
      </c>
      <c r="DP6" s="19">
        <v>6</v>
      </c>
      <c r="DQ6" s="19">
        <v>8</v>
      </c>
      <c r="DR6" s="19">
        <v>6</v>
      </c>
      <c r="DS6" s="19">
        <v>8</v>
      </c>
      <c r="DT6" s="19">
        <v>8</v>
      </c>
      <c r="DU6" s="19">
        <v>10</v>
      </c>
      <c r="DV6" s="19">
        <v>8</v>
      </c>
      <c r="DW6" s="19">
        <v>10</v>
      </c>
      <c r="DX6" s="19">
        <v>12</v>
      </c>
      <c r="DY6" s="19">
        <v>10</v>
      </c>
      <c r="DZ6" s="19"/>
      <c r="EA6" s="19"/>
      <c r="EB6" s="19" t="s">
        <v>14</v>
      </c>
      <c r="EC6" s="19">
        <v>0</v>
      </c>
      <c r="ED6" s="19">
        <v>0</v>
      </c>
      <c r="EE6" s="19">
        <v>0</v>
      </c>
      <c r="EF6" s="19">
        <v>2</v>
      </c>
      <c r="EG6" s="19">
        <v>2</v>
      </c>
      <c r="EH6" s="19">
        <v>4</v>
      </c>
      <c r="EI6" s="19">
        <v>4</v>
      </c>
      <c r="EJ6" s="19">
        <v>2</v>
      </c>
      <c r="EK6" s="19">
        <v>6</v>
      </c>
      <c r="EL6" s="19">
        <v>2</v>
      </c>
      <c r="EM6" s="19">
        <v>10</v>
      </c>
      <c r="EN6" s="19">
        <v>0</v>
      </c>
      <c r="EO6" s="19">
        <v>8</v>
      </c>
      <c r="EP6" s="19">
        <v>0</v>
      </c>
      <c r="EQ6" s="19">
        <v>6</v>
      </c>
      <c r="ER6" s="19">
        <v>14</v>
      </c>
      <c r="ES6" s="19">
        <v>6</v>
      </c>
      <c r="ET6" s="19">
        <v>2</v>
      </c>
      <c r="EU6" s="19">
        <v>4</v>
      </c>
      <c r="EV6" s="19">
        <v>12</v>
      </c>
      <c r="EW6" s="19">
        <v>20</v>
      </c>
      <c r="EX6" s="19">
        <v>12</v>
      </c>
      <c r="EY6" s="19">
        <v>8</v>
      </c>
      <c r="EZ6" s="19">
        <v>10</v>
      </c>
      <c r="FA6" s="19">
        <v>16</v>
      </c>
      <c r="FB6" s="19">
        <v>10</v>
      </c>
      <c r="FC6" s="19">
        <v>16</v>
      </c>
      <c r="FD6" s="19">
        <v>8</v>
      </c>
      <c r="FE6" s="19">
        <v>30</v>
      </c>
      <c r="FF6" s="19">
        <v>8</v>
      </c>
      <c r="FG6" s="19">
        <v>14</v>
      </c>
      <c r="FH6" s="19">
        <v>6</v>
      </c>
      <c r="FI6" s="19">
        <v>6</v>
      </c>
      <c r="FJ6" s="19">
        <v>6</v>
      </c>
      <c r="FK6" s="19">
        <v>12</v>
      </c>
      <c r="FL6" s="19">
        <v>4</v>
      </c>
      <c r="FM6" s="19">
        <v>26</v>
      </c>
      <c r="FN6" s="19">
        <v>4</v>
      </c>
      <c r="FO6" s="19">
        <v>10</v>
      </c>
      <c r="FP6" s="19">
        <v>2</v>
      </c>
      <c r="FQ6" s="19">
        <v>24</v>
      </c>
      <c r="FR6" s="19">
        <v>2</v>
      </c>
      <c r="FS6" s="19">
        <v>0</v>
      </c>
      <c r="FT6" s="19">
        <v>0</v>
      </c>
      <c r="FU6" s="19">
        <v>22</v>
      </c>
      <c r="FV6" s="19">
        <v>0</v>
      </c>
      <c r="FW6" s="19">
        <v>6</v>
      </c>
      <c r="FX6" s="19">
        <v>0</v>
      </c>
      <c r="FY6" s="19">
        <v>20</v>
      </c>
      <c r="FZ6" s="19">
        <v>0</v>
      </c>
      <c r="GA6" s="19">
        <v>4</v>
      </c>
      <c r="GC6" s="19"/>
      <c r="GD6" s="19"/>
      <c r="GE6" s="19" t="s">
        <v>14</v>
      </c>
      <c r="GF6" s="19">
        <v>0</v>
      </c>
      <c r="GG6" s="19">
        <v>0</v>
      </c>
      <c r="GH6" s="19">
        <v>0</v>
      </c>
      <c r="GI6" s="19">
        <v>4</v>
      </c>
      <c r="GJ6" s="19">
        <v>0</v>
      </c>
      <c r="GK6" s="19">
        <v>2</v>
      </c>
      <c r="GL6" s="19">
        <v>6</v>
      </c>
      <c r="GM6" s="19">
        <v>6</v>
      </c>
      <c r="GN6" s="19">
        <v>10</v>
      </c>
      <c r="GO6" s="19">
        <v>0</v>
      </c>
      <c r="GP6" s="19">
        <v>6</v>
      </c>
      <c r="GQ6" s="19">
        <v>8</v>
      </c>
      <c r="GR6" s="19">
        <v>0</v>
      </c>
      <c r="GS6" s="19">
        <v>16</v>
      </c>
      <c r="GT6" s="19">
        <v>4</v>
      </c>
      <c r="GU6" s="19">
        <v>8</v>
      </c>
      <c r="GV6" s="19">
        <v>10</v>
      </c>
      <c r="GW6" s="19">
        <v>0</v>
      </c>
      <c r="GX6" s="19">
        <v>18</v>
      </c>
      <c r="GY6" s="19">
        <v>22</v>
      </c>
      <c r="GZ6" s="19">
        <v>10</v>
      </c>
      <c r="HA6" s="19">
        <v>14</v>
      </c>
      <c r="HB6" s="19">
        <v>4</v>
      </c>
      <c r="HC6" s="19">
        <v>6</v>
      </c>
      <c r="HD6" s="19">
        <v>0</v>
      </c>
      <c r="HE6" s="19">
        <v>14</v>
      </c>
      <c r="HF6" s="19">
        <v>32</v>
      </c>
      <c r="HG6" s="19">
        <v>6</v>
      </c>
      <c r="HH6" s="19">
        <v>24</v>
      </c>
      <c r="HI6" s="19">
        <v>0</v>
      </c>
      <c r="HJ6" s="19">
        <v>16</v>
      </c>
      <c r="HK6" s="19">
        <v>34</v>
      </c>
      <c r="HL6" s="19">
        <v>8</v>
      </c>
      <c r="HM6" s="19">
        <v>26</v>
      </c>
      <c r="HN6" s="19">
        <v>0</v>
      </c>
      <c r="HO6" s="19">
        <v>4</v>
      </c>
      <c r="HP6" s="19">
        <v>0</v>
      </c>
      <c r="HQ6" s="19">
        <v>12</v>
      </c>
      <c r="HR6" s="19">
        <v>14</v>
      </c>
      <c r="HS6" s="19">
        <v>4</v>
      </c>
      <c r="HT6" s="19">
        <v>22</v>
      </c>
      <c r="HU6" s="19">
        <v>0</v>
      </c>
      <c r="HV6" s="19">
        <v>14</v>
      </c>
      <c r="HW6" s="19">
        <v>32</v>
      </c>
      <c r="HX6" s="19">
        <v>6</v>
      </c>
      <c r="HY6" s="19">
        <v>24</v>
      </c>
      <c r="HZ6" s="19">
        <v>0</v>
      </c>
      <c r="IA6" s="19">
        <v>16</v>
      </c>
      <c r="IB6" s="19">
        <v>0</v>
      </c>
      <c r="IC6" s="19">
        <v>10</v>
      </c>
      <c r="ID6" s="19">
        <v>12</v>
      </c>
      <c r="IF6" s="20" t="s">
        <v>14</v>
      </c>
      <c r="IG6" s="20">
        <v>0</v>
      </c>
      <c r="IH6" s="20">
        <v>2</v>
      </c>
      <c r="II6" s="20">
        <v>2</v>
      </c>
      <c r="IJ6" s="20">
        <v>2</v>
      </c>
      <c r="IK6" s="20">
        <v>4</v>
      </c>
      <c r="IL6" s="20">
        <v>0</v>
      </c>
      <c r="IM6" s="20">
        <v>0</v>
      </c>
      <c r="IN6" s="20">
        <v>8</v>
      </c>
      <c r="IO6" s="20">
        <v>8</v>
      </c>
      <c r="IP6" s="20">
        <v>4</v>
      </c>
      <c r="IQ6" s="20">
        <v>0</v>
      </c>
      <c r="IR6" s="20">
        <v>0</v>
      </c>
      <c r="IS6" s="20">
        <v>16</v>
      </c>
      <c r="IT6" s="20">
        <v>10</v>
      </c>
      <c r="IU6" s="20">
        <v>6</v>
      </c>
      <c r="IV6" s="20">
        <v>6</v>
      </c>
      <c r="IW6" s="20">
        <v>2</v>
      </c>
      <c r="IX6" s="20">
        <v>2</v>
      </c>
      <c r="IY6" s="20">
        <v>0</v>
      </c>
      <c r="IZ6" s="20">
        <v>10</v>
      </c>
      <c r="JA6" s="20">
        <v>22</v>
      </c>
      <c r="JB6" s="20">
        <v>4</v>
      </c>
      <c r="JC6" s="20">
        <v>2</v>
      </c>
      <c r="JD6" s="20">
        <v>14</v>
      </c>
      <c r="JE6" s="20">
        <v>26</v>
      </c>
      <c r="JF6" s="20">
        <v>0</v>
      </c>
    </row>
    <row r="7" spans="1:266" x14ac:dyDescent="0.25">
      <c r="A7" s="8"/>
      <c r="B7" s="5" t="s">
        <v>61</v>
      </c>
      <c r="C7" s="8"/>
      <c r="D7" s="6" t="s">
        <v>456</v>
      </c>
      <c r="E7" s="8" t="s">
        <v>466</v>
      </c>
      <c r="F7" s="5"/>
      <c r="G7" s="5"/>
      <c r="H7" s="5"/>
      <c r="I7" s="5"/>
      <c r="J7" s="5"/>
      <c r="K7" s="4"/>
      <c r="L7" s="6" t="str">
        <f>IF($E$10=AK22,"PAL40H40/3,3",IF($E$10=AK23,"PAL30H32/3,3",IF($E$10=AK24,"CWP40H35/3,3MC","-------")))</f>
        <v>PAL40H40/3,3</v>
      </c>
      <c r="M7" s="14">
        <f>INDEX(cenník!$A$2:$I$568,MATCH($L7,cenník!$B$2:$B$557,0),MATCH(M$2,cenník!$A$1:$I$1,0))</f>
        <v>894633</v>
      </c>
      <c r="N7" s="14" t="str">
        <f>INDEX(cenník!$A$2:$I$568,MATCH($L7,cenník!$B$2:$B$557,0),MATCH(N$2,cenník!$A$1:$I$1,0))</f>
        <v>ks</v>
      </c>
      <c r="O7" s="14">
        <f>SUM(AR3:AR18)</f>
        <v>0</v>
      </c>
      <c r="P7" s="21">
        <f>INDEX(cenník!$A$2:$I$568,MATCH($L7,cenník!$B$2:$B$557,0),MATCH(P$2,cenník!$A$1:$I$1,0))</f>
        <v>32.159999999999997</v>
      </c>
      <c r="Q7" s="21">
        <f t="shared" si="0"/>
        <v>0</v>
      </c>
      <c r="R7" s="22">
        <f t="shared" si="1"/>
        <v>0</v>
      </c>
      <c r="S7" s="21">
        <f t="shared" si="2"/>
        <v>32.159999999999997</v>
      </c>
      <c r="T7" s="21">
        <f t="shared" si="3"/>
        <v>0</v>
      </c>
      <c r="U7" s="21">
        <f>INDEX(cenník!$A$2:$I$568,MATCH($L7,cenník!$B$2:$B$557,0),MATCH(U$2,cenník!$A$1:$I$1,0))*O7</f>
        <v>0</v>
      </c>
      <c r="V7" s="19"/>
      <c r="W7" s="19"/>
      <c r="X7" s="25">
        <f t="shared" si="4"/>
        <v>0</v>
      </c>
      <c r="Y7" s="19"/>
      <c r="Z7" s="19"/>
      <c r="AA7" s="19"/>
      <c r="AB7" s="26">
        <v>33</v>
      </c>
      <c r="AC7" s="121" t="s">
        <v>22</v>
      </c>
      <c r="AE7" s="121" t="s">
        <v>55</v>
      </c>
      <c r="AF7" s="19" t="s">
        <v>13</v>
      </c>
      <c r="AG7" s="19">
        <v>33</v>
      </c>
      <c r="AJ7" s="122" t="s">
        <v>84</v>
      </c>
      <c r="AK7" s="122" t="s">
        <v>84</v>
      </c>
      <c r="AL7" s="122"/>
      <c r="AM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6,$BB$2:$CA$2,0),MATCH($W$2,$AH$22:$AH$47,0)))*C6</f>
        <v>0</v>
      </c>
      <c r="AN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6,$BB$2:$CA$2,0),MATCH($W$2,$AH$22:$AH$47,0)))*C6</f>
        <v>0</v>
      </c>
      <c r="AO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6,$BB$2:$CA$2,0),MATCH($W$2,$AH$22:$AH$47,0)))*C6</f>
        <v>0</v>
      </c>
      <c r="AP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6,$BB$2:$CA$2,0),MATCH($W$2,$AH$22:$AH$47,0)))*C6</f>
        <v>0</v>
      </c>
      <c r="AQ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6,$BB$2:$CA$2,0),MATCH($W$2,$AH$22:$AH$47,0)))*C6</f>
        <v>0</v>
      </c>
      <c r="AR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6,$BB$2:$CA$2,0),MATCH($W$2,$AH$22:$AH$47,0)))*C6</f>
        <v>0</v>
      </c>
      <c r="AS7" s="19"/>
      <c r="AT7" s="19">
        <v>1150</v>
      </c>
      <c r="AU7" s="19">
        <v>0</v>
      </c>
      <c r="AV7" s="19">
        <f>AT7*AU7</f>
        <v>0</v>
      </c>
      <c r="AW7" s="123">
        <v>24.7</v>
      </c>
      <c r="AX7" s="19">
        <f>AU7*AW7</f>
        <v>0</v>
      </c>
      <c r="AY7" s="19">
        <f>2*AU7</f>
        <v>0</v>
      </c>
      <c r="AZ7" s="19"/>
      <c r="BA7" s="19" t="s">
        <v>18</v>
      </c>
      <c r="BB7" s="19">
        <v>0</v>
      </c>
      <c r="BC7" s="19">
        <v>0</v>
      </c>
      <c r="BD7" s="19">
        <v>0</v>
      </c>
      <c r="BE7" s="19">
        <v>0</v>
      </c>
      <c r="BF7" s="19">
        <v>0</v>
      </c>
      <c r="BG7" s="19">
        <v>0</v>
      </c>
      <c r="BH7" s="19">
        <v>0</v>
      </c>
      <c r="BI7" s="19">
        <v>0</v>
      </c>
      <c r="BJ7" s="19">
        <v>0</v>
      </c>
      <c r="BK7" s="19">
        <v>0</v>
      </c>
      <c r="BL7" s="19">
        <v>0</v>
      </c>
      <c r="BM7" s="19">
        <v>0</v>
      </c>
      <c r="BN7" s="19">
        <v>0</v>
      </c>
      <c r="BO7" s="19">
        <v>0</v>
      </c>
      <c r="BP7" s="19">
        <v>0</v>
      </c>
      <c r="BQ7" s="19">
        <v>8</v>
      </c>
      <c r="BR7" s="19">
        <v>10</v>
      </c>
      <c r="BS7" s="19">
        <v>8</v>
      </c>
      <c r="BT7" s="19">
        <v>10</v>
      </c>
      <c r="BU7" s="19">
        <v>10</v>
      </c>
      <c r="BV7" s="19">
        <v>8</v>
      </c>
      <c r="BW7" s="19">
        <v>8</v>
      </c>
      <c r="BX7" s="19">
        <v>8</v>
      </c>
      <c r="BY7" s="19">
        <v>6</v>
      </c>
      <c r="BZ7" s="19">
        <v>6</v>
      </c>
      <c r="CA7" s="19">
        <v>8</v>
      </c>
      <c r="CB7" s="19">
        <v>2</v>
      </c>
      <c r="CC7" s="19">
        <v>6</v>
      </c>
      <c r="CD7" s="19">
        <v>6</v>
      </c>
      <c r="CE7" s="19">
        <v>18</v>
      </c>
      <c r="CF7" s="19">
        <v>6</v>
      </c>
      <c r="CG7" s="19">
        <v>6</v>
      </c>
      <c r="CH7" s="19">
        <v>20</v>
      </c>
      <c r="CI7" s="19">
        <v>6</v>
      </c>
      <c r="CJ7" s="19">
        <v>6</v>
      </c>
      <c r="CK7" s="19">
        <v>18</v>
      </c>
      <c r="CL7" s="19">
        <v>12</v>
      </c>
      <c r="CM7" s="19">
        <v>18</v>
      </c>
      <c r="CN7" s="19">
        <v>18</v>
      </c>
      <c r="CO7" s="19">
        <v>16</v>
      </c>
      <c r="CP7" s="19">
        <v>4</v>
      </c>
      <c r="CQ7" s="19">
        <v>18</v>
      </c>
      <c r="CR7" s="19">
        <v>4</v>
      </c>
      <c r="CS7" s="19">
        <v>16</v>
      </c>
      <c r="CT7" s="19">
        <v>16</v>
      </c>
      <c r="CU7" s="19">
        <v>28</v>
      </c>
      <c r="CV7" s="19">
        <v>22</v>
      </c>
      <c r="CW7" s="19">
        <v>16</v>
      </c>
      <c r="CX7" s="19">
        <v>30</v>
      </c>
      <c r="CY7" s="19">
        <v>2</v>
      </c>
      <c r="CZ7" s="19">
        <v>28</v>
      </c>
      <c r="DA7" s="17"/>
      <c r="DB7" s="17">
        <v>6</v>
      </c>
      <c r="DC7" s="17"/>
      <c r="DD7" s="19" t="s">
        <v>239</v>
      </c>
      <c r="DE7" s="19">
        <v>0</v>
      </c>
      <c r="DF7" s="19">
        <v>0</v>
      </c>
      <c r="DG7" s="19">
        <v>0</v>
      </c>
      <c r="DH7" s="19">
        <v>0</v>
      </c>
      <c r="DI7" s="19">
        <v>4</v>
      </c>
      <c r="DJ7" s="19">
        <v>4</v>
      </c>
      <c r="DK7" s="19">
        <v>4</v>
      </c>
      <c r="DL7" s="19">
        <v>8</v>
      </c>
      <c r="DM7" s="19">
        <v>8</v>
      </c>
      <c r="DN7" s="19">
        <v>8</v>
      </c>
      <c r="DO7" s="19">
        <v>12</v>
      </c>
      <c r="DP7" s="19">
        <v>12</v>
      </c>
      <c r="DQ7" s="19">
        <v>12</v>
      </c>
      <c r="DR7" s="19">
        <v>16</v>
      </c>
      <c r="DS7" s="19">
        <v>16</v>
      </c>
      <c r="DT7" s="19">
        <v>16</v>
      </c>
      <c r="DU7" s="19">
        <v>16</v>
      </c>
      <c r="DV7" s="19">
        <v>20</v>
      </c>
      <c r="DW7" s="19">
        <v>20</v>
      </c>
      <c r="DX7" s="19">
        <v>20</v>
      </c>
      <c r="DY7" s="19">
        <v>24</v>
      </c>
      <c r="DZ7" s="19"/>
      <c r="EA7" s="19"/>
      <c r="EB7" s="19" t="s">
        <v>18</v>
      </c>
      <c r="EC7" s="19">
        <v>0</v>
      </c>
      <c r="ED7" s="19">
        <v>0</v>
      </c>
      <c r="EE7" s="19">
        <v>0</v>
      </c>
      <c r="EF7" s="19">
        <v>0</v>
      </c>
      <c r="EG7" s="19">
        <v>0</v>
      </c>
      <c r="EH7" s="19">
        <v>0</v>
      </c>
      <c r="EI7" s="19">
        <v>0</v>
      </c>
      <c r="EJ7" s="19">
        <v>4</v>
      </c>
      <c r="EK7" s="19">
        <v>0</v>
      </c>
      <c r="EL7" s="19">
        <v>6</v>
      </c>
      <c r="EM7" s="19">
        <v>0</v>
      </c>
      <c r="EN7" s="19">
        <v>10</v>
      </c>
      <c r="EO7" s="19">
        <v>2</v>
      </c>
      <c r="EP7" s="19">
        <v>12</v>
      </c>
      <c r="EQ7" s="19">
        <v>6</v>
      </c>
      <c r="ER7" s="19">
        <v>2</v>
      </c>
      <c r="ES7" s="19">
        <v>8</v>
      </c>
      <c r="ET7" s="19">
        <v>14</v>
      </c>
      <c r="EU7" s="19">
        <v>12</v>
      </c>
      <c r="EV7" s="19">
        <v>8</v>
      </c>
      <c r="EW7" s="19">
        <v>0</v>
      </c>
      <c r="EX7" s="19">
        <v>10</v>
      </c>
      <c r="EY7" s="19">
        <v>12</v>
      </c>
      <c r="EZ7" s="19">
        <v>14</v>
      </c>
      <c r="FA7" s="19">
        <v>8</v>
      </c>
      <c r="FB7" s="19">
        <v>16</v>
      </c>
      <c r="FC7" s="19">
        <v>10</v>
      </c>
      <c r="FD7" s="19">
        <v>20</v>
      </c>
      <c r="FE7" s="19">
        <v>0</v>
      </c>
      <c r="FF7" s="19">
        <v>22</v>
      </c>
      <c r="FG7" s="19">
        <v>16</v>
      </c>
      <c r="FH7" s="19">
        <v>26</v>
      </c>
      <c r="FI7" s="19">
        <v>26</v>
      </c>
      <c r="FJ7" s="19">
        <v>28</v>
      </c>
      <c r="FK7" s="19">
        <v>22</v>
      </c>
      <c r="FL7" s="19">
        <v>32</v>
      </c>
      <c r="FM7" s="19">
        <v>12</v>
      </c>
      <c r="FN7" s="19">
        <v>34</v>
      </c>
      <c r="FO7" s="19">
        <v>28</v>
      </c>
      <c r="FP7" s="19">
        <v>38</v>
      </c>
      <c r="FQ7" s="19">
        <v>18</v>
      </c>
      <c r="FR7" s="19">
        <v>40</v>
      </c>
      <c r="FS7" s="19">
        <v>40</v>
      </c>
      <c r="FT7" s="19">
        <v>44</v>
      </c>
      <c r="FU7" s="19">
        <v>24</v>
      </c>
      <c r="FV7" s="19">
        <v>46</v>
      </c>
      <c r="FW7" s="19">
        <v>40</v>
      </c>
      <c r="FX7" s="19">
        <v>48</v>
      </c>
      <c r="FY7" s="19">
        <v>30</v>
      </c>
      <c r="FZ7" s="19">
        <v>50</v>
      </c>
      <c r="GA7" s="19">
        <v>46</v>
      </c>
      <c r="GC7" s="19"/>
      <c r="GD7" s="19"/>
      <c r="GE7" s="19" t="s">
        <v>18</v>
      </c>
      <c r="GF7" s="19">
        <v>0</v>
      </c>
      <c r="GG7" s="19">
        <v>0</v>
      </c>
      <c r="GH7" s="19">
        <v>0</v>
      </c>
      <c r="GI7" s="19">
        <v>0</v>
      </c>
      <c r="GJ7" s="19">
        <v>4</v>
      </c>
      <c r="GK7" s="19">
        <v>4</v>
      </c>
      <c r="GL7" s="19">
        <v>0</v>
      </c>
      <c r="GM7" s="19">
        <v>0</v>
      </c>
      <c r="GN7" s="19">
        <v>0</v>
      </c>
      <c r="GO7" s="19">
        <v>8</v>
      </c>
      <c r="GP7" s="19">
        <v>6</v>
      </c>
      <c r="GQ7" s="19">
        <v>4</v>
      </c>
      <c r="GR7" s="19">
        <v>14</v>
      </c>
      <c r="GS7" s="19">
        <v>0</v>
      </c>
      <c r="GT7" s="19">
        <v>10</v>
      </c>
      <c r="GU7" s="19">
        <v>10</v>
      </c>
      <c r="GV7" s="19">
        <v>8</v>
      </c>
      <c r="GW7" s="19">
        <v>20</v>
      </c>
      <c r="GX7" s="19">
        <v>4</v>
      </c>
      <c r="GY7" s="19">
        <v>0</v>
      </c>
      <c r="GZ7" s="19">
        <v>14</v>
      </c>
      <c r="HA7" s="19">
        <v>10</v>
      </c>
      <c r="HB7" s="19">
        <v>22</v>
      </c>
      <c r="HC7" s="19">
        <v>20</v>
      </c>
      <c r="HD7" s="19">
        <v>28</v>
      </c>
      <c r="HE7" s="19">
        <v>16</v>
      </c>
      <c r="HF7" s="19">
        <v>0</v>
      </c>
      <c r="HG7" s="19">
        <v>26</v>
      </c>
      <c r="HH7" s="19">
        <v>10</v>
      </c>
      <c r="HI7" s="19">
        <v>34</v>
      </c>
      <c r="HJ7" s="19">
        <v>20</v>
      </c>
      <c r="HK7" s="19">
        <v>4</v>
      </c>
      <c r="HL7" s="19">
        <v>30</v>
      </c>
      <c r="HM7" s="19">
        <v>14</v>
      </c>
      <c r="HN7" s="19">
        <v>40</v>
      </c>
      <c r="HO7" s="19">
        <v>36</v>
      </c>
      <c r="HP7" s="19">
        <v>42</v>
      </c>
      <c r="HQ7" s="19">
        <v>32</v>
      </c>
      <c r="HR7" s="19">
        <v>30</v>
      </c>
      <c r="HS7" s="19">
        <v>42</v>
      </c>
      <c r="HT7" s="19">
        <v>26</v>
      </c>
      <c r="HU7" s="19">
        <v>48</v>
      </c>
      <c r="HV7" s="19">
        <v>36</v>
      </c>
      <c r="HW7" s="19">
        <v>20</v>
      </c>
      <c r="HX7" s="19">
        <v>46</v>
      </c>
      <c r="HY7" s="19">
        <v>30</v>
      </c>
      <c r="HZ7" s="19">
        <v>54</v>
      </c>
      <c r="IA7" s="19">
        <v>40</v>
      </c>
      <c r="IB7" s="19">
        <v>56</v>
      </c>
      <c r="IC7" s="19">
        <v>48</v>
      </c>
      <c r="ID7" s="19">
        <v>46</v>
      </c>
      <c r="IF7" s="20" t="s">
        <v>18</v>
      </c>
      <c r="IG7" s="20">
        <v>0</v>
      </c>
      <c r="IH7" s="20">
        <v>0</v>
      </c>
      <c r="II7" s="20">
        <v>0</v>
      </c>
      <c r="IJ7" s="20">
        <v>0</v>
      </c>
      <c r="IK7" s="20">
        <v>2</v>
      </c>
      <c r="IL7" s="20">
        <v>6</v>
      </c>
      <c r="IM7" s="20">
        <v>6</v>
      </c>
      <c r="IN7" s="20">
        <v>0</v>
      </c>
      <c r="IO7" s="20">
        <v>4</v>
      </c>
      <c r="IP7" s="20">
        <v>8</v>
      </c>
      <c r="IQ7" s="20">
        <v>12</v>
      </c>
      <c r="IR7" s="20">
        <v>16</v>
      </c>
      <c r="IS7" s="20">
        <v>2</v>
      </c>
      <c r="IT7" s="20">
        <v>8</v>
      </c>
      <c r="IU7" s="20">
        <v>12</v>
      </c>
      <c r="IV7" s="20">
        <v>16</v>
      </c>
      <c r="IW7" s="20">
        <v>20</v>
      </c>
      <c r="IX7" s="20">
        <v>20</v>
      </c>
      <c r="IY7" s="20">
        <v>26</v>
      </c>
      <c r="IZ7" s="20">
        <v>18</v>
      </c>
      <c r="JA7" s="20">
        <v>8</v>
      </c>
      <c r="JB7" s="20">
        <v>24</v>
      </c>
      <c r="JC7" s="20">
        <v>30</v>
      </c>
      <c r="JD7" s="20">
        <v>20</v>
      </c>
      <c r="JE7" s="20">
        <v>10</v>
      </c>
      <c r="JF7" s="20">
        <v>36</v>
      </c>
    </row>
    <row r="8" spans="1:266" x14ac:dyDescent="0.25">
      <c r="A8" s="8"/>
      <c r="B8" s="5" t="s">
        <v>61</v>
      </c>
      <c r="C8" s="8"/>
      <c r="D8" s="6" t="s">
        <v>457</v>
      </c>
      <c r="E8" s="8" t="s">
        <v>75</v>
      </c>
      <c r="F8" s="5"/>
      <c r="G8" s="5"/>
      <c r="H8" s="5"/>
      <c r="I8" s="5"/>
      <c r="J8" s="5" t="s">
        <v>62</v>
      </c>
      <c r="K8" s="4"/>
      <c r="L8" s="6" t="str">
        <f>IF(E10=$AK$22,"LPAN40",IF(E10=$AK$23,"LPAN30",IF(E10=$AK$24,"LC40H35MC",0)))</f>
        <v>LPAN40</v>
      </c>
      <c r="M8" s="14">
        <f>INDEX(cenník!$A$2:$I$568,MATCH($L8,cenník!$B$2:$B$557,0),MATCH(M$2,cenník!$A$1:$I$1,0))</f>
        <v>890512</v>
      </c>
      <c r="N8" s="14" t="str">
        <f>INDEX(cenník!$A$2:$I$568,MATCH($L8,cenník!$B$2:$B$557,0),MATCH(N$2,cenník!$A$1:$I$1,0))</f>
        <v>ks</v>
      </c>
      <c r="O8" s="45">
        <f>SUM(AM3:AM18)</f>
        <v>0</v>
      </c>
      <c r="P8" s="21">
        <f>INDEX(cenník!$A$2:$I$568,MATCH($L8,cenník!$B$2:$B$557,0),MATCH(P$2,cenník!$A$1:$I$1,0))</f>
        <v>1.48</v>
      </c>
      <c r="Q8" s="21">
        <f t="shared" si="0"/>
        <v>0</v>
      </c>
      <c r="R8" s="22">
        <f t="shared" si="1"/>
        <v>0</v>
      </c>
      <c r="S8" s="21">
        <f t="shared" si="2"/>
        <v>1.48</v>
      </c>
      <c r="T8" s="21">
        <f t="shared" si="3"/>
        <v>0</v>
      </c>
      <c r="U8" s="21">
        <f>INDEX(cenník!$A$2:$I$568,MATCH($L8,cenník!$B$2:$B$557,0),MATCH(U$2,cenník!$A$1:$I$1,0))*O8</f>
        <v>0</v>
      </c>
      <c r="V8" s="19"/>
      <c r="W8" s="19"/>
      <c r="X8" s="25">
        <f t="shared" si="4"/>
        <v>0</v>
      </c>
      <c r="Y8" s="19" t="s">
        <v>68</v>
      </c>
      <c r="Z8" s="19"/>
      <c r="AA8" s="19"/>
      <c r="AB8" s="26">
        <v>34</v>
      </c>
      <c r="AC8" s="121"/>
      <c r="AE8" s="121" t="s">
        <v>55</v>
      </c>
      <c r="AF8" s="19" t="s">
        <v>13</v>
      </c>
      <c r="AG8" s="19">
        <v>34</v>
      </c>
      <c r="AH8" s="121" t="s">
        <v>34</v>
      </c>
      <c r="AJ8" s="122" t="s">
        <v>84</v>
      </c>
      <c r="AK8" s="122" t="s">
        <v>84</v>
      </c>
      <c r="AL8" s="122"/>
      <c r="AM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7,$BB$2:$CA$2,0),MATCH($W$2,$AH$22:$AH$47,0)))*C7</f>
        <v>0</v>
      </c>
      <c r="AN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7,$BB$2:$CA$2,0),MATCH($W$2,$AH$22:$AH$47,0)))*C7</f>
        <v>0</v>
      </c>
      <c r="AO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7,$BB$2:$CA$2,0),MATCH($W$2,$AH$22:$AH$47,0)))*C7</f>
        <v>0</v>
      </c>
      <c r="AP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7,$BB$2:$CA$2,0),MATCH($W$2,$AH$22:$AH$47,0)))*C7</f>
        <v>0</v>
      </c>
      <c r="AQ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7,$BB$2:$CA$2,0),MATCH($W$2,$AH$22:$AH$47,0)))*C7</f>
        <v>0</v>
      </c>
      <c r="AR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7,$BB$2:$CA$2,0),MATCH($W$2,$AH$22:$AH$47,0)))*C7</f>
        <v>0</v>
      </c>
      <c r="AS8" s="19"/>
      <c r="AT8" s="19">
        <v>2100</v>
      </c>
      <c r="AU8" s="19">
        <v>0</v>
      </c>
      <c r="AV8" s="19">
        <f>AT8*AU8</f>
        <v>0</v>
      </c>
      <c r="AW8" s="123">
        <v>44.61</v>
      </c>
      <c r="AX8" s="19">
        <f>AU8*AW8</f>
        <v>0</v>
      </c>
      <c r="AY8" s="19">
        <f>2*AU8</f>
        <v>0</v>
      </c>
      <c r="AZ8" s="19"/>
      <c r="BA8" s="19" t="s">
        <v>179</v>
      </c>
      <c r="BB8" s="19">
        <v>0</v>
      </c>
      <c r="BC8" s="19">
        <f>((((SUM(BC3:BC7))/2)-1))*4</f>
        <v>0</v>
      </c>
      <c r="BD8" s="19">
        <f t="shared" ref="BD8:CZ8" si="5">((((SUM(BD3:BD7))/2)-1))*4</f>
        <v>0</v>
      </c>
      <c r="BE8" s="19">
        <f t="shared" si="5"/>
        <v>0</v>
      </c>
      <c r="BF8" s="19">
        <f t="shared" si="5"/>
        <v>4</v>
      </c>
      <c r="BG8" s="19">
        <f t="shared" si="5"/>
        <v>4</v>
      </c>
      <c r="BH8" s="19">
        <f t="shared" si="5"/>
        <v>4</v>
      </c>
      <c r="BI8" s="19">
        <f t="shared" si="5"/>
        <v>8</v>
      </c>
      <c r="BJ8" s="19">
        <f t="shared" si="5"/>
        <v>8</v>
      </c>
      <c r="BK8" s="19">
        <f t="shared" si="5"/>
        <v>8</v>
      </c>
      <c r="BL8" s="19">
        <f t="shared" si="5"/>
        <v>12</v>
      </c>
      <c r="BM8" s="19">
        <f t="shared" si="5"/>
        <v>12</v>
      </c>
      <c r="BN8" s="19">
        <f t="shared" si="5"/>
        <v>12</v>
      </c>
      <c r="BO8" s="19">
        <f t="shared" si="5"/>
        <v>16</v>
      </c>
      <c r="BP8" s="19">
        <f t="shared" si="5"/>
        <v>16</v>
      </c>
      <c r="BQ8" s="19">
        <f t="shared" si="5"/>
        <v>16</v>
      </c>
      <c r="BR8" s="19">
        <f t="shared" si="5"/>
        <v>16</v>
      </c>
      <c r="BS8" s="19">
        <f t="shared" si="5"/>
        <v>20</v>
      </c>
      <c r="BT8" s="19">
        <f t="shared" si="5"/>
        <v>20</v>
      </c>
      <c r="BU8" s="19">
        <f t="shared" si="5"/>
        <v>20</v>
      </c>
      <c r="BV8" s="19">
        <f t="shared" si="5"/>
        <v>24</v>
      </c>
      <c r="BW8" s="19">
        <f t="shared" si="5"/>
        <v>24</v>
      </c>
      <c r="BX8" s="19">
        <f t="shared" si="5"/>
        <v>24</v>
      </c>
      <c r="BY8" s="19">
        <f t="shared" si="5"/>
        <v>28</v>
      </c>
      <c r="BZ8" s="19">
        <f t="shared" si="5"/>
        <v>28</v>
      </c>
      <c r="CA8" s="19">
        <f t="shared" si="5"/>
        <v>28</v>
      </c>
      <c r="CB8" s="19">
        <f t="shared" si="5"/>
        <v>32</v>
      </c>
      <c r="CC8" s="19">
        <f t="shared" si="5"/>
        <v>32</v>
      </c>
      <c r="CD8" s="19">
        <f t="shared" si="5"/>
        <v>32</v>
      </c>
      <c r="CE8" s="19">
        <f t="shared" si="5"/>
        <v>32</v>
      </c>
      <c r="CF8" s="19">
        <f t="shared" si="5"/>
        <v>36</v>
      </c>
      <c r="CG8" s="19">
        <f t="shared" si="5"/>
        <v>36</v>
      </c>
      <c r="CH8" s="19">
        <f t="shared" si="5"/>
        <v>36</v>
      </c>
      <c r="CI8" s="19">
        <f t="shared" si="5"/>
        <v>40</v>
      </c>
      <c r="CJ8" s="19">
        <f t="shared" si="5"/>
        <v>40</v>
      </c>
      <c r="CK8" s="19">
        <f t="shared" si="5"/>
        <v>40</v>
      </c>
      <c r="CL8" s="19">
        <f t="shared" si="5"/>
        <v>44</v>
      </c>
      <c r="CM8" s="19">
        <f t="shared" si="5"/>
        <v>44</v>
      </c>
      <c r="CN8" s="19">
        <f t="shared" si="5"/>
        <v>44</v>
      </c>
      <c r="CO8" s="19">
        <f t="shared" si="5"/>
        <v>48</v>
      </c>
      <c r="CP8" s="19">
        <f t="shared" si="5"/>
        <v>48</v>
      </c>
      <c r="CQ8" s="19">
        <f t="shared" si="5"/>
        <v>48</v>
      </c>
      <c r="CR8" s="19">
        <f t="shared" si="5"/>
        <v>52</v>
      </c>
      <c r="CS8" s="19">
        <f t="shared" si="5"/>
        <v>52</v>
      </c>
      <c r="CT8" s="19">
        <f t="shared" si="5"/>
        <v>52</v>
      </c>
      <c r="CU8" s="19">
        <f t="shared" si="5"/>
        <v>52</v>
      </c>
      <c r="CV8" s="19">
        <f t="shared" si="5"/>
        <v>56</v>
      </c>
      <c r="CW8" s="19">
        <f t="shared" si="5"/>
        <v>56</v>
      </c>
      <c r="CX8" s="19">
        <f t="shared" si="5"/>
        <v>56</v>
      </c>
      <c r="CY8" s="19">
        <f t="shared" si="5"/>
        <v>60</v>
      </c>
      <c r="CZ8" s="19">
        <f t="shared" si="5"/>
        <v>60</v>
      </c>
      <c r="DA8" s="17"/>
      <c r="DB8" s="17">
        <v>7</v>
      </c>
      <c r="DC8" s="17"/>
      <c r="DD8" s="26" t="s">
        <v>326</v>
      </c>
      <c r="DE8" s="19">
        <v>0</v>
      </c>
      <c r="DF8" s="19"/>
      <c r="DG8" s="19"/>
      <c r="DH8" s="19"/>
      <c r="DI8" s="19"/>
      <c r="DJ8" s="19"/>
      <c r="DK8" s="19"/>
      <c r="DL8" s="19"/>
      <c r="DM8" s="19"/>
      <c r="DN8" s="19"/>
      <c r="DO8" s="19"/>
      <c r="DP8" s="19"/>
      <c r="DQ8" s="19"/>
      <c r="DR8" s="19"/>
      <c r="DS8" s="19"/>
      <c r="DT8" s="19"/>
      <c r="DU8" s="19"/>
      <c r="DV8" s="19"/>
      <c r="DW8" s="19"/>
      <c r="DX8" s="19"/>
      <c r="DY8" s="19"/>
      <c r="DZ8" s="19"/>
      <c r="EA8" s="19"/>
      <c r="EB8" s="19" t="s">
        <v>179</v>
      </c>
      <c r="EC8" s="19">
        <v>0</v>
      </c>
      <c r="ED8" s="19">
        <f>((((SUM(ED3:ED7))/2)-1))*4</f>
        <v>0</v>
      </c>
      <c r="EE8" s="19">
        <f t="shared" ref="EE8:GA8" si="6">((((SUM(EE3:EE7))/2)-1))*4</f>
        <v>8</v>
      </c>
      <c r="EF8" s="19">
        <f t="shared" si="6"/>
        <v>4</v>
      </c>
      <c r="EG8" s="19">
        <f t="shared" si="6"/>
        <v>8</v>
      </c>
      <c r="EH8" s="19">
        <f t="shared" si="6"/>
        <v>8</v>
      </c>
      <c r="EI8" s="19">
        <f t="shared" si="6"/>
        <v>12</v>
      </c>
      <c r="EJ8" s="19">
        <f t="shared" si="6"/>
        <v>12</v>
      </c>
      <c r="EK8" s="19">
        <f t="shared" si="6"/>
        <v>16</v>
      </c>
      <c r="EL8" s="19">
        <f t="shared" si="6"/>
        <v>16</v>
      </c>
      <c r="EM8" s="19">
        <f t="shared" si="6"/>
        <v>20</v>
      </c>
      <c r="EN8" s="19">
        <f t="shared" si="6"/>
        <v>20</v>
      </c>
      <c r="EO8" s="19">
        <f t="shared" si="6"/>
        <v>24</v>
      </c>
      <c r="EP8" s="19">
        <f t="shared" si="6"/>
        <v>24</v>
      </c>
      <c r="EQ8" s="19">
        <f t="shared" si="6"/>
        <v>28</v>
      </c>
      <c r="ER8" s="19">
        <f t="shared" si="6"/>
        <v>28</v>
      </c>
      <c r="ES8" s="19">
        <f t="shared" si="6"/>
        <v>32</v>
      </c>
      <c r="ET8" s="19">
        <f t="shared" si="6"/>
        <v>32</v>
      </c>
      <c r="EU8" s="19">
        <f t="shared" si="6"/>
        <v>36</v>
      </c>
      <c r="EV8" s="19">
        <f t="shared" si="6"/>
        <v>36</v>
      </c>
      <c r="EW8" s="19">
        <f t="shared" si="6"/>
        <v>40</v>
      </c>
      <c r="EX8" s="19">
        <f t="shared" si="6"/>
        <v>40</v>
      </c>
      <c r="EY8" s="19">
        <f t="shared" si="6"/>
        <v>44</v>
      </c>
      <c r="EZ8" s="19">
        <f t="shared" si="6"/>
        <v>44</v>
      </c>
      <c r="FA8" s="19">
        <f t="shared" si="6"/>
        <v>48</v>
      </c>
      <c r="FB8" s="19">
        <f t="shared" si="6"/>
        <v>48</v>
      </c>
      <c r="FC8" s="19">
        <f t="shared" si="6"/>
        <v>52</v>
      </c>
      <c r="FD8" s="19">
        <f t="shared" si="6"/>
        <v>52</v>
      </c>
      <c r="FE8" s="19">
        <f t="shared" si="6"/>
        <v>56</v>
      </c>
      <c r="FF8" s="19">
        <f t="shared" si="6"/>
        <v>56</v>
      </c>
      <c r="FG8" s="19">
        <f t="shared" si="6"/>
        <v>60</v>
      </c>
      <c r="FH8" s="19">
        <f t="shared" si="6"/>
        <v>60</v>
      </c>
      <c r="FI8" s="19">
        <f t="shared" si="6"/>
        <v>64</v>
      </c>
      <c r="FJ8" s="19">
        <f t="shared" si="6"/>
        <v>64</v>
      </c>
      <c r="FK8" s="19">
        <f t="shared" si="6"/>
        <v>68</v>
      </c>
      <c r="FL8" s="19">
        <f t="shared" si="6"/>
        <v>68</v>
      </c>
      <c r="FM8" s="19">
        <f t="shared" si="6"/>
        <v>72</v>
      </c>
      <c r="FN8" s="19">
        <f t="shared" si="6"/>
        <v>72</v>
      </c>
      <c r="FO8" s="19">
        <f t="shared" si="6"/>
        <v>76</v>
      </c>
      <c r="FP8" s="19">
        <f t="shared" si="6"/>
        <v>76</v>
      </c>
      <c r="FQ8" s="19">
        <f t="shared" si="6"/>
        <v>80</v>
      </c>
      <c r="FR8" s="19">
        <f t="shared" si="6"/>
        <v>80</v>
      </c>
      <c r="FS8" s="19">
        <f t="shared" si="6"/>
        <v>84</v>
      </c>
      <c r="FT8" s="19">
        <f t="shared" si="6"/>
        <v>84</v>
      </c>
      <c r="FU8" s="19">
        <f t="shared" si="6"/>
        <v>88</v>
      </c>
      <c r="FV8" s="19">
        <f t="shared" si="6"/>
        <v>88</v>
      </c>
      <c r="FW8" s="19">
        <f t="shared" si="6"/>
        <v>92</v>
      </c>
      <c r="FX8" s="19">
        <f t="shared" si="6"/>
        <v>92</v>
      </c>
      <c r="FY8" s="19">
        <f t="shared" si="6"/>
        <v>96</v>
      </c>
      <c r="FZ8" s="19">
        <f t="shared" si="6"/>
        <v>96</v>
      </c>
      <c r="GA8" s="19">
        <f t="shared" si="6"/>
        <v>100</v>
      </c>
      <c r="GC8" s="19"/>
      <c r="GD8" s="19"/>
      <c r="GE8" s="19" t="s">
        <v>179</v>
      </c>
      <c r="GF8" s="19">
        <v>0</v>
      </c>
      <c r="GG8" s="19">
        <v>0</v>
      </c>
      <c r="GH8" s="19">
        <v>4</v>
      </c>
      <c r="GI8" s="19">
        <v>4</v>
      </c>
      <c r="GJ8" s="19">
        <v>8</v>
      </c>
      <c r="GK8" s="19">
        <v>8</v>
      </c>
      <c r="GL8" s="19">
        <v>12</v>
      </c>
      <c r="GM8" s="19">
        <v>16</v>
      </c>
      <c r="GN8" s="19">
        <v>16</v>
      </c>
      <c r="GO8" s="19">
        <v>20</v>
      </c>
      <c r="GP8" s="19">
        <v>20</v>
      </c>
      <c r="GQ8" s="19">
        <v>24</v>
      </c>
      <c r="GR8" s="19">
        <v>24</v>
      </c>
      <c r="GS8" s="19">
        <v>28</v>
      </c>
      <c r="GT8" s="19">
        <v>32</v>
      </c>
      <c r="GU8" s="19">
        <v>32</v>
      </c>
      <c r="GV8" s="19">
        <v>36</v>
      </c>
      <c r="GW8" s="19">
        <v>36</v>
      </c>
      <c r="GX8" s="19">
        <v>40</v>
      </c>
      <c r="GY8" s="19">
        <v>44</v>
      </c>
      <c r="GZ8" s="19">
        <v>44</v>
      </c>
      <c r="HA8" s="19">
        <v>48</v>
      </c>
      <c r="HB8" s="19">
        <v>48</v>
      </c>
      <c r="HC8" s="19">
        <v>52</v>
      </c>
      <c r="HD8" s="19">
        <v>52</v>
      </c>
      <c r="HE8" s="19">
        <v>56</v>
      </c>
      <c r="HF8" s="19">
        <v>60</v>
      </c>
      <c r="HG8" s="19">
        <v>60</v>
      </c>
      <c r="HH8" s="19">
        <v>64</v>
      </c>
      <c r="HI8" s="19">
        <v>64</v>
      </c>
      <c r="HJ8" s="19">
        <v>68</v>
      </c>
      <c r="HK8" s="19">
        <v>72</v>
      </c>
      <c r="HL8" s="19">
        <v>72</v>
      </c>
      <c r="HM8" s="19">
        <v>76</v>
      </c>
      <c r="HN8" s="19">
        <v>76</v>
      </c>
      <c r="HO8" s="19">
        <v>80</v>
      </c>
      <c r="HP8" s="19">
        <v>80</v>
      </c>
      <c r="HQ8" s="19">
        <v>84</v>
      </c>
      <c r="HR8" s="19">
        <v>88</v>
      </c>
      <c r="HS8" s="19">
        <v>88</v>
      </c>
      <c r="HT8" s="19">
        <v>92</v>
      </c>
      <c r="HU8" s="19">
        <v>92</v>
      </c>
      <c r="HV8" s="19">
        <v>96</v>
      </c>
      <c r="HW8" s="19">
        <v>100</v>
      </c>
      <c r="HX8" s="19">
        <v>100</v>
      </c>
      <c r="HY8" s="19">
        <v>104</v>
      </c>
      <c r="HZ8" s="19">
        <v>104</v>
      </c>
      <c r="IA8" s="19">
        <v>108</v>
      </c>
      <c r="IB8" s="19">
        <v>108</v>
      </c>
      <c r="IC8" s="19">
        <v>112</v>
      </c>
      <c r="ID8" s="19">
        <v>116</v>
      </c>
      <c r="IF8" s="20" t="s">
        <v>179</v>
      </c>
      <c r="IG8" s="20">
        <v>0</v>
      </c>
      <c r="IH8" s="20">
        <v>0</v>
      </c>
      <c r="II8" s="20">
        <v>4</v>
      </c>
      <c r="IJ8" s="20">
        <v>8</v>
      </c>
      <c r="IK8" s="20">
        <v>8</v>
      </c>
      <c r="IL8" s="20">
        <v>12</v>
      </c>
      <c r="IM8" s="20">
        <v>16</v>
      </c>
      <c r="IN8" s="20">
        <v>20</v>
      </c>
      <c r="IO8" s="20">
        <v>20</v>
      </c>
      <c r="IP8" s="20">
        <v>24</v>
      </c>
      <c r="IQ8" s="20">
        <v>28</v>
      </c>
      <c r="IR8" s="20">
        <v>28</v>
      </c>
      <c r="IS8" s="20">
        <v>32</v>
      </c>
      <c r="IT8" s="20">
        <v>36</v>
      </c>
      <c r="IU8" s="20">
        <v>40</v>
      </c>
      <c r="IV8" s="20">
        <v>40</v>
      </c>
      <c r="IW8" s="20">
        <v>44</v>
      </c>
      <c r="IX8" s="20">
        <v>48</v>
      </c>
      <c r="IY8" s="20">
        <v>48</v>
      </c>
      <c r="IZ8" s="20">
        <v>52</v>
      </c>
      <c r="JA8" s="20">
        <v>56</v>
      </c>
      <c r="JB8" s="20">
        <v>60</v>
      </c>
      <c r="JC8" s="20">
        <v>60</v>
      </c>
      <c r="JD8" s="20">
        <v>64</v>
      </c>
      <c r="JE8" s="20">
        <v>68</v>
      </c>
      <c r="JF8" s="20">
        <v>68</v>
      </c>
    </row>
    <row r="9" spans="1:266" ht="15" customHeight="1" x14ac:dyDescent="0.25">
      <c r="A9" s="8"/>
      <c r="B9" s="5" t="s">
        <v>61</v>
      </c>
      <c r="C9" s="8"/>
      <c r="D9" s="6" t="s">
        <v>458</v>
      </c>
      <c r="E9" s="8">
        <v>0</v>
      </c>
      <c r="F9" s="6"/>
      <c r="G9" s="6"/>
      <c r="H9" s="6"/>
      <c r="I9" s="6"/>
      <c r="J9" s="5" t="s">
        <v>95</v>
      </c>
      <c r="K9" s="4"/>
      <c r="L9" s="6" t="str">
        <f>IF(E8="10X200","SWDM10X200E",IF(E8="10X250","SWDM10X250E",IF(E8="10X300","SWDM10X300E",IF(E8="12X300","SWDM12X300E",0))))</f>
        <v>SWDM10X250E</v>
      </c>
      <c r="M9" s="14">
        <f>INDEX(cenník!$A$2:$I$568,MATCH($L9,cenník!$B$2:$B$557,0),MATCH(M$2,cenník!$A$1:$I$1,0))</f>
        <v>898825</v>
      </c>
      <c r="N9" s="14" t="str">
        <f>INDEX(cenník!$A$2:$I$568,MATCH($L9,cenník!$B$2:$B$557,0),MATCH(N$2,cenník!$A$1:$I$1,0))</f>
        <v>ks</v>
      </c>
      <c r="O9" s="14">
        <f>SUM(X2:X17)</f>
        <v>0</v>
      </c>
      <c r="P9" s="21">
        <f>INDEX(cenník!$A$2:$I$568,MATCH($L9,cenník!$B$2:$B$557,0),MATCH(P$2,cenník!$A$1:$I$1,0))</f>
        <v>2.42</v>
      </c>
      <c r="Q9" s="21">
        <f t="shared" si="0"/>
        <v>0</v>
      </c>
      <c r="R9" s="22">
        <f>$E$9</f>
        <v>0</v>
      </c>
      <c r="S9" s="21">
        <f t="shared" si="2"/>
        <v>2.42</v>
      </c>
      <c r="T9" s="21">
        <f t="shared" si="3"/>
        <v>0</v>
      </c>
      <c r="U9" s="21">
        <f>INDEX(cenník!$A$2:$I$568,MATCH($L9,cenník!$B$2:$B$557,0),MATCH(U$2,cenník!$A$1:$I$1,0))*O9</f>
        <v>0</v>
      </c>
      <c r="V9" s="19"/>
      <c r="W9" s="19"/>
      <c r="X9" s="25">
        <f t="shared" si="4"/>
        <v>0</v>
      </c>
      <c r="Y9" s="19" t="s">
        <v>80</v>
      </c>
      <c r="Z9" s="19"/>
      <c r="AA9" s="19">
        <f>INT(((A2*IF(G3=AH22,1000,IF(G3=AH23,1050,IF(G3=AH24,1100,IF(G3=AH25,1150)))))+((A2-1)*20)+80)/E4)</f>
        <v>0</v>
      </c>
      <c r="AB9" s="26">
        <v>35</v>
      </c>
      <c r="AC9" s="121" t="s">
        <v>23</v>
      </c>
      <c r="AD9" s="121" t="s">
        <v>24</v>
      </c>
      <c r="AE9" s="121" t="s">
        <v>55</v>
      </c>
      <c r="AF9" s="19" t="s">
        <v>13</v>
      </c>
      <c r="AG9" s="19">
        <v>35</v>
      </c>
      <c r="AH9" s="121" t="s">
        <v>35</v>
      </c>
      <c r="AI9" s="121" t="s">
        <v>36</v>
      </c>
      <c r="AJ9" s="122" t="s">
        <v>84</v>
      </c>
      <c r="AK9" s="122" t="s">
        <v>84</v>
      </c>
      <c r="AL9" s="122"/>
      <c r="AM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8,$BB$2:$CA$2,0),MATCH($W$2,$AH$22:$AH$47,0)))*C8</f>
        <v>0</v>
      </c>
      <c r="AN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8,$BB$2:$CA$2,0),MATCH($W$2,$AH$22:$AH$47,0)))*C8</f>
        <v>0</v>
      </c>
      <c r="AO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8,$BB$2:$CA$2,0),MATCH($W$2,$AH$22:$AH$47,0)))*C8</f>
        <v>0</v>
      </c>
      <c r="AP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8,$BB$2:$CA$2,0),MATCH($W$2,$AH$22:$AH$47,0)))*C8</f>
        <v>0</v>
      </c>
      <c r="AQ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8,$BB$2:$CA$2,0),MATCH($W$2,$AH$22:$AH$47,0)))*C8</f>
        <v>0</v>
      </c>
      <c r="AR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8,$BB$2:$CA$2,0),MATCH($W$2,$AH$22:$AH$47,0)))*C8</f>
        <v>0</v>
      </c>
      <c r="AS9" s="19"/>
      <c r="AT9" s="19">
        <v>2200</v>
      </c>
      <c r="AU9" s="19">
        <v>0</v>
      </c>
      <c r="AV9" s="19">
        <f>AT9*AU9</f>
        <v>0</v>
      </c>
      <c r="AW9" s="123">
        <v>46.73</v>
      </c>
      <c r="AX9" s="19">
        <f>AU9*AW9</f>
        <v>0</v>
      </c>
      <c r="AY9" s="19">
        <f>2*AU9</f>
        <v>0</v>
      </c>
      <c r="AZ9" s="19"/>
      <c r="BA9" s="26" t="s">
        <v>234</v>
      </c>
      <c r="BB9" s="19">
        <v>0</v>
      </c>
      <c r="BC9" s="19">
        <v>2</v>
      </c>
      <c r="BD9" s="19">
        <v>0</v>
      </c>
      <c r="BE9" s="19">
        <v>0</v>
      </c>
      <c r="BF9" s="19">
        <v>0</v>
      </c>
      <c r="BG9" s="19">
        <v>0</v>
      </c>
      <c r="BH9" s="19">
        <v>0</v>
      </c>
      <c r="BI9" s="19">
        <v>0</v>
      </c>
      <c r="BJ9" s="19">
        <v>0</v>
      </c>
      <c r="BK9" s="19">
        <v>0</v>
      </c>
      <c r="BL9" s="19">
        <v>0</v>
      </c>
      <c r="BM9" s="19">
        <v>0</v>
      </c>
      <c r="BN9" s="19">
        <v>0</v>
      </c>
      <c r="BO9" s="19">
        <v>0</v>
      </c>
      <c r="BP9" s="19">
        <v>0</v>
      </c>
      <c r="BQ9" s="19">
        <v>0</v>
      </c>
      <c r="BR9" s="19">
        <v>0</v>
      </c>
      <c r="BS9" s="19">
        <v>0</v>
      </c>
      <c r="BT9" s="19">
        <v>0</v>
      </c>
      <c r="BU9" s="19">
        <v>0</v>
      </c>
      <c r="BV9" s="19">
        <v>0</v>
      </c>
      <c r="BW9" s="19">
        <v>0</v>
      </c>
      <c r="BX9" s="19">
        <v>0</v>
      </c>
      <c r="BY9" s="19">
        <v>0</v>
      </c>
      <c r="BZ9" s="19">
        <v>0</v>
      </c>
      <c r="CA9" s="19">
        <v>0</v>
      </c>
      <c r="CB9" s="19">
        <v>0</v>
      </c>
      <c r="CC9" s="19">
        <v>0</v>
      </c>
      <c r="CD9" s="19">
        <v>0</v>
      </c>
      <c r="CE9" s="19">
        <v>0</v>
      </c>
      <c r="CF9" s="19">
        <v>0</v>
      </c>
      <c r="CG9" s="19">
        <v>0</v>
      </c>
      <c r="CH9" s="19">
        <v>0</v>
      </c>
      <c r="CI9" s="19">
        <v>0</v>
      </c>
      <c r="CJ9" s="19">
        <v>0</v>
      </c>
      <c r="CK9" s="19">
        <v>0</v>
      </c>
      <c r="CL9" s="19">
        <v>0</v>
      </c>
      <c r="CM9" s="19">
        <v>0</v>
      </c>
      <c r="CN9" s="19">
        <v>0</v>
      </c>
      <c r="CO9" s="19">
        <v>0</v>
      </c>
      <c r="CP9" s="19">
        <v>0</v>
      </c>
      <c r="CQ9" s="19">
        <v>0</v>
      </c>
      <c r="CR9" s="19">
        <v>0</v>
      </c>
      <c r="CS9" s="19">
        <v>0</v>
      </c>
      <c r="CT9" s="19">
        <v>0</v>
      </c>
      <c r="CU9" s="19">
        <v>0</v>
      </c>
      <c r="CV9" s="19">
        <v>0</v>
      </c>
      <c r="CW9" s="19">
        <v>0</v>
      </c>
      <c r="CX9" s="19">
        <v>0</v>
      </c>
      <c r="CY9" s="19">
        <v>0</v>
      </c>
      <c r="CZ9" s="19">
        <v>0</v>
      </c>
      <c r="DA9" s="17"/>
      <c r="DB9" s="17">
        <v>8</v>
      </c>
      <c r="DC9" s="17"/>
      <c r="DD9" s="26" t="s">
        <v>327</v>
      </c>
      <c r="DE9" s="19">
        <v>0</v>
      </c>
      <c r="DF9" s="19"/>
      <c r="DG9" s="19"/>
      <c r="DH9" s="19"/>
      <c r="DI9" s="19"/>
      <c r="DJ9" s="19"/>
      <c r="DK9" s="19"/>
      <c r="DL9" s="19"/>
      <c r="DM9" s="19"/>
      <c r="DN9" s="19"/>
      <c r="DO9" s="19"/>
      <c r="DP9" s="19"/>
      <c r="DQ9" s="19"/>
      <c r="DR9" s="19"/>
      <c r="DS9" s="19"/>
      <c r="DT9" s="19"/>
      <c r="DU9" s="19"/>
      <c r="DV9" s="19"/>
      <c r="DW9" s="19"/>
      <c r="DX9" s="19"/>
      <c r="DY9" s="19"/>
      <c r="DZ9" s="19"/>
      <c r="EA9" s="19"/>
      <c r="EB9" s="26" t="s">
        <v>234</v>
      </c>
      <c r="EC9" s="19">
        <v>0</v>
      </c>
      <c r="ED9" s="19">
        <v>0</v>
      </c>
      <c r="EE9" s="19">
        <v>6</v>
      </c>
      <c r="EF9" s="19">
        <v>0</v>
      </c>
      <c r="EG9" s="19">
        <v>0</v>
      </c>
      <c r="EH9" s="19">
        <v>0</v>
      </c>
      <c r="EI9" s="19">
        <v>0</v>
      </c>
      <c r="EJ9" s="19">
        <v>0</v>
      </c>
      <c r="EK9" s="19">
        <v>0</v>
      </c>
      <c r="EL9" s="19">
        <v>0</v>
      </c>
      <c r="EM9" s="19">
        <v>2</v>
      </c>
      <c r="EN9" s="19">
        <v>0</v>
      </c>
      <c r="EO9" s="19">
        <v>0</v>
      </c>
      <c r="EP9" s="19">
        <v>0</v>
      </c>
      <c r="EQ9" s="19">
        <v>0</v>
      </c>
      <c r="ER9" s="19">
        <v>0</v>
      </c>
      <c r="ES9" s="19">
        <v>0</v>
      </c>
      <c r="ET9" s="19">
        <v>0</v>
      </c>
      <c r="EU9" s="19">
        <v>0</v>
      </c>
      <c r="EV9" s="19">
        <v>0</v>
      </c>
      <c r="EW9" s="19">
        <v>0</v>
      </c>
      <c r="EX9" s="19">
        <v>0</v>
      </c>
      <c r="EY9" s="19">
        <v>0</v>
      </c>
      <c r="EZ9" s="19">
        <v>0</v>
      </c>
      <c r="FA9" s="19">
        <v>0</v>
      </c>
      <c r="FB9" s="19">
        <v>0</v>
      </c>
      <c r="FC9" s="19">
        <v>0</v>
      </c>
      <c r="FD9" s="19">
        <v>0</v>
      </c>
      <c r="FE9" s="19">
        <v>0</v>
      </c>
      <c r="FF9" s="19">
        <v>0</v>
      </c>
      <c r="FG9" s="19">
        <v>0</v>
      </c>
      <c r="FH9" s="19">
        <v>0</v>
      </c>
      <c r="FI9" s="19">
        <v>2</v>
      </c>
      <c r="FJ9" s="19">
        <v>0</v>
      </c>
      <c r="FK9" s="19">
        <v>0</v>
      </c>
      <c r="FL9" s="19">
        <v>0</v>
      </c>
      <c r="FM9" s="19">
        <v>0</v>
      </c>
      <c r="FN9" s="19">
        <v>0</v>
      </c>
      <c r="FO9" s="19">
        <v>0</v>
      </c>
      <c r="FP9" s="19">
        <v>0</v>
      </c>
      <c r="FQ9" s="19">
        <v>0</v>
      </c>
      <c r="FR9" s="19">
        <v>0</v>
      </c>
      <c r="FS9" s="19">
        <v>0</v>
      </c>
      <c r="FT9" s="19">
        <v>0</v>
      </c>
      <c r="FU9" s="19">
        <v>0</v>
      </c>
      <c r="FV9" s="19">
        <v>0</v>
      </c>
      <c r="FW9" s="19">
        <v>0</v>
      </c>
      <c r="FX9" s="19">
        <v>0</v>
      </c>
      <c r="FY9" s="19">
        <v>0</v>
      </c>
      <c r="FZ9" s="19">
        <v>0</v>
      </c>
      <c r="GA9" s="19">
        <v>0</v>
      </c>
      <c r="GC9" s="19"/>
      <c r="GD9" s="19"/>
      <c r="GE9" s="26" t="s">
        <v>234</v>
      </c>
      <c r="GF9" s="19">
        <v>0</v>
      </c>
      <c r="GG9" s="19">
        <v>0</v>
      </c>
      <c r="GH9" s="19">
        <v>0</v>
      </c>
      <c r="GI9" s="19">
        <v>0</v>
      </c>
      <c r="GJ9" s="19">
        <v>2</v>
      </c>
      <c r="GK9" s="19">
        <v>0</v>
      </c>
      <c r="GL9" s="19">
        <v>0</v>
      </c>
      <c r="GM9" s="19">
        <v>0</v>
      </c>
      <c r="GN9" s="19">
        <v>0</v>
      </c>
      <c r="GO9" s="19">
        <v>0</v>
      </c>
      <c r="GP9" s="19">
        <v>0</v>
      </c>
      <c r="GQ9" s="19">
        <v>0</v>
      </c>
      <c r="GR9" s="19">
        <v>0</v>
      </c>
      <c r="GS9" s="19">
        <v>0</v>
      </c>
      <c r="GT9" s="19">
        <v>0</v>
      </c>
      <c r="GU9" s="19">
        <v>0</v>
      </c>
      <c r="GV9" s="19">
        <v>0</v>
      </c>
      <c r="GW9" s="19">
        <v>0</v>
      </c>
      <c r="GX9" s="19">
        <v>0</v>
      </c>
      <c r="GY9" s="19">
        <v>0</v>
      </c>
      <c r="GZ9" s="19">
        <v>0</v>
      </c>
      <c r="HA9" s="19">
        <v>0</v>
      </c>
      <c r="HB9" s="19">
        <v>0</v>
      </c>
      <c r="HC9" s="19">
        <v>0</v>
      </c>
      <c r="HD9" s="19">
        <v>0</v>
      </c>
      <c r="HE9" s="19">
        <v>0</v>
      </c>
      <c r="HF9" s="19">
        <v>0</v>
      </c>
      <c r="HG9" s="19">
        <v>0</v>
      </c>
      <c r="HH9" s="19">
        <v>0</v>
      </c>
      <c r="HI9" s="19">
        <v>0</v>
      </c>
      <c r="HJ9" s="19">
        <v>0</v>
      </c>
      <c r="HK9" s="19">
        <v>0</v>
      </c>
      <c r="HL9" s="19">
        <v>0</v>
      </c>
      <c r="HM9" s="19">
        <v>0</v>
      </c>
      <c r="HN9" s="19">
        <v>0</v>
      </c>
      <c r="HO9" s="19">
        <v>0</v>
      </c>
      <c r="HP9" s="19">
        <v>0</v>
      </c>
      <c r="HQ9" s="19">
        <v>0</v>
      </c>
      <c r="HR9" s="19">
        <v>0</v>
      </c>
      <c r="HS9" s="19">
        <v>0</v>
      </c>
      <c r="HT9" s="19">
        <v>0</v>
      </c>
      <c r="HU9" s="19">
        <v>0</v>
      </c>
      <c r="HV9" s="19">
        <v>0</v>
      </c>
      <c r="HW9" s="19">
        <v>0</v>
      </c>
      <c r="HX9" s="19">
        <v>0</v>
      </c>
      <c r="HY9" s="19">
        <v>0</v>
      </c>
      <c r="HZ9" s="19">
        <v>0</v>
      </c>
      <c r="IA9" s="19">
        <v>0</v>
      </c>
      <c r="IB9" s="19">
        <v>0</v>
      </c>
      <c r="IC9" s="19">
        <v>0</v>
      </c>
      <c r="ID9" s="19">
        <v>0</v>
      </c>
      <c r="IF9" s="20" t="s">
        <v>234</v>
      </c>
      <c r="IG9" s="20">
        <v>0</v>
      </c>
      <c r="IH9" s="20">
        <v>0</v>
      </c>
      <c r="II9" s="20">
        <v>0</v>
      </c>
      <c r="IJ9" s="20">
        <v>0</v>
      </c>
      <c r="IK9" s="20">
        <v>0</v>
      </c>
      <c r="IL9" s="20">
        <v>0</v>
      </c>
      <c r="IM9" s="20">
        <v>0</v>
      </c>
      <c r="IN9" s="20">
        <v>0</v>
      </c>
      <c r="IO9" s="20">
        <v>0</v>
      </c>
      <c r="IP9" s="20">
        <v>0</v>
      </c>
      <c r="IQ9" s="20">
        <v>0</v>
      </c>
      <c r="IR9" s="20">
        <v>0</v>
      </c>
      <c r="IS9" s="20">
        <v>0</v>
      </c>
      <c r="IT9" s="20">
        <v>0</v>
      </c>
      <c r="IU9" s="20">
        <v>0</v>
      </c>
      <c r="IV9" s="20">
        <v>0</v>
      </c>
      <c r="IW9" s="20">
        <v>0</v>
      </c>
      <c r="IX9" s="20">
        <v>0</v>
      </c>
      <c r="IY9" s="20">
        <v>0</v>
      </c>
      <c r="IZ9" s="20">
        <v>0</v>
      </c>
      <c r="JA9" s="20">
        <v>0</v>
      </c>
      <c r="JB9" s="20">
        <v>0</v>
      </c>
      <c r="JC9" s="20">
        <v>0</v>
      </c>
      <c r="JD9" s="20">
        <v>0</v>
      </c>
      <c r="JE9" s="20">
        <v>0</v>
      </c>
      <c r="JF9" s="20">
        <v>0</v>
      </c>
    </row>
    <row r="10" spans="1:266" ht="15" customHeight="1" x14ac:dyDescent="0.25">
      <c r="A10" s="8"/>
      <c r="B10" s="5" t="s">
        <v>61</v>
      </c>
      <c r="C10" s="8"/>
      <c r="D10" s="6" t="s">
        <v>459</v>
      </c>
      <c r="E10" s="8" t="s">
        <v>469</v>
      </c>
      <c r="F10" s="222" t="str">
        <f>IF(E10="30x32 hliník","možno použiť vo veternej zóne 1 a snehovej zóne 1,2,3 s maximálnou vzdialenosťou podpier 0,8 m podľa noriem PN-EN 1991-1-3 a PN-EN 1991-1-4","")</f>
        <v/>
      </c>
      <c r="G10" s="222"/>
      <c r="H10" s="222"/>
      <c r="I10" s="222"/>
      <c r="J10" s="4"/>
      <c r="K10" s="4"/>
      <c r="L10" s="6" t="str">
        <f>IF(E8="10X200","AD11E",IF(E8="10X250","AD11E",IF(E8="10X300","AD11E",IF(E8="12X300","AD13E",0))))</f>
        <v>AD11E</v>
      </c>
      <c r="M10" s="14">
        <f>INDEX(cenník!$A$2:$I$568,MATCH($L10,cenník!$B$2:$B$557,0),MATCH(M$2,cenník!$A$1:$I$1,0))</f>
        <v>898311</v>
      </c>
      <c r="N10" s="14" t="str">
        <f>INDEX(cenník!$A$2:$I$568,MATCH($L10,cenník!$B$2:$B$557,0),MATCH(N$2,cenník!$A$1:$I$1,0))</f>
        <v>ks</v>
      </c>
      <c r="O10" s="14">
        <f>O9</f>
        <v>0</v>
      </c>
      <c r="P10" s="21">
        <f>INDEX(cenník!$A$2:$I$568,MATCH($L10,cenník!$B$2:$B$557,0),MATCH(P$2,cenník!$A$1:$I$1,0))</f>
        <v>1.72</v>
      </c>
      <c r="Q10" s="21">
        <f t="shared" si="0"/>
        <v>0</v>
      </c>
      <c r="R10" s="22">
        <f t="shared" si="1"/>
        <v>0</v>
      </c>
      <c r="S10" s="21">
        <f t="shared" si="2"/>
        <v>1.72</v>
      </c>
      <c r="T10" s="21">
        <f t="shared" si="3"/>
        <v>0</v>
      </c>
      <c r="U10" s="21">
        <f>INDEX(cenník!$A$2:$I$568,MATCH($L10,cenník!$B$2:$B$557,0),MATCH(U$2,cenník!$A$1:$I$1,0))*O10</f>
        <v>0</v>
      </c>
      <c r="V10" s="19"/>
      <c r="W10" s="19"/>
      <c r="X10" s="25">
        <f t="shared" si="4"/>
        <v>0</v>
      </c>
      <c r="Y10" s="19" t="s">
        <v>78</v>
      </c>
      <c r="Z10" s="19"/>
      <c r="AA10" s="19">
        <f>((A2*IF(G3=AH22,1000,IF(G3=AH23,1050)))+((A2-1)*20)+80)</f>
        <v>60</v>
      </c>
      <c r="AB10" s="26">
        <v>38</v>
      </c>
      <c r="AC10" s="121" t="s">
        <v>25</v>
      </c>
      <c r="AE10" s="121" t="s">
        <v>55</v>
      </c>
      <c r="AF10" s="19" t="s">
        <v>13</v>
      </c>
      <c r="AG10" s="19">
        <v>38</v>
      </c>
      <c r="AH10" s="121" t="s">
        <v>37</v>
      </c>
      <c r="AJ10" s="122" t="s">
        <v>84</v>
      </c>
      <c r="AK10" s="122" t="s">
        <v>84</v>
      </c>
      <c r="AL10" s="122"/>
      <c r="AM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9,$BB$2:$CA$2,0),MATCH($W$2,$AH$22:$AH$47,0)))*C9</f>
        <v>0</v>
      </c>
      <c r="AN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9,$BB$2:$CA$2,0),MATCH($W$2,$AH$22:$AH$47,0)))*C9</f>
        <v>0</v>
      </c>
      <c r="AO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9,$BB$2:$CA$2,0),MATCH($W$2,$AH$22:$AH$47,0)))*C9</f>
        <v>0</v>
      </c>
      <c r="AP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9,$BB$2:$CA$2,0),MATCH($W$2,$AH$22:$AH$47,0)))*C9</f>
        <v>0</v>
      </c>
      <c r="AQ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9,$BB$2:$CA$2,0),MATCH($W$2,$AH$22:$AH$47,0)))*C9</f>
        <v>0</v>
      </c>
      <c r="AR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9,$BB$2:$CA$2,0),MATCH($W$2,$AH$22:$AH$47,0)))*C9</f>
        <v>0</v>
      </c>
      <c r="AS10" s="19"/>
      <c r="AT10" s="19">
        <v>3150</v>
      </c>
      <c r="AU10" s="19">
        <v>11</v>
      </c>
      <c r="AV10" s="19">
        <f>AT10*AU10</f>
        <v>34650</v>
      </c>
      <c r="AW10" s="123">
        <v>66.91</v>
      </c>
      <c r="AX10" s="19">
        <f>AU10*AW10</f>
        <v>736.01</v>
      </c>
      <c r="AY10" s="19">
        <f>2*AU10</f>
        <v>22</v>
      </c>
      <c r="AZ10" s="19"/>
      <c r="BA10" s="26" t="s">
        <v>235</v>
      </c>
      <c r="BB10" s="19">
        <v>0</v>
      </c>
      <c r="BC10" s="19">
        <v>0</v>
      </c>
      <c r="BD10" s="19">
        <v>2</v>
      </c>
      <c r="BE10" s="19">
        <v>0</v>
      </c>
      <c r="BF10" s="19">
        <v>4</v>
      </c>
      <c r="BG10" s="19">
        <v>2</v>
      </c>
      <c r="BH10" s="19">
        <v>0</v>
      </c>
      <c r="BI10" s="19">
        <v>4</v>
      </c>
      <c r="BJ10" s="19">
        <v>2</v>
      </c>
      <c r="BK10" s="19">
        <v>0</v>
      </c>
      <c r="BL10" s="19">
        <v>4</v>
      </c>
      <c r="BM10" s="19">
        <v>2</v>
      </c>
      <c r="BN10" s="19">
        <v>0</v>
      </c>
      <c r="BO10" s="19">
        <v>4</v>
      </c>
      <c r="BP10" s="19">
        <v>2</v>
      </c>
      <c r="BQ10" s="19">
        <v>0</v>
      </c>
      <c r="BR10" s="19">
        <v>0</v>
      </c>
      <c r="BS10" s="19">
        <v>0</v>
      </c>
      <c r="BT10" s="19">
        <v>2</v>
      </c>
      <c r="BU10" s="19">
        <v>0</v>
      </c>
      <c r="BV10" s="19">
        <v>2</v>
      </c>
      <c r="BW10" s="19">
        <v>0</v>
      </c>
      <c r="BX10" s="19">
        <v>0</v>
      </c>
      <c r="BY10" s="19">
        <v>0</v>
      </c>
      <c r="BZ10" s="19">
        <v>0</v>
      </c>
      <c r="CA10" s="19">
        <v>0</v>
      </c>
      <c r="CB10" s="19">
        <v>0</v>
      </c>
      <c r="CC10" s="19">
        <v>0</v>
      </c>
      <c r="CD10" s="19">
        <v>0</v>
      </c>
      <c r="CE10" s="19">
        <v>0</v>
      </c>
      <c r="CF10" s="19">
        <v>2</v>
      </c>
      <c r="CG10" s="19">
        <v>0</v>
      </c>
      <c r="CH10" s="19">
        <v>0</v>
      </c>
      <c r="CI10" s="19">
        <v>2</v>
      </c>
      <c r="CJ10" s="19">
        <v>0</v>
      </c>
      <c r="CK10" s="19">
        <v>0</v>
      </c>
      <c r="CL10" s="19">
        <v>0</v>
      </c>
      <c r="CM10" s="19">
        <v>0</v>
      </c>
      <c r="CN10" s="19">
        <v>0</v>
      </c>
      <c r="CO10" s="19">
        <v>0</v>
      </c>
      <c r="CP10" s="19">
        <v>0</v>
      </c>
      <c r="CQ10" s="19">
        <v>0</v>
      </c>
      <c r="CR10" s="19">
        <v>2</v>
      </c>
      <c r="CS10" s="19">
        <v>0</v>
      </c>
      <c r="CT10" s="19">
        <v>0</v>
      </c>
      <c r="CU10" s="19">
        <v>0</v>
      </c>
      <c r="CV10" s="19">
        <v>0</v>
      </c>
      <c r="CW10" s="19">
        <v>0</v>
      </c>
      <c r="CX10" s="19">
        <v>0</v>
      </c>
      <c r="CY10" s="19">
        <v>0</v>
      </c>
      <c r="CZ10" s="19">
        <v>0</v>
      </c>
      <c r="DA10" s="17"/>
      <c r="DB10" s="17">
        <v>9</v>
      </c>
      <c r="DC10" s="17"/>
      <c r="DD10" s="26" t="s">
        <v>328</v>
      </c>
      <c r="DE10" s="19">
        <v>0</v>
      </c>
      <c r="DF10" s="19"/>
      <c r="DG10" s="19"/>
      <c r="DH10" s="19"/>
      <c r="DI10" s="19"/>
      <c r="DJ10" s="19"/>
      <c r="DK10" s="19"/>
      <c r="DL10" s="19"/>
      <c r="DM10" s="19"/>
      <c r="DN10" s="19"/>
      <c r="DO10" s="19"/>
      <c r="DP10" s="19"/>
      <c r="DQ10" s="19"/>
      <c r="DR10" s="19"/>
      <c r="DS10" s="19"/>
      <c r="DT10" s="19"/>
      <c r="DU10" s="19"/>
      <c r="DV10" s="19"/>
      <c r="DW10" s="19"/>
      <c r="DX10" s="19"/>
      <c r="DY10" s="19"/>
      <c r="DZ10" s="19"/>
      <c r="EA10" s="19"/>
      <c r="EB10" s="26" t="s">
        <v>235</v>
      </c>
      <c r="EC10" s="19">
        <v>0</v>
      </c>
      <c r="ED10" s="19">
        <v>2</v>
      </c>
      <c r="EE10" s="19">
        <v>0</v>
      </c>
      <c r="EF10" s="19">
        <v>2</v>
      </c>
      <c r="EG10" s="19">
        <v>4</v>
      </c>
      <c r="EH10" s="19">
        <v>0</v>
      </c>
      <c r="EI10" s="19">
        <v>4</v>
      </c>
      <c r="EJ10" s="19">
        <v>2</v>
      </c>
      <c r="EK10" s="19">
        <v>4</v>
      </c>
      <c r="EL10" s="19">
        <v>2</v>
      </c>
      <c r="EM10" s="19">
        <v>0</v>
      </c>
      <c r="EN10" s="19">
        <v>2</v>
      </c>
      <c r="EO10" s="19">
        <v>4</v>
      </c>
      <c r="EP10" s="19">
        <v>2</v>
      </c>
      <c r="EQ10" s="19">
        <v>2</v>
      </c>
      <c r="ER10" s="19">
        <v>0</v>
      </c>
      <c r="ES10" s="19">
        <v>0</v>
      </c>
      <c r="ET10" s="19">
        <v>0</v>
      </c>
      <c r="EU10" s="19">
        <v>2</v>
      </c>
      <c r="EV10" s="19">
        <v>0</v>
      </c>
      <c r="EW10" s="19">
        <v>0</v>
      </c>
      <c r="EX10" s="19">
        <v>0</v>
      </c>
      <c r="EY10" s="19">
        <v>0</v>
      </c>
      <c r="EZ10" s="19">
        <v>0</v>
      </c>
      <c r="FA10" s="19">
        <v>2</v>
      </c>
      <c r="FB10" s="19">
        <v>0</v>
      </c>
      <c r="FC10" s="19">
        <v>0</v>
      </c>
      <c r="FD10" s="19">
        <v>0</v>
      </c>
      <c r="FE10" s="19">
        <v>0</v>
      </c>
      <c r="FF10" s="19">
        <v>0</v>
      </c>
      <c r="FG10" s="19">
        <v>0</v>
      </c>
      <c r="FH10" s="19">
        <v>0</v>
      </c>
      <c r="FI10" s="19">
        <v>0</v>
      </c>
      <c r="FJ10" s="19">
        <v>0</v>
      </c>
      <c r="FK10" s="19">
        <v>0</v>
      </c>
      <c r="FL10" s="19">
        <v>0</v>
      </c>
      <c r="FM10" s="19">
        <v>0</v>
      </c>
      <c r="FN10" s="19">
        <v>0</v>
      </c>
      <c r="FO10" s="19">
        <v>0</v>
      </c>
      <c r="FP10" s="19">
        <v>0</v>
      </c>
      <c r="FQ10" s="19">
        <v>0</v>
      </c>
      <c r="FR10" s="19">
        <v>0</v>
      </c>
      <c r="FS10" s="19">
        <v>4</v>
      </c>
      <c r="FT10" s="19">
        <v>0</v>
      </c>
      <c r="FU10" s="19">
        <v>0</v>
      </c>
      <c r="FV10" s="19">
        <v>0</v>
      </c>
      <c r="FW10" s="19">
        <v>0</v>
      </c>
      <c r="FX10" s="19">
        <v>0</v>
      </c>
      <c r="FY10" s="19">
        <v>0</v>
      </c>
      <c r="FZ10" s="19">
        <v>0</v>
      </c>
      <c r="GA10" s="19">
        <v>0</v>
      </c>
      <c r="GC10" s="19"/>
      <c r="GD10" s="19"/>
      <c r="GE10" s="26" t="s">
        <v>235</v>
      </c>
      <c r="GF10" s="19">
        <v>0</v>
      </c>
      <c r="GG10" s="19">
        <v>2</v>
      </c>
      <c r="GH10" s="19">
        <v>4</v>
      </c>
      <c r="GI10" s="19">
        <v>0</v>
      </c>
      <c r="GJ10" s="19">
        <v>0</v>
      </c>
      <c r="GK10" s="19">
        <v>0</v>
      </c>
      <c r="GL10" s="19">
        <v>0</v>
      </c>
      <c r="GM10" s="19">
        <v>4</v>
      </c>
      <c r="GN10" s="19">
        <v>0</v>
      </c>
      <c r="GO10" s="19">
        <v>2</v>
      </c>
      <c r="GP10" s="19">
        <v>0</v>
      </c>
      <c r="GQ10" s="19">
        <v>0</v>
      </c>
      <c r="GR10" s="19">
        <v>0</v>
      </c>
      <c r="GS10" s="19">
        <v>0</v>
      </c>
      <c r="GT10" s="19">
        <v>0</v>
      </c>
      <c r="GU10" s="19">
        <v>0</v>
      </c>
      <c r="GV10" s="19">
        <v>2</v>
      </c>
      <c r="GW10" s="19">
        <v>0</v>
      </c>
      <c r="GX10" s="19">
        <v>0</v>
      </c>
      <c r="GY10" s="19">
        <v>0</v>
      </c>
      <c r="GZ10" s="19">
        <v>0</v>
      </c>
      <c r="HA10" s="19">
        <v>0</v>
      </c>
      <c r="HB10" s="19">
        <v>0</v>
      </c>
      <c r="HC10" s="19">
        <v>0</v>
      </c>
      <c r="HD10" s="19">
        <v>0</v>
      </c>
      <c r="HE10" s="19">
        <v>0</v>
      </c>
      <c r="HF10" s="19">
        <v>0</v>
      </c>
      <c r="HG10" s="19">
        <v>0</v>
      </c>
      <c r="HH10" s="19">
        <v>0</v>
      </c>
      <c r="HI10" s="19">
        <v>0</v>
      </c>
      <c r="HJ10" s="19">
        <v>0</v>
      </c>
      <c r="HK10" s="19">
        <v>0</v>
      </c>
      <c r="HL10" s="19">
        <v>0</v>
      </c>
      <c r="HM10" s="19">
        <v>0</v>
      </c>
      <c r="HN10" s="19">
        <v>0</v>
      </c>
      <c r="HO10" s="19">
        <v>0</v>
      </c>
      <c r="HP10" s="19">
        <v>0</v>
      </c>
      <c r="HQ10" s="19">
        <v>0</v>
      </c>
      <c r="HR10" s="19">
        <v>0</v>
      </c>
      <c r="HS10" s="19">
        <v>0</v>
      </c>
      <c r="HT10" s="19">
        <v>0</v>
      </c>
      <c r="HU10" s="19">
        <v>0</v>
      </c>
      <c r="HV10" s="19">
        <v>0</v>
      </c>
      <c r="HW10" s="19">
        <v>0</v>
      </c>
      <c r="HX10" s="19">
        <v>0</v>
      </c>
      <c r="HY10" s="19">
        <v>0</v>
      </c>
      <c r="HZ10" s="19">
        <v>0</v>
      </c>
      <c r="IA10" s="19">
        <v>0</v>
      </c>
      <c r="IB10" s="19">
        <v>0</v>
      </c>
      <c r="IC10" s="19">
        <v>0</v>
      </c>
      <c r="ID10" s="19">
        <v>0</v>
      </c>
      <c r="IF10" s="20" t="s">
        <v>235</v>
      </c>
      <c r="IG10" s="20">
        <v>0</v>
      </c>
      <c r="IH10" s="20">
        <v>0</v>
      </c>
      <c r="II10" s="20">
        <v>2</v>
      </c>
      <c r="IJ10" s="20">
        <v>4</v>
      </c>
      <c r="IK10" s="20">
        <v>0</v>
      </c>
      <c r="IL10" s="20">
        <v>2</v>
      </c>
      <c r="IM10" s="20">
        <v>0</v>
      </c>
      <c r="IN10" s="20">
        <v>4</v>
      </c>
      <c r="IO10" s="20">
        <v>0</v>
      </c>
      <c r="IP10" s="20">
        <v>2</v>
      </c>
      <c r="IQ10" s="20">
        <v>4</v>
      </c>
      <c r="IR10" s="20">
        <v>0</v>
      </c>
      <c r="IS10" s="20">
        <v>0</v>
      </c>
      <c r="IT10" s="20">
        <v>0</v>
      </c>
      <c r="IU10" s="20">
        <v>2</v>
      </c>
      <c r="IV10" s="20">
        <v>0</v>
      </c>
      <c r="IW10" s="20">
        <v>0</v>
      </c>
      <c r="IX10" s="20">
        <v>4</v>
      </c>
      <c r="IY10" s="20">
        <v>0</v>
      </c>
      <c r="IZ10" s="20">
        <v>0</v>
      </c>
      <c r="JA10" s="20">
        <v>0</v>
      </c>
      <c r="JB10" s="20">
        <v>0</v>
      </c>
      <c r="JC10" s="20">
        <v>0</v>
      </c>
      <c r="JD10" s="20">
        <v>0</v>
      </c>
      <c r="JE10" s="20">
        <v>0</v>
      </c>
      <c r="JF10" s="20">
        <v>0</v>
      </c>
    </row>
    <row r="11" spans="1:266" x14ac:dyDescent="0.25">
      <c r="A11" s="8"/>
      <c r="B11" s="5" t="s">
        <v>61</v>
      </c>
      <c r="C11" s="8"/>
      <c r="D11" s="6" t="s">
        <v>460</v>
      </c>
      <c r="E11" s="8">
        <v>0</v>
      </c>
      <c r="F11" s="222"/>
      <c r="G11" s="222"/>
      <c r="H11" s="222"/>
      <c r="I11" s="222"/>
      <c r="J11" s="5" t="s">
        <v>461</v>
      </c>
      <c r="K11" s="4"/>
      <c r="L11" s="6" t="str">
        <f>IF(E10=$AK$22,"SSZ10x20E A2",IF(E10=$AK$23,"SSZ10x20E A2",IF(E10=$AK$24,"SGKFM10X20PV",0)))</f>
        <v>SSZ10x20E A2</v>
      </c>
      <c r="M11" s="14">
        <f>INDEX(cenník!$A$2:$I$568,MATCH($L11,cenník!$B$2:$B$557,0),MATCH(M$2,cenník!$A$1:$I$1,0))</f>
        <v>991020</v>
      </c>
      <c r="N11" s="14" t="str">
        <f>INDEX(cenník!$A$2:$I$568,MATCH($L11,cenník!$B$2:$B$557,0),MATCH(N$2,cenník!$A$1:$I$1,0))</f>
        <v>100ks</v>
      </c>
      <c r="O11" s="14">
        <f>ROUNDUP(((O9+IF(E10=$AK$24,E11+O8*4,0))/100),0)</f>
        <v>0</v>
      </c>
      <c r="P11" s="21">
        <f>INDEX(cenník!$A$2:$I$568,MATCH($L11,cenník!$B$2:$B$557,0),MATCH(P$2,cenník!$A$1:$I$1,0))</f>
        <v>24.13</v>
      </c>
      <c r="Q11" s="21">
        <f t="shared" si="0"/>
        <v>0</v>
      </c>
      <c r="R11" s="22">
        <f t="shared" si="1"/>
        <v>0</v>
      </c>
      <c r="S11" s="21">
        <f>P11*((100-$E$9)/100)</f>
        <v>24.13</v>
      </c>
      <c r="T11" s="21">
        <f t="shared" si="3"/>
        <v>0</v>
      </c>
      <c r="U11" s="21">
        <f>INDEX(cenník!$A$2:$I$568,MATCH($L11,cenník!$B$2:$B$557,0),MATCH(U$2,cenník!$A$1:$I$1,0))*O11</f>
        <v>0</v>
      </c>
      <c r="V11" s="19"/>
      <c r="W11" s="19"/>
      <c r="X11" s="25">
        <f t="shared" si="4"/>
        <v>0</v>
      </c>
      <c r="Y11" s="19" t="s">
        <v>79</v>
      </c>
      <c r="Z11" s="19"/>
      <c r="AA11" s="19">
        <f>(IF(A2=0,0,IF(A2&gt;0,IF((((INT(((A2*IF($G$3=$AH$22,1000,IF($G$3=$AH$23,1050)))+((A2-1)*20)+80)/$E$4))-1)*$E$4)+500&gt;=((A2*IF($G$3=$AH$22,1000,IF($G$3=$AH$23,1050)))+((A2-1)*20)+80),(INT(((A2*IF($G$3=$AH$22,1000,IF($G$3=$AH$23,1050)))+((A2-1)*20)+80)/$E$4))*2,((INT(((A2*IF($G$3=$AH$22,1000,IF($G$3=$AH$23,1050)))+((A2-1)*20)+80)/$E$4))+1)*2))))</f>
        <v>0</v>
      </c>
      <c r="AB11" s="26">
        <v>40</v>
      </c>
      <c r="AC11" s="121" t="s">
        <v>26</v>
      </c>
      <c r="AD11" s="121" t="s">
        <v>27</v>
      </c>
      <c r="AE11" s="121" t="s">
        <v>54</v>
      </c>
      <c r="AF11" s="19" t="s">
        <v>13</v>
      </c>
      <c r="AG11" s="19">
        <v>40</v>
      </c>
      <c r="AH11" s="121" t="s">
        <v>38</v>
      </c>
      <c r="AI11" s="121" t="s">
        <v>39</v>
      </c>
      <c r="AJ11" s="122" t="s">
        <v>84</v>
      </c>
      <c r="AK11" s="122" t="s">
        <v>84</v>
      </c>
      <c r="AL11" s="122"/>
      <c r="AM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10,$BB$2:$CA$2,0),MATCH($W$2,$AH$22:$AH$47,0)))*C10</f>
        <v>0</v>
      </c>
      <c r="AN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10,$BB$2:$CA$2,0),MATCH($W$2,$AH$22:$AH$47,0)))*C10</f>
        <v>0</v>
      </c>
      <c r="AO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10,$BB$2:$CA$2,0),MATCH($W$2,$AH$22:$AH$47,0)))*C10</f>
        <v>0</v>
      </c>
      <c r="AP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10,$BB$2:$CA$2,0),MATCH($W$2,$AH$22:$AH$47,0)))*C10</f>
        <v>0</v>
      </c>
      <c r="AQ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10,$BB$2:$CA$2,0),MATCH($W$2,$AH$22:$AH$47,0)))*C10</f>
        <v>0</v>
      </c>
      <c r="AR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10,$BB$2:$CA$2,0),MATCH($W$2,$AH$22:$AH$47,0)))*C10</f>
        <v>0</v>
      </c>
      <c r="AS11" s="19"/>
      <c r="AT11" s="19">
        <v>3300</v>
      </c>
      <c r="AU11" s="19">
        <v>25</v>
      </c>
      <c r="AV11" s="19">
        <f>AT11*AU11</f>
        <v>82500</v>
      </c>
      <c r="AW11" s="123">
        <v>70.11</v>
      </c>
      <c r="AX11" s="19">
        <f>AU11*AW11</f>
        <v>1752.75</v>
      </c>
      <c r="AY11" s="19">
        <f>2*AU11</f>
        <v>50</v>
      </c>
      <c r="AZ11" s="19"/>
      <c r="BA11" s="26" t="s">
        <v>236</v>
      </c>
      <c r="BB11" s="19">
        <v>0</v>
      </c>
      <c r="BC11" s="19">
        <v>0</v>
      </c>
      <c r="BD11" s="19">
        <v>0</v>
      </c>
      <c r="BE11" s="19">
        <v>0</v>
      </c>
      <c r="BF11" s="19">
        <v>0</v>
      </c>
      <c r="BG11" s="19">
        <v>0</v>
      </c>
      <c r="BH11" s="19">
        <v>0</v>
      </c>
      <c r="BI11" s="19">
        <v>0</v>
      </c>
      <c r="BJ11" s="19">
        <v>0</v>
      </c>
      <c r="BK11" s="19">
        <v>0</v>
      </c>
      <c r="BL11" s="19">
        <v>0</v>
      </c>
      <c r="BM11" s="19">
        <v>0</v>
      </c>
      <c r="BN11" s="19">
        <v>0</v>
      </c>
      <c r="BO11" s="19">
        <v>0</v>
      </c>
      <c r="BP11" s="19">
        <v>0</v>
      </c>
      <c r="BQ11" s="19">
        <v>2</v>
      </c>
      <c r="BR11" s="19">
        <v>0</v>
      </c>
      <c r="BS11" s="19">
        <v>4</v>
      </c>
      <c r="BT11" s="19">
        <v>0</v>
      </c>
      <c r="BU11" s="19">
        <v>0</v>
      </c>
      <c r="BV11" s="19">
        <v>2</v>
      </c>
      <c r="BW11" s="19">
        <v>2</v>
      </c>
      <c r="BX11" s="19">
        <v>0</v>
      </c>
      <c r="BY11" s="19">
        <v>4</v>
      </c>
      <c r="BZ11" s="19">
        <v>4</v>
      </c>
      <c r="CA11" s="19">
        <v>0</v>
      </c>
      <c r="CB11" s="19">
        <v>4</v>
      </c>
      <c r="CC11" s="19">
        <v>2</v>
      </c>
      <c r="CD11" s="19">
        <v>0</v>
      </c>
      <c r="CE11" s="19">
        <v>0</v>
      </c>
      <c r="CF11" s="19">
        <v>0</v>
      </c>
      <c r="CG11" s="19">
        <v>0</v>
      </c>
      <c r="CH11" s="19">
        <v>0</v>
      </c>
      <c r="CI11" s="19">
        <v>0</v>
      </c>
      <c r="CJ11" s="19">
        <v>0</v>
      </c>
      <c r="CK11" s="19">
        <v>0</v>
      </c>
      <c r="CL11" s="19">
        <v>4</v>
      </c>
      <c r="CM11" s="19">
        <v>2</v>
      </c>
      <c r="CN11" s="19">
        <v>0</v>
      </c>
      <c r="CO11" s="19">
        <v>4</v>
      </c>
      <c r="CP11" s="19">
        <v>0</v>
      </c>
      <c r="CQ11" s="19">
        <v>0</v>
      </c>
      <c r="CR11" s="19">
        <v>0</v>
      </c>
      <c r="CS11" s="19">
        <v>2</v>
      </c>
      <c r="CT11" s="19">
        <v>0</v>
      </c>
      <c r="CU11" s="19">
        <v>0</v>
      </c>
      <c r="CV11" s="19">
        <v>4</v>
      </c>
      <c r="CW11" s="19">
        <v>0</v>
      </c>
      <c r="CX11" s="19">
        <v>0</v>
      </c>
      <c r="CY11" s="19">
        <v>0</v>
      </c>
      <c r="CZ11" s="19">
        <v>2</v>
      </c>
      <c r="DA11" s="17"/>
      <c r="DB11" s="17">
        <v>10</v>
      </c>
      <c r="DC11" s="17"/>
      <c r="DD11" s="19"/>
      <c r="DE11" s="19"/>
      <c r="DF11" s="19"/>
      <c r="DG11" s="19"/>
      <c r="DH11" s="19"/>
      <c r="DI11" s="19"/>
      <c r="DJ11" s="19"/>
      <c r="DK11" s="19"/>
      <c r="DL11" s="19"/>
      <c r="DM11" s="19"/>
      <c r="DN11" s="19"/>
      <c r="DO11" s="19"/>
      <c r="DP11" s="19"/>
      <c r="DQ11" s="19"/>
      <c r="DR11" s="19"/>
      <c r="DS11" s="19"/>
      <c r="DT11" s="19"/>
      <c r="DU11" s="19"/>
      <c r="DV11" s="19"/>
      <c r="DW11" s="19"/>
      <c r="DX11" s="19"/>
      <c r="DY11" s="19"/>
      <c r="DZ11" s="19"/>
      <c r="EA11" s="19"/>
      <c r="EB11" s="26" t="s">
        <v>236</v>
      </c>
      <c r="EC11" s="19">
        <v>0</v>
      </c>
      <c r="ED11" s="19">
        <v>0</v>
      </c>
      <c r="EE11" s="19">
        <v>0</v>
      </c>
      <c r="EF11" s="19">
        <v>0</v>
      </c>
      <c r="EG11" s="19">
        <v>0</v>
      </c>
      <c r="EH11" s="19">
        <v>2</v>
      </c>
      <c r="EI11" s="19">
        <v>0</v>
      </c>
      <c r="EJ11" s="19">
        <v>0</v>
      </c>
      <c r="EK11" s="19">
        <v>0</v>
      </c>
      <c r="EL11" s="19">
        <v>0</v>
      </c>
      <c r="EM11" s="19">
        <v>0</v>
      </c>
      <c r="EN11" s="19">
        <v>0</v>
      </c>
      <c r="EO11" s="19">
        <v>0</v>
      </c>
      <c r="EP11" s="19">
        <v>0</v>
      </c>
      <c r="EQ11" s="19">
        <v>2</v>
      </c>
      <c r="ER11" s="19">
        <v>0</v>
      </c>
      <c r="ES11" s="19">
        <v>4</v>
      </c>
      <c r="ET11" s="19">
        <v>2</v>
      </c>
      <c r="EU11" s="19">
        <v>2</v>
      </c>
      <c r="EV11" s="19">
        <v>0</v>
      </c>
      <c r="EW11" s="19">
        <v>2</v>
      </c>
      <c r="EX11" s="19">
        <v>0</v>
      </c>
      <c r="EY11" s="19">
        <v>4</v>
      </c>
      <c r="EZ11" s="19">
        <v>0</v>
      </c>
      <c r="FA11" s="19">
        <v>0</v>
      </c>
      <c r="FB11" s="19">
        <v>0</v>
      </c>
      <c r="FC11" s="19">
        <v>2</v>
      </c>
      <c r="FD11" s="19">
        <v>0</v>
      </c>
      <c r="FE11" s="19">
        <v>0</v>
      </c>
      <c r="FF11" s="19">
        <v>0</v>
      </c>
      <c r="FG11" s="19">
        <v>2</v>
      </c>
      <c r="FH11" s="19">
        <v>0</v>
      </c>
      <c r="FI11" s="19">
        <v>0</v>
      </c>
      <c r="FJ11" s="19">
        <v>0</v>
      </c>
      <c r="FK11" s="19">
        <v>2</v>
      </c>
      <c r="FL11" s="19">
        <v>0</v>
      </c>
      <c r="FM11" s="19">
        <v>0</v>
      </c>
      <c r="FN11" s="19">
        <v>0</v>
      </c>
      <c r="FO11" s="19">
        <v>2</v>
      </c>
      <c r="FP11" s="19">
        <v>0</v>
      </c>
      <c r="FQ11" s="19">
        <v>0</v>
      </c>
      <c r="FR11" s="19">
        <v>0</v>
      </c>
      <c r="FS11" s="19">
        <v>0</v>
      </c>
      <c r="FT11" s="19">
        <v>0</v>
      </c>
      <c r="FU11" s="19">
        <v>0</v>
      </c>
      <c r="FV11" s="19">
        <v>0</v>
      </c>
      <c r="FW11" s="19">
        <v>2</v>
      </c>
      <c r="FX11" s="19">
        <v>0</v>
      </c>
      <c r="FY11" s="19">
        <v>0</v>
      </c>
      <c r="FZ11" s="19">
        <v>0</v>
      </c>
      <c r="GA11" s="19">
        <v>2</v>
      </c>
      <c r="GC11" s="19"/>
      <c r="GD11" s="19"/>
      <c r="GE11" s="26" t="s">
        <v>236</v>
      </c>
      <c r="GF11" s="19">
        <v>0</v>
      </c>
      <c r="GG11" s="19">
        <v>0</v>
      </c>
      <c r="GH11" s="19">
        <v>0</v>
      </c>
      <c r="GI11" s="19">
        <v>0</v>
      </c>
      <c r="GJ11" s="19">
        <v>0</v>
      </c>
      <c r="GK11" s="19">
        <v>0</v>
      </c>
      <c r="GL11" s="19">
        <v>2</v>
      </c>
      <c r="GM11" s="19">
        <v>0</v>
      </c>
      <c r="GN11" s="19">
        <v>0</v>
      </c>
      <c r="GO11" s="19">
        <v>2</v>
      </c>
      <c r="GP11" s="19">
        <v>0</v>
      </c>
      <c r="GQ11" s="19">
        <v>2</v>
      </c>
      <c r="GR11" s="19">
        <v>0</v>
      </c>
      <c r="GS11" s="19">
        <v>0</v>
      </c>
      <c r="GT11" s="19">
        <v>4</v>
      </c>
      <c r="GU11" s="19">
        <v>0</v>
      </c>
      <c r="GV11" s="19">
        <v>0</v>
      </c>
      <c r="GW11" s="19">
        <v>0</v>
      </c>
      <c r="GX11" s="19">
        <v>0</v>
      </c>
      <c r="GY11" s="19">
        <v>2</v>
      </c>
      <c r="GZ11" s="19">
        <v>0</v>
      </c>
      <c r="HA11" s="19">
        <v>2</v>
      </c>
      <c r="HB11" s="19">
        <v>0</v>
      </c>
      <c r="HC11" s="19">
        <v>2</v>
      </c>
      <c r="HD11" s="19">
        <v>0</v>
      </c>
      <c r="HE11" s="19">
        <v>0</v>
      </c>
      <c r="HF11" s="19">
        <v>0</v>
      </c>
      <c r="HG11" s="19">
        <v>0</v>
      </c>
      <c r="HH11" s="19">
        <v>0</v>
      </c>
      <c r="HI11" s="19">
        <v>0</v>
      </c>
      <c r="HJ11" s="19">
        <v>0</v>
      </c>
      <c r="HK11" s="19">
        <v>0</v>
      </c>
      <c r="HL11" s="19">
        <v>0</v>
      </c>
      <c r="HM11" s="19">
        <v>0</v>
      </c>
      <c r="HN11" s="19">
        <v>0</v>
      </c>
      <c r="HO11" s="19">
        <v>2</v>
      </c>
      <c r="HP11" s="19">
        <v>0</v>
      </c>
      <c r="HQ11" s="19">
        <v>0</v>
      </c>
      <c r="HR11" s="19">
        <v>2</v>
      </c>
      <c r="HS11" s="19">
        <v>0</v>
      </c>
      <c r="HT11" s="19">
        <v>0</v>
      </c>
      <c r="HU11" s="19">
        <v>0</v>
      </c>
      <c r="HV11" s="19">
        <v>0</v>
      </c>
      <c r="HW11" s="19">
        <v>0</v>
      </c>
      <c r="HX11" s="19">
        <v>0</v>
      </c>
      <c r="HY11" s="19">
        <v>0</v>
      </c>
      <c r="HZ11" s="19">
        <v>0</v>
      </c>
      <c r="IA11" s="19">
        <v>0</v>
      </c>
      <c r="IB11" s="19">
        <v>0</v>
      </c>
      <c r="IC11" s="19">
        <v>0</v>
      </c>
      <c r="ID11" s="19">
        <v>2</v>
      </c>
      <c r="IF11" s="20" t="s">
        <v>236</v>
      </c>
      <c r="IG11" s="20">
        <v>0</v>
      </c>
      <c r="IH11" s="20">
        <v>0</v>
      </c>
      <c r="II11" s="20">
        <v>0</v>
      </c>
      <c r="IJ11" s="20">
        <v>0</v>
      </c>
      <c r="IK11" s="20">
        <v>0</v>
      </c>
      <c r="IL11" s="20">
        <v>0</v>
      </c>
      <c r="IM11" s="20">
        <v>4</v>
      </c>
      <c r="IN11" s="20">
        <v>0</v>
      </c>
      <c r="IO11" s="20">
        <v>0</v>
      </c>
      <c r="IP11" s="20">
        <v>0</v>
      </c>
      <c r="IQ11" s="20">
        <v>0</v>
      </c>
      <c r="IR11" s="20">
        <v>0</v>
      </c>
      <c r="IS11" s="20">
        <v>0</v>
      </c>
      <c r="IT11" s="20">
        <v>2</v>
      </c>
      <c r="IU11" s="20">
        <v>2</v>
      </c>
      <c r="IV11" s="20">
        <v>0</v>
      </c>
      <c r="IW11" s="20">
        <v>2</v>
      </c>
      <c r="IX11" s="20">
        <v>0</v>
      </c>
      <c r="IY11" s="20">
        <v>0</v>
      </c>
      <c r="IZ11" s="20">
        <v>0</v>
      </c>
      <c r="JA11" s="20">
        <v>0</v>
      </c>
      <c r="JB11" s="20">
        <v>4</v>
      </c>
      <c r="JC11" s="20">
        <v>0</v>
      </c>
      <c r="JD11" s="20">
        <v>0</v>
      </c>
      <c r="JE11" s="20">
        <v>0</v>
      </c>
      <c r="JF11" s="20">
        <v>0</v>
      </c>
    </row>
    <row r="12" spans="1:266" x14ac:dyDescent="0.25">
      <c r="A12" s="8"/>
      <c r="B12" s="5" t="s">
        <v>61</v>
      </c>
      <c r="C12" s="8"/>
      <c r="D12" s="6" t="s">
        <v>474</v>
      </c>
      <c r="E12" s="4"/>
      <c r="F12" s="222"/>
      <c r="G12" s="222"/>
      <c r="H12" s="222"/>
      <c r="I12" s="222"/>
      <c r="J12" s="4"/>
      <c r="K12" s="4"/>
      <c r="L12" s="6" t="str">
        <f>IF(E10=$AK$22,"NKZM10E A2",IF(E10=$AK$23,"NKZM10E A2",IF(E10=$AK$24,"-------",0)))</f>
        <v>NKZM10E A2</v>
      </c>
      <c r="M12" s="14">
        <f>INDEX(cenník!$A$2:$I$568,MATCH($L12,cenník!$B$2:$B$557,0),MATCH(M$2,cenník!$A$1:$I$1,0))</f>
        <v>890009</v>
      </c>
      <c r="N12" s="14" t="str">
        <f>INDEX(cenník!$A$2:$I$568,MATCH($L12,cenník!$B$2:$B$557,0),MATCH(N$2,cenník!$A$1:$I$1,0))</f>
        <v>100ks</v>
      </c>
      <c r="O12" s="14">
        <f>IF(L12="-------",0,ROUNDUP((O9/100),0))</f>
        <v>0</v>
      </c>
      <c r="P12" s="21">
        <f>INDEX(cenník!$A$2:$I$568,MATCH($L12,cenník!$B$2:$B$557,0),MATCH(P$2,cenník!$A$1:$I$1,0))</f>
        <v>15.96</v>
      </c>
      <c r="Q12" s="21">
        <f t="shared" si="0"/>
        <v>0</v>
      </c>
      <c r="R12" s="22">
        <f>$E$9</f>
        <v>0</v>
      </c>
      <c r="S12" s="21">
        <f t="shared" si="2"/>
        <v>15.96</v>
      </c>
      <c r="T12" s="21">
        <f t="shared" si="3"/>
        <v>0</v>
      </c>
      <c r="U12" s="21">
        <f>INDEX(cenník!$A$2:$I$568,MATCH($L12,cenník!$B$2:$B$557,0),MATCH(U$2,cenník!$A$1:$I$1,0))*O12</f>
        <v>0</v>
      </c>
      <c r="V12" s="19"/>
      <c r="W12" s="19"/>
      <c r="X12" s="25">
        <f t="shared" si="4"/>
        <v>0</v>
      </c>
      <c r="Y12" s="19" t="s">
        <v>69</v>
      </c>
      <c r="Z12" s="19"/>
      <c r="AA12" s="19"/>
      <c r="AB12" s="26">
        <v>42</v>
      </c>
      <c r="AC12" s="121" t="s">
        <v>28</v>
      </c>
      <c r="AE12" s="121" t="s">
        <v>54</v>
      </c>
      <c r="AF12" s="19" t="s">
        <v>13</v>
      </c>
      <c r="AG12" s="19">
        <v>42</v>
      </c>
      <c r="AH12" s="121" t="s">
        <v>40</v>
      </c>
      <c r="AJ12" s="122" t="s">
        <v>84</v>
      </c>
      <c r="AK12" s="122" t="s">
        <v>84</v>
      </c>
      <c r="AL12" s="122"/>
      <c r="AM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11,$BB$2:$CA$2,0),MATCH($W$2,$AH$22:$AH$47,0)))*C11</f>
        <v>0</v>
      </c>
      <c r="AN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11,$BB$2:$CA$2,0),MATCH($W$2,$AH$22:$AH$47,0)))*C11</f>
        <v>0</v>
      </c>
      <c r="AO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11,$BB$2:$CA$2,0),MATCH($W$2,$AH$22:$AH$47,0)))*C11</f>
        <v>0</v>
      </c>
      <c r="AP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11,$BB$2:$CA$2,0),MATCH($W$2,$AH$22:$AH$47,0)))*C11</f>
        <v>0</v>
      </c>
      <c r="AQ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11,$BB$2:$CA$2,0),MATCH($W$2,$AH$22:$AH$47,0)))*C11</f>
        <v>0</v>
      </c>
      <c r="AR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11,$BB$2:$CA$2,0),MATCH($W$2,$AH$22:$AH$47,0)))*C11</f>
        <v>0</v>
      </c>
      <c r="AS12" s="19"/>
      <c r="AT12" s="19" t="s">
        <v>87</v>
      </c>
      <c r="AU12" s="19">
        <f>((((SUM(AU7:AU11)))-1))*2</f>
        <v>70</v>
      </c>
      <c r="AV12" s="123">
        <v>3.92</v>
      </c>
      <c r="AW12" s="123"/>
      <c r="AX12" s="19">
        <f>AU12*AV12</f>
        <v>274.39999999999998</v>
      </c>
      <c r="AY12" s="19"/>
      <c r="AZ12" s="19"/>
      <c r="BA12" s="26" t="s">
        <v>237</v>
      </c>
      <c r="BB12" s="19">
        <v>0</v>
      </c>
      <c r="BC12" s="19">
        <v>0</v>
      </c>
      <c r="BD12" s="19">
        <v>0</v>
      </c>
      <c r="BE12" s="19">
        <v>2</v>
      </c>
      <c r="BF12" s="19">
        <v>0</v>
      </c>
      <c r="BG12" s="19">
        <v>2</v>
      </c>
      <c r="BH12" s="19">
        <v>4</v>
      </c>
      <c r="BI12" s="19">
        <v>2</v>
      </c>
      <c r="BJ12" s="19">
        <v>4</v>
      </c>
      <c r="BK12" s="19">
        <v>6</v>
      </c>
      <c r="BL12" s="19">
        <v>4</v>
      </c>
      <c r="BM12" s="19">
        <v>6</v>
      </c>
      <c r="BN12" s="19">
        <v>8</v>
      </c>
      <c r="BO12" s="19">
        <v>6</v>
      </c>
      <c r="BP12" s="19">
        <v>8</v>
      </c>
      <c r="BQ12" s="19">
        <v>0</v>
      </c>
      <c r="BR12" s="19">
        <v>0</v>
      </c>
      <c r="BS12" s="19">
        <v>0</v>
      </c>
      <c r="BT12" s="19">
        <v>0</v>
      </c>
      <c r="BU12" s="19">
        <v>2</v>
      </c>
      <c r="BV12" s="19">
        <v>2</v>
      </c>
      <c r="BW12" s="19">
        <v>4</v>
      </c>
      <c r="BX12" s="19">
        <v>6</v>
      </c>
      <c r="BY12" s="19">
        <v>6</v>
      </c>
      <c r="BZ12" s="19">
        <v>6</v>
      </c>
      <c r="CA12" s="19">
        <v>8</v>
      </c>
      <c r="CB12" s="19">
        <v>12</v>
      </c>
      <c r="CC12" s="19">
        <v>10</v>
      </c>
      <c r="CD12" s="19">
        <v>12</v>
      </c>
      <c r="CE12" s="19">
        <v>0</v>
      </c>
      <c r="CF12" s="19">
        <v>12</v>
      </c>
      <c r="CG12" s="19">
        <v>14</v>
      </c>
      <c r="CH12" s="19">
        <v>0</v>
      </c>
      <c r="CI12" s="19">
        <v>14</v>
      </c>
      <c r="CJ12" s="19">
        <v>16</v>
      </c>
      <c r="CK12" s="19">
        <v>4</v>
      </c>
      <c r="CL12" s="19">
        <v>8</v>
      </c>
      <c r="CM12" s="19">
        <v>4</v>
      </c>
      <c r="CN12" s="19">
        <v>6</v>
      </c>
      <c r="CO12" s="19">
        <v>6</v>
      </c>
      <c r="CP12" s="19">
        <v>22</v>
      </c>
      <c r="CQ12" s="19">
        <v>8</v>
      </c>
      <c r="CR12" s="19">
        <v>22</v>
      </c>
      <c r="CS12" s="19">
        <v>10</v>
      </c>
      <c r="CT12" s="19">
        <v>12</v>
      </c>
      <c r="CU12" s="19">
        <v>0</v>
      </c>
      <c r="CV12" s="19">
        <v>4</v>
      </c>
      <c r="CW12" s="19">
        <v>14</v>
      </c>
      <c r="CX12" s="19">
        <v>0</v>
      </c>
      <c r="CY12" s="19">
        <v>30</v>
      </c>
      <c r="CZ12" s="19">
        <v>2</v>
      </c>
      <c r="DA12" s="17"/>
      <c r="DB12" s="17">
        <v>11</v>
      </c>
      <c r="DC12" s="17"/>
      <c r="DD12" s="19" t="s">
        <v>60</v>
      </c>
      <c r="DE12" s="19">
        <v>0</v>
      </c>
      <c r="DF12" s="19">
        <v>1</v>
      </c>
      <c r="DG12" s="19">
        <v>2</v>
      </c>
      <c r="DH12" s="19">
        <v>3</v>
      </c>
      <c r="DI12" s="19">
        <v>4</v>
      </c>
      <c r="DJ12" s="19">
        <v>5</v>
      </c>
      <c r="DK12" s="19">
        <v>6</v>
      </c>
      <c r="DL12" s="19">
        <v>7</v>
      </c>
      <c r="DM12" s="19">
        <v>8</v>
      </c>
      <c r="DN12" s="19">
        <v>9</v>
      </c>
      <c r="DO12" s="19">
        <v>10</v>
      </c>
      <c r="DP12" s="19">
        <v>11</v>
      </c>
      <c r="DQ12" s="19">
        <v>12</v>
      </c>
      <c r="DR12" s="19">
        <v>13</v>
      </c>
      <c r="DS12" s="19">
        <v>14</v>
      </c>
      <c r="DT12" s="19">
        <v>15</v>
      </c>
      <c r="DU12" s="19">
        <v>16</v>
      </c>
      <c r="DV12" s="19">
        <v>17</v>
      </c>
      <c r="DW12" s="19">
        <v>18</v>
      </c>
      <c r="DX12" s="19">
        <v>19</v>
      </c>
      <c r="DY12" s="19">
        <v>20</v>
      </c>
      <c r="DZ12" s="19"/>
      <c r="EA12" s="19"/>
      <c r="EB12" s="26" t="s">
        <v>237</v>
      </c>
      <c r="EC12" s="19">
        <v>0</v>
      </c>
      <c r="ED12" s="19">
        <v>0</v>
      </c>
      <c r="EE12" s="19">
        <v>0</v>
      </c>
      <c r="EF12" s="19">
        <v>2</v>
      </c>
      <c r="EG12" s="19">
        <v>2</v>
      </c>
      <c r="EH12" s="19">
        <v>4</v>
      </c>
      <c r="EI12" s="19">
        <v>4</v>
      </c>
      <c r="EJ12" s="19">
        <v>2</v>
      </c>
      <c r="EK12" s="19">
        <v>6</v>
      </c>
      <c r="EL12" s="19">
        <v>2</v>
      </c>
      <c r="EM12" s="19">
        <v>10</v>
      </c>
      <c r="EN12" s="19">
        <v>0</v>
      </c>
      <c r="EO12" s="19">
        <v>8</v>
      </c>
      <c r="EP12" s="19">
        <v>0</v>
      </c>
      <c r="EQ12" s="19">
        <v>6</v>
      </c>
      <c r="ER12" s="19">
        <v>14</v>
      </c>
      <c r="ES12" s="19">
        <v>6</v>
      </c>
      <c r="ET12" s="19">
        <v>2</v>
      </c>
      <c r="EU12" s="19">
        <v>4</v>
      </c>
      <c r="EV12" s="19">
        <v>12</v>
      </c>
      <c r="EW12" s="19">
        <v>20</v>
      </c>
      <c r="EX12" s="19">
        <v>12</v>
      </c>
      <c r="EY12" s="19">
        <v>8</v>
      </c>
      <c r="EZ12" s="19">
        <v>10</v>
      </c>
      <c r="FA12" s="19">
        <v>16</v>
      </c>
      <c r="FB12" s="19">
        <v>10</v>
      </c>
      <c r="FC12" s="19">
        <v>16</v>
      </c>
      <c r="FD12" s="19">
        <v>8</v>
      </c>
      <c r="FE12" s="19">
        <v>30</v>
      </c>
      <c r="FF12" s="19">
        <v>8</v>
      </c>
      <c r="FG12" s="19">
        <v>14</v>
      </c>
      <c r="FH12" s="19">
        <v>6</v>
      </c>
      <c r="FI12" s="19">
        <v>6</v>
      </c>
      <c r="FJ12" s="19">
        <v>6</v>
      </c>
      <c r="FK12" s="19">
        <v>12</v>
      </c>
      <c r="FL12" s="19">
        <v>4</v>
      </c>
      <c r="FM12" s="19">
        <v>26</v>
      </c>
      <c r="FN12" s="19">
        <v>4</v>
      </c>
      <c r="FO12" s="19">
        <v>10</v>
      </c>
      <c r="FP12" s="19">
        <v>2</v>
      </c>
      <c r="FQ12" s="19">
        <v>24</v>
      </c>
      <c r="FR12" s="19">
        <v>2</v>
      </c>
      <c r="FS12" s="19">
        <v>0</v>
      </c>
      <c r="FT12" s="19">
        <v>0</v>
      </c>
      <c r="FU12" s="19">
        <v>22</v>
      </c>
      <c r="FV12" s="19">
        <v>0</v>
      </c>
      <c r="FW12" s="19">
        <v>6</v>
      </c>
      <c r="FX12" s="19">
        <v>0</v>
      </c>
      <c r="FY12" s="19">
        <v>20</v>
      </c>
      <c r="FZ12" s="19">
        <v>0</v>
      </c>
      <c r="GA12" s="19">
        <v>4</v>
      </c>
      <c r="GC12" s="19"/>
      <c r="GD12" s="19"/>
      <c r="GE12" s="26" t="s">
        <v>237</v>
      </c>
      <c r="GF12" s="19">
        <v>0</v>
      </c>
      <c r="GG12" s="19">
        <v>0</v>
      </c>
      <c r="GH12" s="19">
        <v>0</v>
      </c>
      <c r="GI12" s="19">
        <v>4</v>
      </c>
      <c r="GJ12" s="19">
        <v>0</v>
      </c>
      <c r="GK12" s="19">
        <v>2</v>
      </c>
      <c r="GL12" s="19">
        <v>6</v>
      </c>
      <c r="GM12" s="19">
        <v>6</v>
      </c>
      <c r="GN12" s="19">
        <v>10</v>
      </c>
      <c r="GO12" s="19">
        <v>0</v>
      </c>
      <c r="GP12" s="19">
        <v>6</v>
      </c>
      <c r="GQ12" s="19">
        <v>8</v>
      </c>
      <c r="GR12" s="19">
        <v>0</v>
      </c>
      <c r="GS12" s="19">
        <v>16</v>
      </c>
      <c r="GT12" s="19">
        <v>4</v>
      </c>
      <c r="GU12" s="19">
        <v>8</v>
      </c>
      <c r="GV12" s="19">
        <v>10</v>
      </c>
      <c r="GW12" s="19">
        <v>0</v>
      </c>
      <c r="GX12" s="19">
        <v>18</v>
      </c>
      <c r="GY12" s="19">
        <v>22</v>
      </c>
      <c r="GZ12" s="19">
        <v>10</v>
      </c>
      <c r="HA12" s="19">
        <v>14</v>
      </c>
      <c r="HB12" s="19">
        <v>4</v>
      </c>
      <c r="HC12" s="19">
        <v>6</v>
      </c>
      <c r="HD12" s="19">
        <v>0</v>
      </c>
      <c r="HE12" s="19">
        <v>14</v>
      </c>
      <c r="HF12" s="19">
        <v>32</v>
      </c>
      <c r="HG12" s="19">
        <v>6</v>
      </c>
      <c r="HH12" s="19">
        <v>24</v>
      </c>
      <c r="HI12" s="19">
        <v>0</v>
      </c>
      <c r="HJ12" s="19">
        <v>16</v>
      </c>
      <c r="HK12" s="19">
        <v>34</v>
      </c>
      <c r="HL12" s="19">
        <v>8</v>
      </c>
      <c r="HM12" s="19">
        <v>26</v>
      </c>
      <c r="HN12" s="19">
        <v>0</v>
      </c>
      <c r="HO12" s="19">
        <v>4</v>
      </c>
      <c r="HP12" s="19">
        <v>0</v>
      </c>
      <c r="HQ12" s="19">
        <v>12</v>
      </c>
      <c r="HR12" s="19">
        <v>14</v>
      </c>
      <c r="HS12" s="19">
        <v>4</v>
      </c>
      <c r="HT12" s="19">
        <v>22</v>
      </c>
      <c r="HU12" s="19">
        <v>0</v>
      </c>
      <c r="HV12" s="19">
        <v>14</v>
      </c>
      <c r="HW12" s="19">
        <v>32</v>
      </c>
      <c r="HX12" s="19">
        <v>6</v>
      </c>
      <c r="HY12" s="19">
        <v>24</v>
      </c>
      <c r="HZ12" s="19">
        <v>0</v>
      </c>
      <c r="IA12" s="19">
        <v>16</v>
      </c>
      <c r="IB12" s="19">
        <v>0</v>
      </c>
      <c r="IC12" s="19">
        <v>10</v>
      </c>
      <c r="ID12" s="19">
        <v>12</v>
      </c>
      <c r="IF12" s="20" t="s">
        <v>237</v>
      </c>
      <c r="IG12" s="20">
        <v>0</v>
      </c>
      <c r="IH12" s="20">
        <v>2</v>
      </c>
      <c r="II12" s="20">
        <v>2</v>
      </c>
      <c r="IJ12" s="20">
        <v>2</v>
      </c>
      <c r="IK12" s="20">
        <v>4</v>
      </c>
      <c r="IL12" s="20">
        <v>0</v>
      </c>
      <c r="IM12" s="20">
        <v>0</v>
      </c>
      <c r="IN12" s="20">
        <v>8</v>
      </c>
      <c r="IO12" s="20">
        <v>8</v>
      </c>
      <c r="IP12" s="20">
        <v>4</v>
      </c>
      <c r="IQ12" s="20">
        <v>0</v>
      </c>
      <c r="IR12" s="20">
        <v>0</v>
      </c>
      <c r="IS12" s="20">
        <v>16</v>
      </c>
      <c r="IT12" s="20">
        <v>10</v>
      </c>
      <c r="IU12" s="20">
        <v>6</v>
      </c>
      <c r="IV12" s="20">
        <v>6</v>
      </c>
      <c r="IW12" s="20">
        <v>2</v>
      </c>
      <c r="IX12" s="20">
        <v>2</v>
      </c>
      <c r="IY12" s="20">
        <v>0</v>
      </c>
      <c r="IZ12" s="20">
        <v>10</v>
      </c>
      <c r="JA12" s="20">
        <v>22</v>
      </c>
      <c r="JB12" s="20">
        <v>4</v>
      </c>
      <c r="JC12" s="20">
        <v>2</v>
      </c>
      <c r="JD12" s="20">
        <v>14</v>
      </c>
      <c r="JE12" s="20">
        <v>26</v>
      </c>
      <c r="JF12" s="20">
        <v>0</v>
      </c>
    </row>
    <row r="13" spans="1:266" x14ac:dyDescent="0.25">
      <c r="A13" s="8"/>
      <c r="B13" s="5" t="s">
        <v>61</v>
      </c>
      <c r="C13" s="8"/>
      <c r="D13" s="44" t="s">
        <v>563</v>
      </c>
      <c r="E13" s="4"/>
      <c r="F13" s="222"/>
      <c r="G13" s="222"/>
      <c r="H13" s="222"/>
      <c r="I13" s="222"/>
      <c r="J13" s="4"/>
      <c r="K13" s="4"/>
      <c r="L13" s="6" t="str">
        <f>IF(E6=$AC$1,INDEX(($AN$28:$AO$37,$AN$42:$AO$51,$AN$56:$AO$65),MATCH(I3,$AM$28:$AM$37,0),MATCH(E7,$AN$27:$AO$27,0),MATCH(E10,$AK$22:$AK$24,0)),IF(E6=$AC$2,INDEX(($AT$28:$AU$37,$AT$42:$AU$51,$AT$56:$AU$65),MATCH(I3,$AS$28:$AS$37,0),MATCH(E7,$AT$27:$AU$27,0),MATCH(E10,$AK$22:$AK$24,0)),0))</f>
        <v>BUFK30</v>
      </c>
      <c r="M13" s="14">
        <f>INDEX(cenník!$A$2:$I$568,MATCH($L13,cenník!$B$2:$B$557,0),MATCH(M$2,cenník!$A$1:$I$1,0))</f>
        <v>897430</v>
      </c>
      <c r="N13" s="14" t="str">
        <f>INDEX(cenník!$A$2:$I$568,MATCH($L13,cenník!$B$2:$B$557,0),MATCH(N$2,cenník!$A$1:$I$1,0))</f>
        <v>ks</v>
      </c>
      <c r="O13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3" s="21">
        <f>INDEX(cenník!$A$2:$I$568,MATCH($L13,cenník!$B$2:$B$557,0),MATCH(P$2,cenník!$A$1:$I$1,0))</f>
        <v>1.9</v>
      </c>
      <c r="Q13" s="21">
        <f>O13*P13</f>
        <v>0</v>
      </c>
      <c r="R13" s="22">
        <f t="shared" si="1"/>
        <v>0</v>
      </c>
      <c r="S13" s="21">
        <f>P13*((100-$E$9)/100)</f>
        <v>1.9</v>
      </c>
      <c r="T13" s="21">
        <f>O13*S13</f>
        <v>0</v>
      </c>
      <c r="U13" s="21">
        <f>INDEX(cenník!$A$2:$I$568,MATCH($L13,cenník!$B$2:$B$557,0),MATCH(U$2,cenník!$A$1:$I$1,0))*O13</f>
        <v>0</v>
      </c>
      <c r="V13" s="19"/>
      <c r="W13" s="19"/>
      <c r="X13" s="25">
        <f t="shared" si="4"/>
        <v>0</v>
      </c>
      <c r="Y13" s="19" t="s">
        <v>80</v>
      </c>
      <c r="Z13" s="19"/>
      <c r="AA13" s="19">
        <f>INT(((A2*IF(E3=AH30,1650,IF(E3=AH31,1700,IF(E3=AH32,1750,IF(E3=AH33,1800,IF(E3=AH34,1850,IF(E3=AH35,1900,IF(E3=AH36,1950,IF(E3=AH37,2000,IF(E3=AH38,2050,IF(E3=AH39,2100,IF(E3=AH40,2150,IF(E3=AH41,2200,IF(E3=AH42,2250,IF(E3=AH43,2300)))))))))))))))+((A2-1)*20)+80)/E4)</f>
        <v>0</v>
      </c>
      <c r="AB13" s="26">
        <v>45</v>
      </c>
      <c r="AC13" s="121" t="s">
        <v>29</v>
      </c>
      <c r="AE13" s="121" t="s">
        <v>82</v>
      </c>
      <c r="AF13" s="19" t="s">
        <v>13</v>
      </c>
      <c r="AG13" s="19">
        <v>45</v>
      </c>
      <c r="AH13" s="121" t="s">
        <v>41</v>
      </c>
      <c r="AJ13" s="122" t="s">
        <v>84</v>
      </c>
      <c r="AK13" s="122" t="s">
        <v>84</v>
      </c>
      <c r="AL13" s="122"/>
      <c r="AM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12,$BB$2:$CA$2,0),MATCH($W$2,$AH$22:$AH$47,0)))*C12</f>
        <v>0</v>
      </c>
      <c r="AN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12,$BB$2:$CA$2,0),MATCH($W$2,$AH$22:$AH$47,0)))*C12</f>
        <v>0</v>
      </c>
      <c r="AO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12,$BB$2:$CA$2,0),MATCH($W$2,$AH$22:$AH$47,0)))*C12</f>
        <v>0</v>
      </c>
      <c r="AP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12,$BB$2:$CA$2,0),MATCH($W$2,$AH$22:$AH$47,0)))*C12</f>
        <v>0</v>
      </c>
      <c r="AQ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12,$BB$2:$CA$2,0),MATCH($W$2,$AH$22:$AH$47,0)))*C12</f>
        <v>0</v>
      </c>
      <c r="AR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12,$BB$2:$CA$2,0),MATCH($W$2,$AH$22:$AH$47,0)))*C12</f>
        <v>0</v>
      </c>
      <c r="AS13" s="19"/>
      <c r="AT13" s="19"/>
      <c r="AU13" s="19"/>
      <c r="AV13" s="19">
        <f>SUM(AV7:AV11)</f>
        <v>117150</v>
      </c>
      <c r="AW13" s="19"/>
      <c r="AX13" s="19">
        <f>SUM(AX7:AX12)</f>
        <v>2763.1600000000003</v>
      </c>
      <c r="AY13" s="19"/>
      <c r="AZ13" s="19"/>
      <c r="BA13" s="26" t="s">
        <v>238</v>
      </c>
      <c r="BB13" s="19">
        <v>0</v>
      </c>
      <c r="BC13" s="19">
        <v>0</v>
      </c>
      <c r="BD13" s="19">
        <v>0</v>
      </c>
      <c r="BE13" s="19">
        <v>0</v>
      </c>
      <c r="BF13" s="19">
        <v>0</v>
      </c>
      <c r="BG13" s="19">
        <v>0</v>
      </c>
      <c r="BH13" s="19">
        <v>0</v>
      </c>
      <c r="BI13" s="19">
        <v>0</v>
      </c>
      <c r="BJ13" s="19">
        <v>0</v>
      </c>
      <c r="BK13" s="19">
        <v>0</v>
      </c>
      <c r="BL13" s="19">
        <v>0</v>
      </c>
      <c r="BM13" s="19">
        <v>0</v>
      </c>
      <c r="BN13" s="19">
        <v>0</v>
      </c>
      <c r="BO13" s="19">
        <v>0</v>
      </c>
      <c r="BP13" s="19">
        <v>0</v>
      </c>
      <c r="BQ13" s="19">
        <v>8</v>
      </c>
      <c r="BR13" s="19">
        <v>10</v>
      </c>
      <c r="BS13" s="19">
        <v>8</v>
      </c>
      <c r="BT13" s="19">
        <v>10</v>
      </c>
      <c r="BU13" s="19">
        <v>10</v>
      </c>
      <c r="BV13" s="19">
        <v>8</v>
      </c>
      <c r="BW13" s="19">
        <v>8</v>
      </c>
      <c r="BX13" s="19">
        <v>8</v>
      </c>
      <c r="BY13" s="19">
        <v>6</v>
      </c>
      <c r="BZ13" s="19">
        <v>6</v>
      </c>
      <c r="CA13" s="19">
        <v>8</v>
      </c>
      <c r="CB13" s="19">
        <v>2</v>
      </c>
      <c r="CC13" s="19">
        <v>6</v>
      </c>
      <c r="CD13" s="19">
        <v>6</v>
      </c>
      <c r="CE13" s="19">
        <v>18</v>
      </c>
      <c r="CF13" s="19">
        <v>6</v>
      </c>
      <c r="CG13" s="19">
        <v>6</v>
      </c>
      <c r="CH13" s="19">
        <v>20</v>
      </c>
      <c r="CI13" s="19">
        <v>6</v>
      </c>
      <c r="CJ13" s="19">
        <v>6</v>
      </c>
      <c r="CK13" s="19">
        <v>18</v>
      </c>
      <c r="CL13" s="19">
        <v>12</v>
      </c>
      <c r="CM13" s="19">
        <v>18</v>
      </c>
      <c r="CN13" s="19">
        <v>18</v>
      </c>
      <c r="CO13" s="19">
        <v>16</v>
      </c>
      <c r="CP13" s="19">
        <v>4</v>
      </c>
      <c r="CQ13" s="19">
        <v>18</v>
      </c>
      <c r="CR13" s="19">
        <v>4</v>
      </c>
      <c r="CS13" s="19">
        <v>16</v>
      </c>
      <c r="CT13" s="19">
        <v>16</v>
      </c>
      <c r="CU13" s="19">
        <v>28</v>
      </c>
      <c r="CV13" s="19">
        <v>22</v>
      </c>
      <c r="CW13" s="19">
        <v>16</v>
      </c>
      <c r="CX13" s="19">
        <v>30</v>
      </c>
      <c r="CY13" s="19">
        <v>2</v>
      </c>
      <c r="CZ13" s="19">
        <v>28</v>
      </c>
      <c r="DA13" s="17"/>
      <c r="DB13" s="17">
        <v>12</v>
      </c>
      <c r="DC13" s="17"/>
      <c r="DD13" s="19" t="s">
        <v>64</v>
      </c>
      <c r="DE13" s="19">
        <v>0</v>
      </c>
      <c r="DF13" s="19">
        <v>2</v>
      </c>
      <c r="DG13" s="19">
        <v>2</v>
      </c>
      <c r="DH13" s="19">
        <v>0</v>
      </c>
      <c r="DI13" s="19">
        <v>4</v>
      </c>
      <c r="DJ13" s="19">
        <v>2</v>
      </c>
      <c r="DK13" s="19">
        <v>0</v>
      </c>
      <c r="DL13" s="19">
        <v>4</v>
      </c>
      <c r="DM13" s="19">
        <v>2</v>
      </c>
      <c r="DN13" s="19">
        <v>0</v>
      </c>
      <c r="DO13" s="19">
        <v>4</v>
      </c>
      <c r="DP13" s="19">
        <v>2</v>
      </c>
      <c r="DQ13" s="19">
        <v>0</v>
      </c>
      <c r="DR13" s="19">
        <v>4</v>
      </c>
      <c r="DS13" s="19">
        <v>2</v>
      </c>
      <c r="DT13" s="19">
        <v>0</v>
      </c>
      <c r="DU13" s="19">
        <v>4</v>
      </c>
      <c r="DV13" s="19">
        <v>2</v>
      </c>
      <c r="DW13" s="19">
        <v>0</v>
      </c>
      <c r="DX13" s="19">
        <v>4</v>
      </c>
      <c r="DY13" s="19">
        <v>2</v>
      </c>
      <c r="DZ13" s="19"/>
      <c r="EA13" s="19"/>
      <c r="EB13" s="26" t="s">
        <v>238</v>
      </c>
      <c r="EC13" s="19">
        <v>0</v>
      </c>
      <c r="ED13" s="19">
        <v>0</v>
      </c>
      <c r="EE13" s="19">
        <v>0</v>
      </c>
      <c r="EF13" s="19">
        <v>0</v>
      </c>
      <c r="EG13" s="19">
        <v>0</v>
      </c>
      <c r="EH13" s="19">
        <v>0</v>
      </c>
      <c r="EI13" s="19">
        <v>0</v>
      </c>
      <c r="EJ13" s="19">
        <v>4</v>
      </c>
      <c r="EK13" s="19">
        <v>0</v>
      </c>
      <c r="EL13" s="19">
        <v>6</v>
      </c>
      <c r="EM13" s="19">
        <v>0</v>
      </c>
      <c r="EN13" s="19">
        <v>10</v>
      </c>
      <c r="EO13" s="19">
        <v>2</v>
      </c>
      <c r="EP13" s="19">
        <v>12</v>
      </c>
      <c r="EQ13" s="19">
        <v>6</v>
      </c>
      <c r="ER13" s="19">
        <v>2</v>
      </c>
      <c r="ES13" s="19">
        <v>8</v>
      </c>
      <c r="ET13" s="19">
        <v>14</v>
      </c>
      <c r="EU13" s="19">
        <v>12</v>
      </c>
      <c r="EV13" s="19">
        <v>8</v>
      </c>
      <c r="EW13" s="19">
        <v>0</v>
      </c>
      <c r="EX13" s="19">
        <v>10</v>
      </c>
      <c r="EY13" s="19">
        <v>12</v>
      </c>
      <c r="EZ13" s="19">
        <v>14</v>
      </c>
      <c r="FA13" s="19">
        <v>8</v>
      </c>
      <c r="FB13" s="19">
        <v>16</v>
      </c>
      <c r="FC13" s="19">
        <v>10</v>
      </c>
      <c r="FD13" s="19">
        <v>20</v>
      </c>
      <c r="FE13" s="19">
        <v>0</v>
      </c>
      <c r="FF13" s="19">
        <v>22</v>
      </c>
      <c r="FG13" s="19">
        <v>16</v>
      </c>
      <c r="FH13" s="19">
        <v>26</v>
      </c>
      <c r="FI13" s="19">
        <v>26</v>
      </c>
      <c r="FJ13" s="19">
        <v>28</v>
      </c>
      <c r="FK13" s="19">
        <v>22</v>
      </c>
      <c r="FL13" s="19">
        <v>32</v>
      </c>
      <c r="FM13" s="19">
        <v>12</v>
      </c>
      <c r="FN13" s="19">
        <v>34</v>
      </c>
      <c r="FO13" s="19">
        <v>28</v>
      </c>
      <c r="FP13" s="19">
        <v>38</v>
      </c>
      <c r="FQ13" s="19">
        <v>18</v>
      </c>
      <c r="FR13" s="19">
        <v>40</v>
      </c>
      <c r="FS13" s="19">
        <v>40</v>
      </c>
      <c r="FT13" s="19">
        <v>44</v>
      </c>
      <c r="FU13" s="19">
        <v>24</v>
      </c>
      <c r="FV13" s="19">
        <v>46</v>
      </c>
      <c r="FW13" s="19">
        <v>40</v>
      </c>
      <c r="FX13" s="19">
        <v>48</v>
      </c>
      <c r="FY13" s="19">
        <v>30</v>
      </c>
      <c r="FZ13" s="19">
        <v>50</v>
      </c>
      <c r="GA13" s="19">
        <v>46</v>
      </c>
      <c r="GC13" s="19"/>
      <c r="GD13" s="19"/>
      <c r="GE13" s="26" t="s">
        <v>238</v>
      </c>
      <c r="GF13" s="19">
        <v>0</v>
      </c>
      <c r="GG13" s="19">
        <v>0</v>
      </c>
      <c r="GH13" s="19">
        <v>0</v>
      </c>
      <c r="GI13" s="19">
        <v>0</v>
      </c>
      <c r="GJ13" s="19">
        <v>4</v>
      </c>
      <c r="GK13" s="19">
        <v>4</v>
      </c>
      <c r="GL13" s="19">
        <v>0</v>
      </c>
      <c r="GM13" s="19">
        <v>0</v>
      </c>
      <c r="GN13" s="19">
        <v>0</v>
      </c>
      <c r="GO13" s="19">
        <v>8</v>
      </c>
      <c r="GP13" s="19">
        <v>6</v>
      </c>
      <c r="GQ13" s="19">
        <v>4</v>
      </c>
      <c r="GR13" s="19">
        <v>14</v>
      </c>
      <c r="GS13" s="19">
        <v>0</v>
      </c>
      <c r="GT13" s="19">
        <v>10</v>
      </c>
      <c r="GU13" s="19">
        <v>10</v>
      </c>
      <c r="GV13" s="19">
        <v>8</v>
      </c>
      <c r="GW13" s="19">
        <v>20</v>
      </c>
      <c r="GX13" s="19">
        <v>4</v>
      </c>
      <c r="GY13" s="19">
        <v>0</v>
      </c>
      <c r="GZ13" s="19">
        <v>14</v>
      </c>
      <c r="HA13" s="19">
        <v>10</v>
      </c>
      <c r="HB13" s="19">
        <v>22</v>
      </c>
      <c r="HC13" s="19">
        <v>20</v>
      </c>
      <c r="HD13" s="19">
        <v>28</v>
      </c>
      <c r="HE13" s="19">
        <v>16</v>
      </c>
      <c r="HF13" s="19">
        <v>0</v>
      </c>
      <c r="HG13" s="19">
        <v>26</v>
      </c>
      <c r="HH13" s="19">
        <v>10</v>
      </c>
      <c r="HI13" s="19">
        <v>34</v>
      </c>
      <c r="HJ13" s="19">
        <v>20</v>
      </c>
      <c r="HK13" s="19">
        <v>4</v>
      </c>
      <c r="HL13" s="19">
        <v>30</v>
      </c>
      <c r="HM13" s="19">
        <v>14</v>
      </c>
      <c r="HN13" s="19">
        <v>40</v>
      </c>
      <c r="HO13" s="19">
        <v>36</v>
      </c>
      <c r="HP13" s="19">
        <v>42</v>
      </c>
      <c r="HQ13" s="19">
        <v>32</v>
      </c>
      <c r="HR13" s="19">
        <v>30</v>
      </c>
      <c r="HS13" s="19">
        <v>42</v>
      </c>
      <c r="HT13" s="19">
        <v>26</v>
      </c>
      <c r="HU13" s="19">
        <v>48</v>
      </c>
      <c r="HV13" s="19">
        <v>36</v>
      </c>
      <c r="HW13" s="19">
        <v>20</v>
      </c>
      <c r="HX13" s="19">
        <v>46</v>
      </c>
      <c r="HY13" s="19">
        <v>30</v>
      </c>
      <c r="HZ13" s="19">
        <v>54</v>
      </c>
      <c r="IA13" s="19">
        <v>40</v>
      </c>
      <c r="IB13" s="19">
        <v>56</v>
      </c>
      <c r="IC13" s="19">
        <v>48</v>
      </c>
      <c r="ID13" s="19">
        <v>46</v>
      </c>
      <c r="IF13" s="20" t="s">
        <v>238</v>
      </c>
      <c r="IG13" s="20">
        <v>0</v>
      </c>
      <c r="IH13" s="20">
        <v>0</v>
      </c>
      <c r="II13" s="20">
        <v>0</v>
      </c>
      <c r="IJ13" s="20">
        <v>0</v>
      </c>
      <c r="IK13" s="20">
        <v>2</v>
      </c>
      <c r="IL13" s="20">
        <v>6</v>
      </c>
      <c r="IM13" s="20">
        <v>6</v>
      </c>
      <c r="IN13" s="20">
        <v>0</v>
      </c>
      <c r="IO13" s="20">
        <v>4</v>
      </c>
      <c r="IP13" s="20">
        <v>8</v>
      </c>
      <c r="IQ13" s="20">
        <v>12</v>
      </c>
      <c r="IR13" s="20">
        <v>16</v>
      </c>
      <c r="IS13" s="20">
        <v>2</v>
      </c>
      <c r="IT13" s="20">
        <v>8</v>
      </c>
      <c r="IU13" s="20">
        <v>12</v>
      </c>
      <c r="IV13" s="20">
        <v>16</v>
      </c>
      <c r="IW13" s="20">
        <v>20</v>
      </c>
      <c r="IX13" s="20">
        <v>20</v>
      </c>
      <c r="IY13" s="20">
        <v>26</v>
      </c>
      <c r="IZ13" s="20">
        <v>18</v>
      </c>
      <c r="JA13" s="20">
        <v>8</v>
      </c>
      <c r="JB13" s="20">
        <v>24</v>
      </c>
      <c r="JC13" s="20">
        <v>30</v>
      </c>
      <c r="JD13" s="20">
        <v>20</v>
      </c>
      <c r="JE13" s="20">
        <v>10</v>
      </c>
      <c r="JF13" s="20">
        <v>36</v>
      </c>
    </row>
    <row r="14" spans="1:266" x14ac:dyDescent="0.25">
      <c r="A14" s="8"/>
      <c r="B14" s="5" t="s">
        <v>61</v>
      </c>
      <c r="C14" s="8"/>
      <c r="D14" s="4"/>
      <c r="E14" s="4"/>
      <c r="F14" s="222"/>
      <c r="G14" s="222"/>
      <c r="H14" s="222"/>
      <c r="I14" s="222"/>
      <c r="J14" s="4"/>
      <c r="K14" s="4"/>
      <c r="L14" s="6" t="str">
        <f>IF(E6=$AC$1,INDEX(($AN$38:$AO$38,$AN$52:$AO$52,$AN$66:$AO$66),1,MATCH($E$7,$AN$27:$AO$27,0),MATCH($E$10,$AK$22:$AK$24,0)),IF(E6=$AC$2,INDEX(($AT$38:$AU$38,$AT$52:$AU$52,$AT$66:$AU$66),1,MATCH($E$7,$AT$27:$AU$27,0),MATCH($E$10,$AK$22:$AK$24,0)),0))</f>
        <v>PUFK</v>
      </c>
      <c r="M14" s="14">
        <f>INDEX(cenník!$A$2:$I$568,MATCH($L14,cenník!$B$2:$B$557,0),MATCH(M$2,cenník!$A$1:$I$1,0))</f>
        <v>890300</v>
      </c>
      <c r="N14" s="14" t="str">
        <f>INDEX(cenník!$A$2:$I$568,MATCH($L14,cenník!$B$2:$B$557,0),MATCH(N$2,cenník!$A$1:$I$1,0))</f>
        <v>ks</v>
      </c>
      <c r="O14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4" s="21">
        <f>INDEX(cenník!$A$2:$I$568,MATCH($L14,cenník!$B$2:$B$557,0),MATCH(P$2,cenník!$A$1:$I$1,0))</f>
        <v>2.08</v>
      </c>
      <c r="Q14" s="21">
        <f t="shared" si="0"/>
        <v>0</v>
      </c>
      <c r="R14" s="22">
        <f t="shared" si="1"/>
        <v>0</v>
      </c>
      <c r="S14" s="21">
        <f t="shared" si="2"/>
        <v>2.08</v>
      </c>
      <c r="T14" s="21">
        <f t="shared" si="3"/>
        <v>0</v>
      </c>
      <c r="U14" s="21">
        <f>INDEX(cenník!$A$2:$I$568,MATCH($L14,cenník!$B$2:$B$557,0),MATCH(U$2,cenník!$A$1:$I$1,0))*O14</f>
        <v>0</v>
      </c>
      <c r="V14" s="19"/>
      <c r="W14" s="19"/>
      <c r="X14" s="25">
        <f t="shared" si="4"/>
        <v>0</v>
      </c>
      <c r="Y14" s="19" t="s">
        <v>78</v>
      </c>
      <c r="Z14" s="19"/>
      <c r="AA14" s="19">
        <f>((A2*IF(E3=AH30,1650,IF(E3=AH31,1700,IF(E3=AH32,1750,IF(E3=AH37,2000,IF(E3=AH38,2050,IF(E3=AH39,2100)))))))+((A2-1)*20)+80)</f>
        <v>60</v>
      </c>
      <c r="AB14" s="26">
        <v>50</v>
      </c>
      <c r="AC14" s="121" t="s">
        <v>30</v>
      </c>
      <c r="AD14" s="121" t="s">
        <v>31</v>
      </c>
      <c r="AE14" s="121" t="s">
        <v>83</v>
      </c>
      <c r="AF14" s="19" t="s">
        <v>13</v>
      </c>
      <c r="AG14" s="19">
        <v>50</v>
      </c>
      <c r="AH14" s="121" t="s">
        <v>42</v>
      </c>
      <c r="AJ14" s="122" t="s">
        <v>84</v>
      </c>
      <c r="AK14" s="122" t="s">
        <v>84</v>
      </c>
      <c r="AL14" s="19"/>
      <c r="AM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13,$BB$2:$CA$2,0),MATCH($W$2,$AH$22:$AH$47,0)))*C13</f>
        <v>0</v>
      </c>
      <c r="AN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13,$BB$2:$CA$2,0),MATCH($W$2,$AH$22:$AH$47,0)))*C13</f>
        <v>0</v>
      </c>
      <c r="AO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13,$BB$2:$CA$2,0),MATCH($W$2,$AH$22:$AH$47,0)))*C13</f>
        <v>0</v>
      </c>
      <c r="AP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13,$BB$2:$CA$2,0),MATCH($W$2,$AH$22:$AH$47,0)))*C13</f>
        <v>0</v>
      </c>
      <c r="AQ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13,$BB$2:$CA$2,0),MATCH($W$2,$AH$22:$AH$47,0)))*C13</f>
        <v>0</v>
      </c>
      <c r="AR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13,$BB$2:$CA$2,0),MATCH($W$2,$AH$22:$AH$47,0)))*C13</f>
        <v>0</v>
      </c>
      <c r="AS14" s="19"/>
      <c r="AT14" s="19"/>
      <c r="AU14" s="19"/>
      <c r="AV14" s="19"/>
      <c r="AW14" s="19"/>
      <c r="AX14" s="19"/>
      <c r="AY14" s="19"/>
      <c r="AZ14" s="19"/>
      <c r="BA14" s="26" t="s">
        <v>239</v>
      </c>
      <c r="BB14" s="19">
        <v>0</v>
      </c>
      <c r="BC14" s="19">
        <v>0</v>
      </c>
      <c r="BD14" s="19">
        <v>0</v>
      </c>
      <c r="BE14" s="19">
        <v>0</v>
      </c>
      <c r="BF14" s="19">
        <v>4</v>
      </c>
      <c r="BG14" s="19">
        <v>4</v>
      </c>
      <c r="BH14" s="19">
        <v>4</v>
      </c>
      <c r="BI14" s="19">
        <v>8</v>
      </c>
      <c r="BJ14" s="19">
        <v>8</v>
      </c>
      <c r="BK14" s="19">
        <v>8</v>
      </c>
      <c r="BL14" s="19">
        <v>12</v>
      </c>
      <c r="BM14" s="19">
        <v>12</v>
      </c>
      <c r="BN14" s="19">
        <v>12</v>
      </c>
      <c r="BO14" s="19">
        <v>16</v>
      </c>
      <c r="BP14" s="19">
        <v>16</v>
      </c>
      <c r="BQ14" s="19">
        <v>16</v>
      </c>
      <c r="BR14" s="19">
        <v>16</v>
      </c>
      <c r="BS14" s="19">
        <v>20</v>
      </c>
      <c r="BT14" s="19">
        <v>20</v>
      </c>
      <c r="BU14" s="19">
        <v>20</v>
      </c>
      <c r="BV14" s="19">
        <v>24</v>
      </c>
      <c r="BW14" s="19">
        <v>24</v>
      </c>
      <c r="BX14" s="19">
        <v>24</v>
      </c>
      <c r="BY14" s="19">
        <v>28</v>
      </c>
      <c r="BZ14" s="19">
        <v>28</v>
      </c>
      <c r="CA14" s="19">
        <v>28</v>
      </c>
      <c r="CB14" s="19">
        <v>32</v>
      </c>
      <c r="CC14" s="19">
        <v>32</v>
      </c>
      <c r="CD14" s="19">
        <v>32</v>
      </c>
      <c r="CE14" s="19">
        <v>32</v>
      </c>
      <c r="CF14" s="19">
        <v>36</v>
      </c>
      <c r="CG14" s="19">
        <v>36</v>
      </c>
      <c r="CH14" s="19">
        <v>36</v>
      </c>
      <c r="CI14" s="19">
        <v>40</v>
      </c>
      <c r="CJ14" s="19">
        <v>40</v>
      </c>
      <c r="CK14" s="19">
        <v>40</v>
      </c>
      <c r="CL14" s="19">
        <v>44</v>
      </c>
      <c r="CM14" s="19">
        <v>44</v>
      </c>
      <c r="CN14" s="19">
        <v>44</v>
      </c>
      <c r="CO14" s="19">
        <v>48</v>
      </c>
      <c r="CP14" s="19">
        <v>48</v>
      </c>
      <c r="CQ14" s="19">
        <v>48</v>
      </c>
      <c r="CR14" s="19">
        <v>52</v>
      </c>
      <c r="CS14" s="19">
        <v>52</v>
      </c>
      <c r="CT14" s="19">
        <v>52</v>
      </c>
      <c r="CU14" s="19">
        <v>52</v>
      </c>
      <c r="CV14" s="19">
        <v>56</v>
      </c>
      <c r="CW14" s="19">
        <v>56</v>
      </c>
      <c r="CX14" s="19">
        <v>56</v>
      </c>
      <c r="CY14" s="19">
        <v>60</v>
      </c>
      <c r="CZ14" s="19">
        <v>60</v>
      </c>
      <c r="DA14" s="17"/>
      <c r="DB14" s="17">
        <v>13</v>
      </c>
      <c r="DC14" s="17"/>
      <c r="DD14" s="19" t="s">
        <v>18</v>
      </c>
      <c r="DE14" s="19">
        <v>0</v>
      </c>
      <c r="DF14" s="19">
        <v>0</v>
      </c>
      <c r="DG14" s="19">
        <v>0</v>
      </c>
      <c r="DH14" s="19">
        <v>2</v>
      </c>
      <c r="DI14" s="19">
        <v>0</v>
      </c>
      <c r="DJ14" s="19">
        <v>2</v>
      </c>
      <c r="DK14" s="19">
        <v>4</v>
      </c>
      <c r="DL14" s="19">
        <v>2</v>
      </c>
      <c r="DM14" s="19">
        <v>4</v>
      </c>
      <c r="DN14" s="19">
        <v>6</v>
      </c>
      <c r="DO14" s="19">
        <v>4</v>
      </c>
      <c r="DP14" s="19">
        <v>6</v>
      </c>
      <c r="DQ14" s="19">
        <v>8</v>
      </c>
      <c r="DR14" s="19">
        <v>6</v>
      </c>
      <c r="DS14" s="19">
        <v>8</v>
      </c>
      <c r="DT14" s="19">
        <v>10</v>
      </c>
      <c r="DU14" s="19">
        <v>8</v>
      </c>
      <c r="DV14" s="19">
        <v>10</v>
      </c>
      <c r="DW14" s="19">
        <v>12</v>
      </c>
      <c r="DX14" s="19">
        <v>10</v>
      </c>
      <c r="DY14" s="19">
        <v>12</v>
      </c>
      <c r="DZ14" s="19"/>
      <c r="EA14" s="19"/>
      <c r="EB14" s="26" t="s">
        <v>239</v>
      </c>
      <c r="EC14" s="19">
        <v>0</v>
      </c>
      <c r="ED14" s="19">
        <v>0</v>
      </c>
      <c r="EE14" s="19">
        <v>8</v>
      </c>
      <c r="EF14" s="19">
        <v>4</v>
      </c>
      <c r="EG14" s="19">
        <v>8</v>
      </c>
      <c r="EH14" s="19">
        <v>8</v>
      </c>
      <c r="EI14" s="19">
        <v>12</v>
      </c>
      <c r="EJ14" s="19">
        <v>12</v>
      </c>
      <c r="EK14" s="19">
        <v>16</v>
      </c>
      <c r="EL14" s="19">
        <v>16</v>
      </c>
      <c r="EM14" s="19">
        <v>20</v>
      </c>
      <c r="EN14" s="19">
        <v>20</v>
      </c>
      <c r="EO14" s="19">
        <v>24</v>
      </c>
      <c r="EP14" s="19">
        <v>24</v>
      </c>
      <c r="EQ14" s="19">
        <v>28</v>
      </c>
      <c r="ER14" s="19">
        <v>28</v>
      </c>
      <c r="ES14" s="19">
        <v>32</v>
      </c>
      <c r="ET14" s="19">
        <v>32</v>
      </c>
      <c r="EU14" s="19">
        <v>36</v>
      </c>
      <c r="EV14" s="19">
        <v>36</v>
      </c>
      <c r="EW14" s="19">
        <v>40</v>
      </c>
      <c r="EX14" s="19">
        <v>40</v>
      </c>
      <c r="EY14" s="19">
        <v>44</v>
      </c>
      <c r="EZ14" s="19">
        <v>44</v>
      </c>
      <c r="FA14" s="19">
        <v>48</v>
      </c>
      <c r="FB14" s="19">
        <v>48</v>
      </c>
      <c r="FC14" s="19">
        <v>52</v>
      </c>
      <c r="FD14" s="19">
        <v>52</v>
      </c>
      <c r="FE14" s="19">
        <v>56</v>
      </c>
      <c r="FF14" s="19">
        <v>56</v>
      </c>
      <c r="FG14" s="19">
        <v>60</v>
      </c>
      <c r="FH14" s="19">
        <v>60</v>
      </c>
      <c r="FI14" s="19">
        <v>64</v>
      </c>
      <c r="FJ14" s="19">
        <v>64</v>
      </c>
      <c r="FK14" s="19">
        <v>68</v>
      </c>
      <c r="FL14" s="19">
        <v>68</v>
      </c>
      <c r="FM14" s="19">
        <v>72</v>
      </c>
      <c r="FN14" s="19">
        <v>72</v>
      </c>
      <c r="FO14" s="19">
        <v>76</v>
      </c>
      <c r="FP14" s="19">
        <v>76</v>
      </c>
      <c r="FQ14" s="19">
        <v>80</v>
      </c>
      <c r="FR14" s="19">
        <v>80</v>
      </c>
      <c r="FS14" s="19">
        <v>84</v>
      </c>
      <c r="FT14" s="19">
        <v>84</v>
      </c>
      <c r="FU14" s="19">
        <v>88</v>
      </c>
      <c r="FV14" s="19">
        <v>88</v>
      </c>
      <c r="FW14" s="19">
        <v>92</v>
      </c>
      <c r="FX14" s="19">
        <v>92</v>
      </c>
      <c r="FY14" s="19">
        <v>96</v>
      </c>
      <c r="FZ14" s="19">
        <v>96</v>
      </c>
      <c r="GA14" s="19">
        <v>100</v>
      </c>
      <c r="GC14" s="19"/>
      <c r="GD14" s="19"/>
      <c r="GE14" s="26" t="s">
        <v>239</v>
      </c>
      <c r="GF14" s="19">
        <v>0</v>
      </c>
      <c r="GG14" s="19">
        <v>0</v>
      </c>
      <c r="GH14" s="19">
        <v>4</v>
      </c>
      <c r="GI14" s="19">
        <v>4</v>
      </c>
      <c r="GJ14" s="19">
        <v>8</v>
      </c>
      <c r="GK14" s="19">
        <v>8</v>
      </c>
      <c r="GL14" s="19">
        <v>12</v>
      </c>
      <c r="GM14" s="19">
        <v>16</v>
      </c>
      <c r="GN14" s="19">
        <v>16</v>
      </c>
      <c r="GO14" s="19">
        <v>20</v>
      </c>
      <c r="GP14" s="19">
        <v>20</v>
      </c>
      <c r="GQ14" s="19">
        <v>24</v>
      </c>
      <c r="GR14" s="19">
        <v>24</v>
      </c>
      <c r="GS14" s="19">
        <v>28</v>
      </c>
      <c r="GT14" s="19">
        <v>32</v>
      </c>
      <c r="GU14" s="19">
        <v>32</v>
      </c>
      <c r="GV14" s="19">
        <v>36</v>
      </c>
      <c r="GW14" s="19">
        <v>36</v>
      </c>
      <c r="GX14" s="19">
        <v>40</v>
      </c>
      <c r="GY14" s="19">
        <v>44</v>
      </c>
      <c r="GZ14" s="19">
        <v>44</v>
      </c>
      <c r="HA14" s="19">
        <v>48</v>
      </c>
      <c r="HB14" s="19">
        <v>48</v>
      </c>
      <c r="HC14" s="19">
        <v>52</v>
      </c>
      <c r="HD14" s="19">
        <v>52</v>
      </c>
      <c r="HE14" s="19">
        <v>56</v>
      </c>
      <c r="HF14" s="19">
        <v>60</v>
      </c>
      <c r="HG14" s="19">
        <v>60</v>
      </c>
      <c r="HH14" s="19">
        <v>64</v>
      </c>
      <c r="HI14" s="19">
        <v>64</v>
      </c>
      <c r="HJ14" s="19">
        <v>68</v>
      </c>
      <c r="HK14" s="19">
        <v>72</v>
      </c>
      <c r="HL14" s="19">
        <v>72</v>
      </c>
      <c r="HM14" s="19">
        <v>76</v>
      </c>
      <c r="HN14" s="19">
        <v>76</v>
      </c>
      <c r="HO14" s="19">
        <v>80</v>
      </c>
      <c r="HP14" s="19">
        <v>80</v>
      </c>
      <c r="HQ14" s="19">
        <v>84</v>
      </c>
      <c r="HR14" s="19">
        <v>88</v>
      </c>
      <c r="HS14" s="19">
        <v>88</v>
      </c>
      <c r="HT14" s="19">
        <v>92</v>
      </c>
      <c r="HU14" s="19">
        <v>92</v>
      </c>
      <c r="HV14" s="19">
        <v>96</v>
      </c>
      <c r="HW14" s="19">
        <v>100</v>
      </c>
      <c r="HX14" s="19">
        <v>100</v>
      </c>
      <c r="HY14" s="19">
        <v>104</v>
      </c>
      <c r="HZ14" s="19">
        <v>104</v>
      </c>
      <c r="IA14" s="19">
        <v>108</v>
      </c>
      <c r="IB14" s="19">
        <v>108</v>
      </c>
      <c r="IC14" s="19">
        <v>112</v>
      </c>
      <c r="ID14" s="19">
        <v>116</v>
      </c>
      <c r="IF14" s="20" t="s">
        <v>239</v>
      </c>
      <c r="IG14" s="20">
        <v>0</v>
      </c>
      <c r="IH14" s="20">
        <v>0</v>
      </c>
      <c r="II14" s="20">
        <v>4</v>
      </c>
      <c r="IJ14" s="20">
        <v>8</v>
      </c>
      <c r="IK14" s="20">
        <v>8</v>
      </c>
      <c r="IL14" s="20">
        <v>12</v>
      </c>
      <c r="IM14" s="20">
        <v>16</v>
      </c>
      <c r="IN14" s="20">
        <v>20</v>
      </c>
      <c r="IO14" s="20">
        <v>20</v>
      </c>
      <c r="IP14" s="20">
        <v>24</v>
      </c>
      <c r="IQ14" s="20">
        <v>28</v>
      </c>
      <c r="IR14" s="20">
        <v>28</v>
      </c>
      <c r="IS14" s="20">
        <v>32</v>
      </c>
      <c r="IT14" s="20">
        <v>36</v>
      </c>
      <c r="IU14" s="20">
        <v>40</v>
      </c>
      <c r="IV14" s="20">
        <v>40</v>
      </c>
      <c r="IW14" s="20">
        <v>44</v>
      </c>
      <c r="IX14" s="20">
        <v>48</v>
      </c>
      <c r="IY14" s="20">
        <v>48</v>
      </c>
      <c r="IZ14" s="20">
        <v>52</v>
      </c>
      <c r="JA14" s="20">
        <v>56</v>
      </c>
      <c r="JB14" s="20">
        <v>60</v>
      </c>
      <c r="JC14" s="20">
        <v>60</v>
      </c>
      <c r="JD14" s="20">
        <v>64</v>
      </c>
      <c r="JE14" s="20">
        <v>68</v>
      </c>
      <c r="JF14" s="20">
        <v>68</v>
      </c>
    </row>
    <row r="15" spans="1:266" x14ac:dyDescent="0.25">
      <c r="A15" s="8"/>
      <c r="B15" s="5" t="s">
        <v>61</v>
      </c>
      <c r="C15" s="8"/>
      <c r="D15" s="4"/>
      <c r="E15" s="4"/>
      <c r="F15" s="4"/>
      <c r="G15" s="4"/>
      <c r="H15" s="4"/>
      <c r="I15" s="4"/>
      <c r="J15" s="4"/>
      <c r="K15" s="4"/>
      <c r="L15" s="6" t="str">
        <f>IF(E6=$AC$1,INDEX(($AP$28:$AP$37,$AP$42:$AP$51,$AP$56:$AP$65),MATCH(I3,$AM$28:$AM$37,0),1,MATCH(E10,$AK$22:$AK$24,0)),IF(E6=$AC$2,INDEX(($AV$28:$AV$37,$AV$42:$AV$51,$AV$56:$AV$65),MATCH(I3,$AS$28:$AS$37,0),1,MATCH(E10,$AK$22:$AK$24,0)),0))</f>
        <v>SAM8X25E</v>
      </c>
      <c r="M15" s="14">
        <f>INDEX(cenník!$A$2:$I$568,MATCH($L15,cenník!$B$2:$B$557,0),MATCH(M$2,cenník!$A$1:$I$1,0))</f>
        <v>898525</v>
      </c>
      <c r="N15" s="14" t="str">
        <f>INDEX(cenník!$A$2:$I$568,MATCH($L15,cenník!$B$2:$B$557,0),MATCH(N$2,cenník!$A$1:$I$1,0))</f>
        <v>ks</v>
      </c>
      <c r="O15" s="14">
        <f>IF(AE17="suma",SUM(O13:O14),IF(AE17="len buff",O13,IF(AE17=0,0,0)))</f>
        <v>0</v>
      </c>
      <c r="P15" s="21">
        <f>INDEX(cenník!$A$2:$I$568,MATCH($L15,cenník!$B$2:$B$557,0),MATCH(P$2,cenník!$A$1:$I$1,0))</f>
        <v>0.16</v>
      </c>
      <c r="Q15" s="21">
        <f t="shared" si="0"/>
        <v>0</v>
      </c>
      <c r="R15" s="22">
        <f t="shared" si="1"/>
        <v>0</v>
      </c>
      <c r="S15" s="21">
        <f t="shared" si="2"/>
        <v>0.16</v>
      </c>
      <c r="T15" s="21">
        <f t="shared" si="3"/>
        <v>0</v>
      </c>
      <c r="U15" s="21">
        <f>INDEX(cenník!$A$2:$I$568,MATCH($L15,cenník!$B$2:$B$557,0),MATCH(U$2,cenník!$A$1:$I$1,0))*O15</f>
        <v>0</v>
      </c>
      <c r="V15" s="19"/>
      <c r="W15" s="19"/>
      <c r="X15" s="25">
        <f t="shared" si="4"/>
        <v>0</v>
      </c>
      <c r="Y15" s="19" t="s">
        <v>81</v>
      </c>
      <c r="Z15" s="19"/>
      <c r="AA15" s="19">
        <f>(IF(A2=0,0,IF(A2&gt;0,IF((((INT(((((A2*(IF($E$3=$AH$30,1650,IF($E$3=$AH$31,1700,IF($E$3=$AH$32,1750,IF($E$3=$AH$37,2000,IF($E$3=$AH$38,2050,IF($E$3=$AH$39,2100))))+((A2-1)*20)+80))/$E$4)))))))-1)*$E$4)+500&gt;=((A2*IF($E$3=$AH$30,1650,IF($E$3=$AH$31,1700,IF($E$3=$AH$32,1750,IF($E$3=$AH$37,2000,IF($E$3=$AH$38,2050,IF($E$3=$AH$39,2100)))))))+((A2-1)*20)+80),(INT(((((A2*(IF($E$3=$AH$30,1650,IF($E$3=$AH$31,1700,IF($E$3=$AH$32,1750,IF($E$3=$AH$37,2000,IF($E$3=$AH$38,2050,IF($E$3=$AH$39,2100))))+((A2-1)*20)+80))/$E$4)))))))*2,((INT(((((A2*(IF($E$3=$AH$30,1650,IF($E$3=$AH$31,1700,IF($E$3=$AH$32,1750,IF($E$3=$AH$37,2000,IF($E$3=$AH$38,2050,IF($E$3=$AH$39,2100))))+((A2-1)*20)+80))/$E$4)))))))+1)*2))))</f>
        <v>0</v>
      </c>
      <c r="AB15" s="26"/>
      <c r="AC15" s="19" t="s">
        <v>12</v>
      </c>
      <c r="AD15" s="19" t="s">
        <v>47</v>
      </c>
      <c r="AE15" s="19"/>
      <c r="AF15" s="19"/>
      <c r="AG15" s="19"/>
      <c r="AH15" s="19" t="s">
        <v>6</v>
      </c>
      <c r="AI15" s="19" t="s">
        <v>48</v>
      </c>
      <c r="AJ15" s="19"/>
      <c r="AK15" s="19"/>
      <c r="AL15" s="19"/>
      <c r="AM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14,$BB$2:$CA$2,0),MATCH($W$2,$AH$22:$AH$47,0)))*C14</f>
        <v>0</v>
      </c>
      <c r="AN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14,$BB$2:$CA$2,0),MATCH($W$2,$AH$22:$AH$47,0)))*C14</f>
        <v>0</v>
      </c>
      <c r="AO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14,$BB$2:$CA$2,0),MATCH($W$2,$AH$22:$AH$47,0)))*C14</f>
        <v>0</v>
      </c>
      <c r="AP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14,$BB$2:$CA$2,0),MATCH($W$2,$AH$22:$AH$47,0)))*C14</f>
        <v>0</v>
      </c>
      <c r="AQ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14,$BB$2:$CA$2,0),MATCH($W$2,$AH$22:$AH$47,0)))*C14</f>
        <v>0</v>
      </c>
      <c r="AR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14,$BB$2:$CA$2,0),MATCH($W$2,$AH$22:$AH$47,0)))*C14</f>
        <v>0</v>
      </c>
      <c r="AS15" s="19"/>
      <c r="AT15" s="19" t="s">
        <v>92</v>
      </c>
      <c r="AU15" s="19"/>
      <c r="AV15" s="19"/>
      <c r="AW15" s="19"/>
      <c r="AX15" s="19"/>
      <c r="AY15" s="19"/>
      <c r="AZ15" s="19"/>
      <c r="BA15" s="26" t="s">
        <v>326</v>
      </c>
      <c r="BB15" s="19">
        <v>0</v>
      </c>
      <c r="BC15" s="19">
        <v>2</v>
      </c>
      <c r="BD15" s="19">
        <v>2</v>
      </c>
      <c r="BE15" s="19">
        <v>0</v>
      </c>
      <c r="BF15" s="19">
        <v>4</v>
      </c>
      <c r="BG15" s="19">
        <v>2</v>
      </c>
      <c r="BH15" s="19">
        <v>0</v>
      </c>
      <c r="BI15" s="19">
        <v>4</v>
      </c>
      <c r="BJ15" s="19">
        <v>2</v>
      </c>
      <c r="BK15" s="19">
        <v>0</v>
      </c>
      <c r="BL15" s="19">
        <v>4</v>
      </c>
      <c r="BM15" s="19">
        <v>2</v>
      </c>
      <c r="BN15" s="19">
        <v>0</v>
      </c>
      <c r="BO15" s="19">
        <v>4</v>
      </c>
      <c r="BP15" s="19">
        <v>2</v>
      </c>
      <c r="BQ15" s="19">
        <v>2</v>
      </c>
      <c r="BR15" s="19">
        <v>0</v>
      </c>
      <c r="BS15" s="19">
        <v>4</v>
      </c>
      <c r="BT15" s="19">
        <v>2</v>
      </c>
      <c r="BU15" s="19">
        <f>2*BQ15</f>
        <v>4</v>
      </c>
      <c r="BV15" s="19">
        <v>4</v>
      </c>
      <c r="BW15" s="19">
        <v>2</v>
      </c>
      <c r="BX15" s="19">
        <v>0</v>
      </c>
      <c r="BY15" s="19">
        <v>4</v>
      </c>
      <c r="BZ15" s="19">
        <v>2</v>
      </c>
      <c r="CA15" s="19">
        <v>0</v>
      </c>
      <c r="CB15" s="19">
        <v>4</v>
      </c>
      <c r="CC15" s="19">
        <v>2</v>
      </c>
      <c r="CD15" s="19">
        <v>0</v>
      </c>
      <c r="CE15" s="19">
        <v>0</v>
      </c>
      <c r="CF15" s="19">
        <v>4</v>
      </c>
      <c r="CG15" s="19">
        <v>2</v>
      </c>
      <c r="CH15" s="19">
        <v>0</v>
      </c>
      <c r="CI15" s="19">
        <v>4</v>
      </c>
      <c r="CJ15" s="19">
        <v>2</v>
      </c>
      <c r="CK15" s="19">
        <v>0</v>
      </c>
      <c r="CL15" s="19">
        <v>4</v>
      </c>
      <c r="CM15" s="19">
        <v>2</v>
      </c>
      <c r="CN15" s="19">
        <v>0</v>
      </c>
      <c r="CO15" s="19">
        <v>4</v>
      </c>
      <c r="CP15" s="19">
        <v>2</v>
      </c>
      <c r="CQ15" s="19">
        <v>0</v>
      </c>
      <c r="CR15" s="19">
        <v>0</v>
      </c>
      <c r="CS15" s="19">
        <v>4</v>
      </c>
      <c r="CT15" s="19">
        <v>2</v>
      </c>
      <c r="CU15" s="19">
        <v>0</v>
      </c>
      <c r="CV15" s="19">
        <v>4</v>
      </c>
      <c r="CW15" s="19">
        <v>2</v>
      </c>
      <c r="CX15" s="19">
        <v>0</v>
      </c>
      <c r="CY15" s="19">
        <v>4</v>
      </c>
      <c r="CZ15" s="19">
        <v>2</v>
      </c>
      <c r="DA15" s="17"/>
      <c r="DB15" s="17">
        <v>14</v>
      </c>
      <c r="DC15" s="17"/>
      <c r="DD15" s="19" t="s">
        <v>179</v>
      </c>
      <c r="DE15" s="19">
        <v>0</v>
      </c>
      <c r="DF15" s="19">
        <v>0</v>
      </c>
      <c r="DG15" s="19">
        <v>0</v>
      </c>
      <c r="DH15" s="19">
        <v>0</v>
      </c>
      <c r="DI15" s="19">
        <v>4</v>
      </c>
      <c r="DJ15" s="19">
        <v>4</v>
      </c>
      <c r="DK15" s="19">
        <v>4</v>
      </c>
      <c r="DL15" s="19">
        <v>8</v>
      </c>
      <c r="DM15" s="19">
        <v>8</v>
      </c>
      <c r="DN15" s="19">
        <v>8</v>
      </c>
      <c r="DO15" s="19">
        <v>12</v>
      </c>
      <c r="DP15" s="19">
        <v>12</v>
      </c>
      <c r="DQ15" s="19">
        <v>12</v>
      </c>
      <c r="DR15" s="19">
        <v>16</v>
      </c>
      <c r="DS15" s="19">
        <v>16</v>
      </c>
      <c r="DT15" s="19">
        <v>16</v>
      </c>
      <c r="DU15" s="19">
        <v>20</v>
      </c>
      <c r="DV15" s="19">
        <v>20</v>
      </c>
      <c r="DW15" s="19">
        <v>20</v>
      </c>
      <c r="DX15" s="19">
        <v>24</v>
      </c>
      <c r="DY15" s="19">
        <v>24</v>
      </c>
      <c r="DZ15" s="19"/>
      <c r="EA15" s="19"/>
      <c r="EB15" s="26" t="s">
        <v>326</v>
      </c>
      <c r="EC15" s="19">
        <v>0</v>
      </c>
      <c r="ED15" s="19">
        <v>0</v>
      </c>
      <c r="EE15" s="19">
        <v>2</v>
      </c>
      <c r="EF15" s="19">
        <v>4</v>
      </c>
      <c r="EG15" s="19">
        <v>2</v>
      </c>
      <c r="EH15" s="19">
        <v>4</v>
      </c>
      <c r="EI15" s="19">
        <v>2</v>
      </c>
      <c r="EJ15" s="19">
        <v>4</v>
      </c>
      <c r="EK15" s="19">
        <v>2</v>
      </c>
      <c r="EL15" s="19">
        <v>4</v>
      </c>
      <c r="EM15" s="19">
        <v>2</v>
      </c>
      <c r="EN15" s="19">
        <v>4</v>
      </c>
      <c r="EO15" s="19">
        <v>2</v>
      </c>
      <c r="EP15" s="19">
        <v>4</v>
      </c>
      <c r="EQ15" s="19">
        <v>2</v>
      </c>
      <c r="ER15" s="19">
        <v>4</v>
      </c>
      <c r="ES15" s="19">
        <v>2</v>
      </c>
      <c r="ET15" s="19">
        <v>4</v>
      </c>
      <c r="EU15" s="19">
        <v>2</v>
      </c>
      <c r="EV15" s="19">
        <v>4</v>
      </c>
      <c r="EW15" s="19">
        <v>2</v>
      </c>
      <c r="EX15" s="19">
        <v>4</v>
      </c>
      <c r="EY15" s="19">
        <v>2</v>
      </c>
      <c r="EZ15" s="19">
        <v>4</v>
      </c>
      <c r="FA15" s="19">
        <v>2</v>
      </c>
      <c r="FB15" s="19">
        <v>4</v>
      </c>
      <c r="FC15" s="19">
        <v>0</v>
      </c>
      <c r="FD15" s="19"/>
      <c r="FE15" s="19"/>
      <c r="FF15" s="19"/>
      <c r="FG15" s="19"/>
      <c r="FH15" s="19"/>
      <c r="FI15" s="19"/>
      <c r="FJ15" s="19"/>
      <c r="FK15" s="19"/>
      <c r="FL15" s="19"/>
      <c r="FM15" s="19"/>
      <c r="FN15" s="19"/>
      <c r="FO15" s="19"/>
      <c r="FP15" s="19"/>
      <c r="FQ15" s="19"/>
      <c r="FR15" s="19"/>
      <c r="FS15" s="19"/>
      <c r="FT15" s="19"/>
      <c r="FU15" s="19"/>
      <c r="FV15" s="19"/>
      <c r="FW15" s="19"/>
      <c r="FX15" s="19"/>
      <c r="FY15" s="19"/>
      <c r="FZ15" s="19"/>
      <c r="GA15" s="19"/>
      <c r="GC15" s="19"/>
      <c r="GD15" s="19"/>
      <c r="GE15" s="26" t="s">
        <v>326</v>
      </c>
      <c r="GF15" s="19">
        <v>0</v>
      </c>
      <c r="GG15" s="19">
        <v>2</v>
      </c>
      <c r="GH15" s="19">
        <v>4</v>
      </c>
      <c r="GI15" s="19">
        <v>0</v>
      </c>
      <c r="GJ15" s="19">
        <v>2</v>
      </c>
      <c r="GK15" s="19">
        <v>0</v>
      </c>
      <c r="GL15" s="19">
        <v>2</v>
      </c>
      <c r="GM15" s="19">
        <v>4</v>
      </c>
      <c r="GN15" s="19">
        <v>0</v>
      </c>
      <c r="GO15" s="19">
        <v>4</v>
      </c>
      <c r="GP15" s="19">
        <v>0</v>
      </c>
      <c r="GQ15" s="19">
        <v>2</v>
      </c>
      <c r="GR15" s="19">
        <v>0</v>
      </c>
      <c r="GS15" s="19">
        <v>2</v>
      </c>
      <c r="GT15" s="19">
        <v>4</v>
      </c>
      <c r="GU15" s="19">
        <v>0</v>
      </c>
      <c r="GV15" s="19">
        <v>4</v>
      </c>
      <c r="GW15" s="19">
        <v>0</v>
      </c>
      <c r="GX15" s="19">
        <v>2</v>
      </c>
      <c r="GY15" s="19">
        <v>4</v>
      </c>
      <c r="GZ15" s="19">
        <v>2</v>
      </c>
      <c r="HA15" s="19">
        <v>4</v>
      </c>
      <c r="HB15" s="19">
        <v>0</v>
      </c>
      <c r="HC15" s="19">
        <v>2</v>
      </c>
      <c r="HD15" s="19">
        <v>0</v>
      </c>
      <c r="HE15" s="19">
        <v>2</v>
      </c>
      <c r="HF15" s="19"/>
      <c r="HG15" s="19"/>
      <c r="HH15" s="19"/>
      <c r="HI15" s="19"/>
      <c r="HJ15" s="19"/>
      <c r="HK15" s="19"/>
      <c r="HL15" s="19"/>
      <c r="HM15" s="19"/>
      <c r="HN15" s="19"/>
      <c r="HO15" s="19"/>
      <c r="HP15" s="19"/>
      <c r="HQ15" s="19"/>
      <c r="HR15" s="19"/>
      <c r="HS15" s="19"/>
      <c r="HT15" s="19"/>
      <c r="HU15" s="19"/>
      <c r="HV15" s="19"/>
      <c r="HW15" s="19"/>
      <c r="HX15" s="19"/>
      <c r="HY15" s="19"/>
      <c r="HZ15" s="19"/>
      <c r="IA15" s="19"/>
      <c r="IB15" s="19"/>
      <c r="IC15" s="19"/>
      <c r="ID15" s="19"/>
      <c r="IF15" s="20" t="s">
        <v>326</v>
      </c>
      <c r="IG15" s="20">
        <v>0</v>
      </c>
      <c r="IH15" s="20">
        <v>0</v>
      </c>
      <c r="II15" s="20">
        <v>2</v>
      </c>
      <c r="IJ15" s="20">
        <v>4</v>
      </c>
      <c r="IK15" s="20">
        <v>0</v>
      </c>
      <c r="IL15" s="20">
        <v>2</v>
      </c>
      <c r="IM15" s="20">
        <v>4</v>
      </c>
      <c r="IN15" s="20">
        <v>4</v>
      </c>
      <c r="IO15" s="20">
        <v>0</v>
      </c>
      <c r="IP15" s="20">
        <v>2</v>
      </c>
      <c r="IQ15" s="20">
        <v>4</v>
      </c>
      <c r="IR15" s="20">
        <v>0</v>
      </c>
      <c r="IS15" s="20">
        <v>2</v>
      </c>
      <c r="IT15" s="20">
        <v>2</v>
      </c>
      <c r="IU15" s="20">
        <v>4</v>
      </c>
      <c r="IV15" s="20">
        <v>0</v>
      </c>
      <c r="IW15" s="20">
        <v>2</v>
      </c>
      <c r="IX15" s="20">
        <v>4</v>
      </c>
      <c r="IY15" s="20">
        <v>0</v>
      </c>
      <c r="IZ15" s="20">
        <v>2</v>
      </c>
      <c r="JA15" s="20">
        <v>2</v>
      </c>
      <c r="JB15" s="20">
        <v>4</v>
      </c>
      <c r="JC15" s="20">
        <v>0</v>
      </c>
      <c r="JD15" s="20">
        <v>2</v>
      </c>
      <c r="JE15" s="20">
        <v>4</v>
      </c>
      <c r="JF15" s="20">
        <v>0</v>
      </c>
    </row>
    <row r="16" spans="1:266" x14ac:dyDescent="0.25">
      <c r="A16" s="8"/>
      <c r="B16" s="5" t="s">
        <v>61</v>
      </c>
      <c r="C16" s="8"/>
      <c r="D16" s="4"/>
      <c r="E16" s="4"/>
      <c r="F16" s="4"/>
      <c r="G16" s="4"/>
      <c r="H16" s="4"/>
      <c r="I16" s="4"/>
      <c r="J16" s="4"/>
      <c r="K16" s="4"/>
      <c r="L16" s="6" t="str">
        <f>IF(E6=$AC$1,INDEX(($AQ$28:$AQ$37,$AQ$42:$AQ$51,$AQ$56:$AQ$65),MATCH(I3,$AM$28:$AM$37,0),1,MATCH(E10,$AK$22:$AK$24,0)),IF(E6=$AC$2,INDEX(($AW$28:$AW$37,$AW$42:$AW$51,$AW$56:$AW$65),MATCH(I3,$AS$28:$AS$37,0),1,MATCH(E10,$AK$22:$AK$24,0)),0))</f>
        <v>NKWSM8A</v>
      </c>
      <c r="M16" s="14">
        <f>INDEX(cenník!$A$2:$I$568,MATCH($L16,cenník!$B$2:$B$557,0),MATCH(M$2,cenník!$A$1:$I$1,0))</f>
        <v>600909</v>
      </c>
      <c r="N16" s="14" t="str">
        <f>INDEX(cenník!$A$2:$I$568,MATCH($L16,cenník!$B$2:$B$557,0),MATCH(N$2,cenník!$A$1:$I$1,0))</f>
        <v>ks</v>
      </c>
      <c r="O16" s="14">
        <f>O15</f>
        <v>0</v>
      </c>
      <c r="P16" s="21">
        <f>INDEX(cenník!$A$2:$I$568,MATCH($L16,cenník!$B$2:$B$557,0),MATCH(P$2,cenník!$A$1:$I$1,0))</f>
        <v>0.21</v>
      </c>
      <c r="Q16" s="21">
        <f t="shared" si="0"/>
        <v>0</v>
      </c>
      <c r="R16" s="22">
        <f t="shared" si="1"/>
        <v>0</v>
      </c>
      <c r="S16" s="21">
        <f t="shared" si="2"/>
        <v>0.21</v>
      </c>
      <c r="T16" s="21">
        <f t="shared" si="3"/>
        <v>0</v>
      </c>
      <c r="U16" s="21">
        <f>INDEX(cenník!$A$2:$I$568,MATCH($L16,cenník!$B$2:$B$557,0),MATCH(U$2,cenník!$A$1:$I$1,0))*O16</f>
        <v>0</v>
      </c>
      <c r="V16" s="19"/>
      <c r="W16" s="19"/>
      <c r="X16" s="25">
        <f t="shared" si="4"/>
        <v>0</v>
      </c>
      <c r="Y16" s="19"/>
      <c r="Z16" s="19"/>
      <c r="AA16" s="19"/>
      <c r="AB16" s="19"/>
      <c r="AC16" s="121"/>
      <c r="AD16" s="19"/>
      <c r="AE16" s="123"/>
      <c r="AF16" s="19"/>
      <c r="AG16" s="19"/>
      <c r="AH16" s="19"/>
      <c r="AI16" s="19"/>
      <c r="AJ16" s="19"/>
      <c r="AK16" s="19"/>
      <c r="AL16" s="19"/>
      <c r="AM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15,$BB$2:$CA$2,0),MATCH($W$2,$AH$22:$AH$47,0)))*C15</f>
        <v>0</v>
      </c>
      <c r="AN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15,$BB$2:$CA$2,0),MATCH($W$2,$AH$22:$AH$47,0)))*C15</f>
        <v>0</v>
      </c>
      <c r="AO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15,$BB$2:$CA$2,0),MATCH($W$2,$AH$22:$AH$47,0)))*C15</f>
        <v>0</v>
      </c>
      <c r="AP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15,$BB$2:$CA$2,0),MATCH($W$2,$AH$22:$AH$47,0)))*C15</f>
        <v>0</v>
      </c>
      <c r="AQ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15,$BB$2:$CA$2,0),MATCH($W$2,$AH$22:$AH$47,0)))*C15</f>
        <v>0</v>
      </c>
      <c r="AR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15,$BB$2:$CA$2,0),MATCH($W$2,$AH$22:$AH$47,0)))*C15</f>
        <v>0</v>
      </c>
      <c r="AS16" s="19"/>
      <c r="AT16" s="26" t="s">
        <v>85</v>
      </c>
      <c r="AU16" s="26" t="s">
        <v>86</v>
      </c>
      <c r="AV16" s="19"/>
      <c r="AW16" s="19"/>
      <c r="AX16" s="19"/>
      <c r="AY16" s="19"/>
      <c r="AZ16" s="19"/>
      <c r="BA16" s="26" t="s">
        <v>327</v>
      </c>
      <c r="BB16" s="19">
        <v>0</v>
      </c>
      <c r="BC16" s="19">
        <v>0</v>
      </c>
      <c r="BD16" s="19">
        <v>0</v>
      </c>
      <c r="BE16" s="19">
        <v>2</v>
      </c>
      <c r="BF16" s="19">
        <v>0</v>
      </c>
      <c r="BG16" s="19">
        <v>2</v>
      </c>
      <c r="BH16" s="19">
        <v>4</v>
      </c>
      <c r="BI16" s="19">
        <v>2</v>
      </c>
      <c r="BJ16" s="19">
        <v>4</v>
      </c>
      <c r="BK16" s="19">
        <v>6</v>
      </c>
      <c r="BL16" s="19">
        <v>4</v>
      </c>
      <c r="BM16" s="19">
        <v>6</v>
      </c>
      <c r="BN16" s="19">
        <v>8</v>
      </c>
      <c r="BO16" s="19">
        <v>6</v>
      </c>
      <c r="BP16" s="19">
        <v>8</v>
      </c>
      <c r="BQ16" s="19">
        <v>8</v>
      </c>
      <c r="BR16" s="19">
        <v>10</v>
      </c>
      <c r="BS16" s="19">
        <v>8</v>
      </c>
      <c r="BT16" s="19">
        <v>10</v>
      </c>
      <c r="BU16" s="19">
        <f>2*BQ16</f>
        <v>16</v>
      </c>
      <c r="BV16" s="19">
        <v>10</v>
      </c>
      <c r="BW16" s="19">
        <v>12</v>
      </c>
      <c r="BX16" s="19">
        <v>14</v>
      </c>
      <c r="BY16" s="19">
        <v>12</v>
      </c>
      <c r="BZ16" s="19">
        <v>14</v>
      </c>
      <c r="CA16" s="19">
        <v>16</v>
      </c>
      <c r="CB16" s="19">
        <v>14</v>
      </c>
      <c r="CC16" s="19">
        <v>16</v>
      </c>
      <c r="CD16" s="19">
        <v>18</v>
      </c>
      <c r="CE16" s="19">
        <v>18</v>
      </c>
      <c r="CF16" s="19">
        <v>16</v>
      </c>
      <c r="CG16" s="19">
        <v>18</v>
      </c>
      <c r="CH16" s="19">
        <v>20</v>
      </c>
      <c r="CI16" s="19">
        <v>18</v>
      </c>
      <c r="CJ16" s="19">
        <v>20</v>
      </c>
      <c r="CK16" s="19">
        <v>22</v>
      </c>
      <c r="CL16" s="19">
        <v>20</v>
      </c>
      <c r="CM16" s="19">
        <v>22</v>
      </c>
      <c r="CN16" s="19">
        <v>24</v>
      </c>
      <c r="CO16" s="19">
        <v>22</v>
      </c>
      <c r="CP16" s="19">
        <v>24</v>
      </c>
      <c r="CQ16" s="19">
        <v>26</v>
      </c>
      <c r="CR16" s="19">
        <v>26</v>
      </c>
      <c r="CS16" s="19">
        <v>24</v>
      </c>
      <c r="CT16" s="19">
        <v>26</v>
      </c>
      <c r="CU16" s="19">
        <v>28</v>
      </c>
      <c r="CV16" s="19">
        <v>26</v>
      </c>
      <c r="CW16" s="19">
        <v>28</v>
      </c>
      <c r="CX16" s="19">
        <v>30</v>
      </c>
      <c r="CY16" s="19">
        <v>28</v>
      </c>
      <c r="CZ16" s="19">
        <v>30</v>
      </c>
      <c r="DA16" s="17"/>
      <c r="DB16" s="17">
        <v>15</v>
      </c>
      <c r="DC16" s="17"/>
      <c r="DD16" s="19" t="s">
        <v>236</v>
      </c>
      <c r="DE16" s="19">
        <v>0</v>
      </c>
      <c r="DF16" s="19">
        <v>2</v>
      </c>
      <c r="DG16" s="19">
        <v>2</v>
      </c>
      <c r="DH16" s="19">
        <v>0</v>
      </c>
      <c r="DI16" s="19">
        <v>4</v>
      </c>
      <c r="DJ16" s="19">
        <v>2</v>
      </c>
      <c r="DK16" s="19">
        <v>0</v>
      </c>
      <c r="DL16" s="19">
        <v>4</v>
      </c>
      <c r="DM16" s="19">
        <v>2</v>
      </c>
      <c r="DN16" s="19">
        <v>0</v>
      </c>
      <c r="DO16" s="19">
        <v>4</v>
      </c>
      <c r="DP16" s="19">
        <v>2</v>
      </c>
      <c r="DQ16" s="19">
        <v>0</v>
      </c>
      <c r="DR16" s="19">
        <v>4</v>
      </c>
      <c r="DS16" s="19">
        <v>2</v>
      </c>
      <c r="DT16" s="19">
        <v>0</v>
      </c>
      <c r="DU16" s="19">
        <v>4</v>
      </c>
      <c r="DV16" s="19">
        <v>2</v>
      </c>
      <c r="DW16" s="19">
        <v>0</v>
      </c>
      <c r="DX16" s="19">
        <v>4</v>
      </c>
      <c r="DY16" s="19">
        <v>2</v>
      </c>
      <c r="DZ16" s="19"/>
      <c r="EA16" s="19"/>
      <c r="EB16" s="26" t="s">
        <v>327</v>
      </c>
      <c r="EC16" s="19">
        <v>0</v>
      </c>
      <c r="ED16" s="19">
        <v>0</v>
      </c>
      <c r="EE16" s="19">
        <v>0</v>
      </c>
      <c r="EF16" s="19">
        <v>0</v>
      </c>
      <c r="EG16" s="19">
        <v>2</v>
      </c>
      <c r="EH16" s="19">
        <v>2</v>
      </c>
      <c r="EI16" s="19">
        <v>4</v>
      </c>
      <c r="EJ16" s="19">
        <v>4</v>
      </c>
      <c r="EK16" s="19">
        <v>6</v>
      </c>
      <c r="EL16" s="19">
        <v>6</v>
      </c>
      <c r="EM16" s="19">
        <v>8</v>
      </c>
      <c r="EN16" s="19">
        <v>8</v>
      </c>
      <c r="EO16" s="19">
        <v>10</v>
      </c>
      <c r="EP16" s="19">
        <v>10</v>
      </c>
      <c r="EQ16" s="19">
        <v>12</v>
      </c>
      <c r="ER16" s="19">
        <v>12</v>
      </c>
      <c r="ES16" s="19">
        <v>14</v>
      </c>
      <c r="ET16" s="19">
        <v>14</v>
      </c>
      <c r="EU16" s="19">
        <v>16</v>
      </c>
      <c r="EV16" s="19">
        <v>16</v>
      </c>
      <c r="EW16" s="19">
        <v>18</v>
      </c>
      <c r="EX16" s="19">
        <v>18</v>
      </c>
      <c r="EY16" s="19">
        <v>20</v>
      </c>
      <c r="EZ16" s="19">
        <v>20</v>
      </c>
      <c r="FA16" s="19">
        <v>22</v>
      </c>
      <c r="FB16" s="19">
        <v>22</v>
      </c>
      <c r="FC16" s="19">
        <v>26</v>
      </c>
      <c r="FD16" s="19"/>
      <c r="FE16" s="19"/>
      <c r="FF16" s="19"/>
      <c r="FG16" s="19"/>
      <c r="FH16" s="19"/>
      <c r="FI16" s="19"/>
      <c r="FJ16" s="19"/>
      <c r="FK16" s="19"/>
      <c r="FL16" s="19"/>
      <c r="FM16" s="19"/>
      <c r="FN16" s="19"/>
      <c r="FO16" s="19"/>
      <c r="FP16" s="19"/>
      <c r="FQ16" s="19"/>
      <c r="FR16" s="19"/>
      <c r="FS16" s="19"/>
      <c r="FT16" s="19"/>
      <c r="FU16" s="19"/>
      <c r="FV16" s="19"/>
      <c r="FW16" s="19"/>
      <c r="FX16" s="19"/>
      <c r="FY16" s="19"/>
      <c r="FZ16" s="19"/>
      <c r="GA16" s="19"/>
      <c r="GC16" s="19"/>
      <c r="GD16" s="19"/>
      <c r="GE16" s="26" t="s">
        <v>327</v>
      </c>
      <c r="GF16" s="19">
        <v>0</v>
      </c>
      <c r="GG16" s="19">
        <v>0</v>
      </c>
      <c r="GH16" s="19">
        <v>0</v>
      </c>
      <c r="GI16" s="19">
        <v>4</v>
      </c>
      <c r="GJ16" s="19">
        <v>4</v>
      </c>
      <c r="GK16" s="19">
        <v>6</v>
      </c>
      <c r="GL16" s="19">
        <v>6</v>
      </c>
      <c r="GM16" s="19">
        <v>6</v>
      </c>
      <c r="GN16" s="19">
        <v>10</v>
      </c>
      <c r="GO16" s="19">
        <v>8</v>
      </c>
      <c r="GP16" s="19">
        <v>12</v>
      </c>
      <c r="GQ16" s="19">
        <v>12</v>
      </c>
      <c r="GR16" s="19">
        <v>14</v>
      </c>
      <c r="GS16" s="19">
        <v>14</v>
      </c>
      <c r="GT16" s="19">
        <v>14</v>
      </c>
      <c r="GU16" s="19">
        <v>18</v>
      </c>
      <c r="GV16" s="19">
        <v>16</v>
      </c>
      <c r="GW16" s="19">
        <v>20</v>
      </c>
      <c r="GX16" s="19">
        <v>20</v>
      </c>
      <c r="GY16" s="19">
        <v>20</v>
      </c>
      <c r="GZ16" s="19">
        <v>22</v>
      </c>
      <c r="HA16" s="19">
        <v>22</v>
      </c>
      <c r="HB16" s="19">
        <v>26</v>
      </c>
      <c r="HC16" s="19">
        <v>26</v>
      </c>
      <c r="HD16" s="19">
        <v>28</v>
      </c>
      <c r="HE16" s="19">
        <v>28</v>
      </c>
      <c r="HF16" s="19"/>
      <c r="HG16" s="19"/>
      <c r="HH16" s="19"/>
      <c r="HI16" s="19"/>
      <c r="HJ16" s="19"/>
      <c r="HK16" s="19"/>
      <c r="HL16" s="19"/>
      <c r="HM16" s="19"/>
      <c r="HN16" s="19"/>
      <c r="HO16" s="19"/>
      <c r="HP16" s="19"/>
      <c r="HQ16" s="19"/>
      <c r="HR16" s="19"/>
      <c r="HS16" s="19"/>
      <c r="HT16" s="19"/>
      <c r="HU16" s="19"/>
      <c r="HV16" s="19"/>
      <c r="HW16" s="19"/>
      <c r="HX16" s="19"/>
      <c r="HY16" s="19"/>
      <c r="HZ16" s="19"/>
      <c r="IA16" s="19"/>
      <c r="IB16" s="19"/>
      <c r="IC16" s="19"/>
      <c r="ID16" s="19"/>
      <c r="IF16" s="20" t="s">
        <v>327</v>
      </c>
      <c r="IG16" s="20">
        <v>0</v>
      </c>
      <c r="IH16" s="20">
        <v>2</v>
      </c>
      <c r="II16" s="20">
        <v>2</v>
      </c>
      <c r="IJ16" s="20">
        <v>2</v>
      </c>
      <c r="IK16" s="20">
        <v>6</v>
      </c>
      <c r="IL16" s="20">
        <v>6</v>
      </c>
      <c r="IM16" s="20">
        <v>6</v>
      </c>
      <c r="IN16" s="20">
        <v>8</v>
      </c>
      <c r="IO16" s="20">
        <v>12</v>
      </c>
      <c r="IP16" s="20">
        <v>12</v>
      </c>
      <c r="IQ16" s="20">
        <v>12</v>
      </c>
      <c r="IR16" s="20">
        <v>16</v>
      </c>
      <c r="IS16" s="20">
        <v>16</v>
      </c>
      <c r="IT16" s="20">
        <v>18</v>
      </c>
      <c r="IU16" s="20">
        <v>18</v>
      </c>
      <c r="IV16" s="20">
        <v>22</v>
      </c>
      <c r="IW16" s="20">
        <v>22</v>
      </c>
      <c r="IX16" s="20">
        <v>22</v>
      </c>
      <c r="IY16" s="20">
        <v>26</v>
      </c>
      <c r="IZ16" s="20">
        <v>26</v>
      </c>
      <c r="JA16" s="20">
        <v>28</v>
      </c>
      <c r="JB16" s="20">
        <v>28</v>
      </c>
      <c r="JC16" s="20">
        <v>32</v>
      </c>
      <c r="JD16" s="20">
        <v>32</v>
      </c>
      <c r="JE16" s="20">
        <v>32</v>
      </c>
      <c r="JF16" s="20">
        <v>36</v>
      </c>
    </row>
    <row r="17" spans="1:266" x14ac:dyDescent="0.25">
      <c r="A17" s="8"/>
      <c r="B17" s="5" t="s">
        <v>61</v>
      </c>
      <c r="C17" s="8"/>
      <c r="D17" s="4"/>
      <c r="E17" s="4"/>
      <c r="F17" s="4"/>
      <c r="G17" s="4"/>
      <c r="H17" s="4"/>
      <c r="I17" s="4"/>
      <c r="J17" s="4"/>
      <c r="K17" s="4"/>
      <c r="L17" s="6" t="str">
        <f>IF(L14="PUFK","PUPK",IF(L14="PUFKL","PUPK","PUP"))</f>
        <v>PUPK</v>
      </c>
      <c r="M17" s="14">
        <f>INDEX(cenník!$A$2:$I$568,MATCH($L17,cenník!$B$2:$B$557,0),MATCH(M$2,cenník!$A$1:$I$1,0))</f>
        <v>897304</v>
      </c>
      <c r="N17" s="14" t="str">
        <f>INDEX(cenník!$A$2:$I$568,MATCH($L17,cenník!$B$2:$B$557,0),MATCH(N$2,cenník!$A$1:$I$1,0))</f>
        <v>ks</v>
      </c>
      <c r="O17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17" s="21">
        <f>INDEX(cenník!$A$2:$I$568,MATCH($L17,cenník!$B$2:$B$557,0),MATCH(P$2,cenník!$A$1:$I$1,0))</f>
        <v>0.83</v>
      </c>
      <c r="Q17" s="21">
        <f t="shared" si="0"/>
        <v>0</v>
      </c>
      <c r="R17" s="22">
        <f t="shared" si="1"/>
        <v>0</v>
      </c>
      <c r="S17" s="21">
        <f t="shared" si="2"/>
        <v>0.83</v>
      </c>
      <c r="T17" s="21">
        <f t="shared" si="3"/>
        <v>0</v>
      </c>
      <c r="U17" s="21">
        <f>INDEX(cenník!$A$2:$I$568,MATCH($L17,cenník!$B$2:$B$557,0),MATCH(U$2,cenník!$A$1:$I$1,0))*O17</f>
        <v>0</v>
      </c>
      <c r="V17" s="19"/>
      <c r="W17" s="19"/>
      <c r="X17" s="25">
        <f t="shared" si="4"/>
        <v>0</v>
      </c>
      <c r="Y17" s="19"/>
      <c r="Z17" s="19"/>
      <c r="AA17" s="19"/>
      <c r="AB17" s="19"/>
      <c r="AC17" s="121"/>
      <c r="AD17" s="19"/>
      <c r="AE17" s="19">
        <f>INDEX(($AH$53:$AI$62),MATCH(I3,$AG$53:$AG$62,0),MATCH(E6,$AH$52:$AI$52,0))</f>
        <v>0</v>
      </c>
      <c r="AF17" s="19"/>
      <c r="AG17" s="19"/>
      <c r="AH17" s="19"/>
      <c r="AI17" s="19"/>
      <c r="AJ17" s="19"/>
      <c r="AK17" s="19"/>
      <c r="AL17" s="19"/>
      <c r="AM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16,$BB$2:$CA$2,0),MATCH($W$2,$AH$22:$AH$47,0)))*C16</f>
        <v>0</v>
      </c>
      <c r="AN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16,$BB$2:$CA$2,0),MATCH($W$2,$AH$22:$AH$47,0)))*C16</f>
        <v>0</v>
      </c>
      <c r="AO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16,$BB$2:$CA$2,0),MATCH($W$2,$AH$22:$AH$47,0)))*C16</f>
        <v>0</v>
      </c>
      <c r="AP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16,$BB$2:$CA$2,0),MATCH($W$2,$AH$22:$AH$47,0)))*C16</f>
        <v>0</v>
      </c>
      <c r="AQ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16,$BB$2:$CA$2,0),MATCH($W$2,$AH$22:$AH$47,0)))*C16</f>
        <v>0</v>
      </c>
      <c r="AR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16,$BB$2:$CA$2,0),MATCH($W$2,$AH$22:$AH$47,0)))*C16</f>
        <v>0</v>
      </c>
      <c r="AS17" s="19"/>
      <c r="AT17" s="19">
        <v>50</v>
      </c>
      <c r="AU17" s="19">
        <v>1000</v>
      </c>
      <c r="AV17" s="19"/>
      <c r="AW17" s="19"/>
      <c r="AX17" s="19"/>
      <c r="AY17" s="19"/>
      <c r="AZ17" s="19"/>
      <c r="BA17" s="26" t="s">
        <v>328</v>
      </c>
      <c r="BB17" s="19">
        <v>0</v>
      </c>
      <c r="BC17" s="19">
        <v>0</v>
      </c>
      <c r="BD17" s="19">
        <v>0</v>
      </c>
      <c r="BE17" s="19">
        <v>0</v>
      </c>
      <c r="BF17" s="19">
        <v>2</v>
      </c>
      <c r="BG17" s="19">
        <v>2</v>
      </c>
      <c r="BH17" s="19">
        <v>2</v>
      </c>
      <c r="BI17" s="19">
        <v>4</v>
      </c>
      <c r="BJ17" s="19">
        <v>4</v>
      </c>
      <c r="BK17" s="19">
        <v>4</v>
      </c>
      <c r="BL17" s="19">
        <v>6</v>
      </c>
      <c r="BM17" s="19">
        <v>6</v>
      </c>
      <c r="BN17" s="19">
        <v>6</v>
      </c>
      <c r="BO17" s="19">
        <v>8</v>
      </c>
      <c r="BP17" s="19">
        <v>8</v>
      </c>
      <c r="BQ17" s="19">
        <v>8</v>
      </c>
      <c r="BR17" s="19">
        <v>8</v>
      </c>
      <c r="BS17" s="19">
        <v>10</v>
      </c>
      <c r="BT17" s="19">
        <v>10</v>
      </c>
      <c r="BU17" s="19">
        <f>BQ17</f>
        <v>8</v>
      </c>
      <c r="BV17" s="19">
        <v>12</v>
      </c>
      <c r="BW17" s="19">
        <v>12</v>
      </c>
      <c r="BX17" s="19">
        <v>12</v>
      </c>
      <c r="BY17" s="19">
        <v>14</v>
      </c>
      <c r="BZ17" s="19">
        <v>14</v>
      </c>
      <c r="CA17" s="19">
        <v>14</v>
      </c>
      <c r="CB17" s="19">
        <v>16</v>
      </c>
      <c r="CC17" s="19">
        <v>16</v>
      </c>
      <c r="CD17" s="19">
        <v>16</v>
      </c>
      <c r="CE17" s="19">
        <v>16</v>
      </c>
      <c r="CF17" s="19">
        <v>18</v>
      </c>
      <c r="CG17" s="19">
        <v>18</v>
      </c>
      <c r="CH17" s="19">
        <v>18</v>
      </c>
      <c r="CI17" s="19">
        <v>20</v>
      </c>
      <c r="CJ17" s="19">
        <v>20</v>
      </c>
      <c r="CK17" s="19">
        <v>20</v>
      </c>
      <c r="CL17" s="19">
        <v>22</v>
      </c>
      <c r="CM17" s="19">
        <v>22</v>
      </c>
      <c r="CN17" s="19">
        <v>22</v>
      </c>
      <c r="CO17" s="19">
        <v>24</v>
      </c>
      <c r="CP17" s="19">
        <v>24</v>
      </c>
      <c r="CQ17" s="19">
        <v>24</v>
      </c>
      <c r="CR17" s="19">
        <v>24</v>
      </c>
      <c r="CS17" s="19">
        <v>26</v>
      </c>
      <c r="CT17" s="19">
        <v>26</v>
      </c>
      <c r="CU17" s="19">
        <v>26</v>
      </c>
      <c r="CV17" s="19">
        <v>28</v>
      </c>
      <c r="CW17" s="19">
        <v>28</v>
      </c>
      <c r="CX17" s="19">
        <v>28</v>
      </c>
      <c r="CY17" s="19">
        <v>30</v>
      </c>
      <c r="CZ17" s="19">
        <v>30</v>
      </c>
      <c r="DA17" s="17"/>
      <c r="DB17" s="17">
        <v>16</v>
      </c>
      <c r="DC17" s="17"/>
      <c r="DD17" s="19" t="s">
        <v>238</v>
      </c>
      <c r="DE17" s="19">
        <v>0</v>
      </c>
      <c r="DF17" s="19">
        <v>0</v>
      </c>
      <c r="DG17" s="19">
        <v>0</v>
      </c>
      <c r="DH17" s="19">
        <v>2</v>
      </c>
      <c r="DI17" s="19">
        <v>0</v>
      </c>
      <c r="DJ17" s="19">
        <v>2</v>
      </c>
      <c r="DK17" s="19">
        <v>4</v>
      </c>
      <c r="DL17" s="19">
        <v>2</v>
      </c>
      <c r="DM17" s="19">
        <v>4</v>
      </c>
      <c r="DN17" s="19">
        <v>6</v>
      </c>
      <c r="DO17" s="19">
        <v>4</v>
      </c>
      <c r="DP17" s="19">
        <v>6</v>
      </c>
      <c r="DQ17" s="19">
        <v>8</v>
      </c>
      <c r="DR17" s="19">
        <v>6</v>
      </c>
      <c r="DS17" s="19">
        <v>8</v>
      </c>
      <c r="DT17" s="19">
        <v>10</v>
      </c>
      <c r="DU17" s="19">
        <v>8</v>
      </c>
      <c r="DV17" s="19">
        <v>10</v>
      </c>
      <c r="DW17" s="19">
        <v>12</v>
      </c>
      <c r="DX17" s="19">
        <v>10</v>
      </c>
      <c r="DY17" s="19">
        <v>12</v>
      </c>
      <c r="DZ17" s="19"/>
      <c r="EA17" s="19"/>
      <c r="EB17" s="26" t="s">
        <v>328</v>
      </c>
      <c r="EC17" s="19">
        <v>0</v>
      </c>
      <c r="ED17" s="19">
        <v>0</v>
      </c>
      <c r="EE17" s="19">
        <v>0</v>
      </c>
      <c r="EF17" s="19">
        <v>2</v>
      </c>
      <c r="EG17" s="19">
        <v>2</v>
      </c>
      <c r="EH17" s="19">
        <v>4</v>
      </c>
      <c r="EI17" s="19">
        <v>4</v>
      </c>
      <c r="EJ17" s="19">
        <v>6</v>
      </c>
      <c r="EK17" s="19">
        <v>6</v>
      </c>
      <c r="EL17" s="19">
        <v>8</v>
      </c>
      <c r="EM17" s="19">
        <v>8</v>
      </c>
      <c r="EN17" s="19">
        <v>10</v>
      </c>
      <c r="EO17" s="19">
        <v>10</v>
      </c>
      <c r="EP17" s="19">
        <v>12</v>
      </c>
      <c r="EQ17" s="19">
        <v>12</v>
      </c>
      <c r="ER17" s="19">
        <v>14</v>
      </c>
      <c r="ES17" s="19">
        <v>14</v>
      </c>
      <c r="ET17" s="19">
        <v>16</v>
      </c>
      <c r="EU17" s="19">
        <v>16</v>
      </c>
      <c r="EV17" s="19">
        <v>18</v>
      </c>
      <c r="EW17" s="19">
        <v>18</v>
      </c>
      <c r="EX17" s="19">
        <v>20</v>
      </c>
      <c r="EY17" s="19">
        <v>20</v>
      </c>
      <c r="EZ17" s="19">
        <v>22</v>
      </c>
      <c r="FA17" s="19">
        <v>22</v>
      </c>
      <c r="FB17" s="19">
        <v>24</v>
      </c>
      <c r="FC17" s="19">
        <v>24</v>
      </c>
      <c r="FD17" s="19"/>
      <c r="FE17" s="19"/>
      <c r="FF17" s="19"/>
      <c r="FG17" s="19"/>
      <c r="FH17" s="19"/>
      <c r="FI17" s="19"/>
      <c r="FJ17" s="19"/>
      <c r="FK17" s="19"/>
      <c r="FL17" s="19"/>
      <c r="FM17" s="19"/>
      <c r="FN17" s="19"/>
      <c r="FO17" s="19"/>
      <c r="FP17" s="19"/>
      <c r="FQ17" s="19"/>
      <c r="FR17" s="19"/>
      <c r="FS17" s="19"/>
      <c r="FT17" s="19"/>
      <c r="FU17" s="19"/>
      <c r="FV17" s="19"/>
      <c r="FW17" s="19"/>
      <c r="FX17" s="19"/>
      <c r="FY17" s="19"/>
      <c r="FZ17" s="19"/>
      <c r="GA17" s="19"/>
      <c r="GC17" s="19"/>
      <c r="GD17" s="19"/>
      <c r="GE17" s="26" t="s">
        <v>328</v>
      </c>
      <c r="GF17" s="19">
        <v>0</v>
      </c>
      <c r="GG17" s="19">
        <v>0</v>
      </c>
      <c r="GH17" s="19">
        <v>2</v>
      </c>
      <c r="GI17" s="19">
        <v>2</v>
      </c>
      <c r="GJ17" s="19">
        <v>4</v>
      </c>
      <c r="GK17" s="19">
        <v>4</v>
      </c>
      <c r="GL17" s="19">
        <v>6</v>
      </c>
      <c r="GM17" s="19">
        <v>8</v>
      </c>
      <c r="GN17" s="19">
        <v>8</v>
      </c>
      <c r="GO17" s="19">
        <v>10</v>
      </c>
      <c r="GP17" s="19">
        <v>10</v>
      </c>
      <c r="GQ17" s="19">
        <v>12</v>
      </c>
      <c r="GR17" s="19">
        <v>12</v>
      </c>
      <c r="GS17" s="19">
        <v>14</v>
      </c>
      <c r="GT17" s="19">
        <v>16</v>
      </c>
      <c r="GU17" s="19">
        <v>16</v>
      </c>
      <c r="GV17" s="19">
        <v>18</v>
      </c>
      <c r="GW17" s="19">
        <v>18</v>
      </c>
      <c r="GX17" s="19">
        <v>20</v>
      </c>
      <c r="GY17" s="19">
        <v>22</v>
      </c>
      <c r="GZ17" s="19">
        <v>22</v>
      </c>
      <c r="HA17" s="19">
        <v>24</v>
      </c>
      <c r="HB17" s="19">
        <v>24</v>
      </c>
      <c r="HC17" s="19">
        <v>26</v>
      </c>
      <c r="HD17" s="19">
        <v>26</v>
      </c>
      <c r="HE17" s="19">
        <v>28</v>
      </c>
      <c r="HF17" s="19"/>
      <c r="HG17" s="19"/>
      <c r="HH17" s="19"/>
      <c r="HI17" s="19"/>
      <c r="HJ17" s="19"/>
      <c r="HK17" s="19"/>
      <c r="HL17" s="19"/>
      <c r="HM17" s="19"/>
      <c r="HN17" s="19"/>
      <c r="HO17" s="19"/>
      <c r="HP17" s="19"/>
      <c r="HQ17" s="19"/>
      <c r="HR17" s="19"/>
      <c r="HS17" s="19"/>
      <c r="HT17" s="19"/>
      <c r="HU17" s="19"/>
      <c r="HV17" s="19"/>
      <c r="HW17" s="19"/>
      <c r="HX17" s="19"/>
      <c r="HY17" s="19"/>
      <c r="HZ17" s="19"/>
      <c r="IA17" s="19"/>
      <c r="IB17" s="19"/>
      <c r="IC17" s="19"/>
      <c r="ID17" s="19"/>
      <c r="IF17" s="20" t="s">
        <v>328</v>
      </c>
      <c r="IG17" s="20">
        <v>0</v>
      </c>
      <c r="IH17" s="20">
        <v>0</v>
      </c>
      <c r="II17" s="20">
        <v>2</v>
      </c>
      <c r="IJ17" s="20">
        <v>4</v>
      </c>
      <c r="IK17" s="20">
        <v>4</v>
      </c>
      <c r="IL17" s="20">
        <v>6</v>
      </c>
      <c r="IM17" s="20">
        <v>8</v>
      </c>
      <c r="IN17" s="20">
        <v>10</v>
      </c>
      <c r="IO17" s="20">
        <v>10</v>
      </c>
      <c r="IP17" s="20">
        <v>12</v>
      </c>
      <c r="IQ17" s="20">
        <v>14</v>
      </c>
      <c r="IR17" s="20">
        <v>14</v>
      </c>
      <c r="IS17" s="20">
        <v>16</v>
      </c>
      <c r="IT17" s="20">
        <v>18</v>
      </c>
      <c r="IU17" s="20">
        <v>20</v>
      </c>
      <c r="IV17" s="20">
        <v>20</v>
      </c>
      <c r="IW17" s="20">
        <v>22</v>
      </c>
      <c r="IX17" s="20">
        <v>24</v>
      </c>
      <c r="IY17" s="20">
        <v>24</v>
      </c>
      <c r="IZ17" s="20">
        <v>26</v>
      </c>
      <c r="JA17" s="20">
        <v>28</v>
      </c>
      <c r="JB17" s="20">
        <v>30</v>
      </c>
      <c r="JC17" s="20">
        <v>30</v>
      </c>
      <c r="JD17" s="20">
        <v>32</v>
      </c>
      <c r="JE17" s="20">
        <v>34</v>
      </c>
      <c r="JF17" s="20">
        <v>34</v>
      </c>
    </row>
    <row r="18" spans="1:266" x14ac:dyDescent="0.25">
      <c r="A18" s="4"/>
      <c r="B18" s="6"/>
      <c r="C18" s="4"/>
      <c r="D18" s="4"/>
      <c r="E18" s="4"/>
      <c r="F18" s="4"/>
      <c r="G18" s="4"/>
      <c r="H18" s="4"/>
      <c r="I18" s="4"/>
      <c r="J18" s="4"/>
      <c r="K18" s="4"/>
      <c r="L18" s="6" t="s">
        <v>233</v>
      </c>
      <c r="M18" s="14">
        <f>INDEX(cenník!$A$2:$I$568,MATCH($L18,cenník!$B$2:$B$557,0),MATCH(M$2,cenník!$A$1:$I$1,0))</f>
        <v>808251</v>
      </c>
      <c r="N18" s="14" t="str">
        <f>INDEX(cenník!$A$2:$I$568,MATCH($L18,cenník!$B$2:$B$557,0),MATCH(N$2,cenník!$A$1:$I$1,0))</f>
        <v>ks</v>
      </c>
      <c r="O18" s="14">
        <f>IF(E10=$AK$24,0,E11)</f>
        <v>0</v>
      </c>
      <c r="P18" s="21">
        <f>INDEX(cenník!$A$2:$I$568,MATCH($L18,cenník!$B$2:$B$557,0),MATCH(P$2,cenník!$A$1:$I$1,0))</f>
        <v>0.21</v>
      </c>
      <c r="Q18" s="21">
        <f t="shared" si="0"/>
        <v>0</v>
      </c>
      <c r="R18" s="22">
        <f>$E$9</f>
        <v>0</v>
      </c>
      <c r="S18" s="21">
        <f>P18*((100-$E$9)/100)</f>
        <v>0.21</v>
      </c>
      <c r="T18" s="21">
        <f t="shared" si="3"/>
        <v>0</v>
      </c>
      <c r="U18" s="21">
        <f>INDEX(cenník!$A$2:$I$568,MATCH($L18,cenník!$B$2:$B$557,0),MATCH(U$2,cenník!$A$1:$I$1,0))*O18</f>
        <v>0</v>
      </c>
      <c r="V18" s="19"/>
      <c r="W18" s="19"/>
      <c r="X18" s="25"/>
      <c r="Y18" s="19"/>
      <c r="Z18" s="19"/>
      <c r="AA18" s="19"/>
      <c r="AB18" s="19"/>
      <c r="AC18" s="121"/>
      <c r="AD18" s="19"/>
      <c r="AE18" s="123"/>
      <c r="AF18" s="19"/>
      <c r="AG18" s="19"/>
      <c r="AH18" s="19"/>
      <c r="AI18" s="19"/>
      <c r="AJ18" s="19"/>
      <c r="AK18" s="19"/>
      <c r="AL18" s="19"/>
      <c r="AM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17,$BB$2:$CA$2,0),MATCH($W$2,$AH$22:$AH$47,0)))*C17</f>
        <v>0</v>
      </c>
      <c r="AN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17,$BB$2:$CA$2,0),MATCH($W$2,$AH$22:$AH$47,0)))*C17</f>
        <v>0</v>
      </c>
      <c r="AO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17,$BB$2:$CA$2,0),MATCH($W$2,$AH$22:$AH$47,0)))*C17</f>
        <v>0</v>
      </c>
      <c r="AP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17,$BB$2:$CA$2,0),MATCH($W$2,$AH$22:$AH$47,0)))*C17</f>
        <v>0</v>
      </c>
      <c r="AQ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17,$BB$2:$CA$2,0),MATCH($W$2,$AH$22:$AH$47,0)))*C17</f>
        <v>0</v>
      </c>
      <c r="AR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17,$BB$2:$CA$2,0),MATCH($W$2,$AH$22:$AH$47,0)))*C17</f>
        <v>0</v>
      </c>
      <c r="AS18" s="19"/>
      <c r="AT18" s="19">
        <f>((AT17*AU17)+((AT17-1)*20))+80</f>
        <v>51060</v>
      </c>
      <c r="AU18" s="26" t="s">
        <v>91</v>
      </c>
      <c r="AV18" s="26" t="s">
        <v>89</v>
      </c>
      <c r="AW18" s="26" t="s">
        <v>88</v>
      </c>
      <c r="AX18" s="19"/>
      <c r="AY18" s="19" t="s">
        <v>90</v>
      </c>
      <c r="AZ18" s="19"/>
      <c r="BA18" s="19"/>
      <c r="BB18" s="19"/>
      <c r="BC18" s="19"/>
      <c r="BD18" s="19"/>
      <c r="BE18" s="19"/>
      <c r="BF18" s="19"/>
      <c r="BG18" s="19"/>
      <c r="BH18" s="19"/>
      <c r="BI18" s="19"/>
      <c r="BJ18" s="19"/>
      <c r="BK18" s="19"/>
      <c r="BL18" s="19"/>
      <c r="BM18" s="19"/>
      <c r="BN18" s="19"/>
      <c r="BO18" s="19"/>
      <c r="BP18" s="19"/>
      <c r="BQ18" s="19"/>
      <c r="BR18" s="19"/>
      <c r="BS18" s="19"/>
      <c r="BT18" s="19"/>
      <c r="BU18" s="19"/>
      <c r="BV18" s="19"/>
      <c r="BW18" s="19"/>
      <c r="BX18" s="19"/>
      <c r="BY18" s="19"/>
      <c r="BZ18" s="19"/>
      <c r="CA18" s="19"/>
      <c r="CB18" s="19"/>
      <c r="CC18" s="19"/>
      <c r="CD18" s="19"/>
      <c r="CE18" s="19"/>
      <c r="CF18" s="19"/>
      <c r="CG18" s="19"/>
      <c r="CH18" s="19"/>
      <c r="CI18" s="19"/>
      <c r="CJ18" s="19"/>
      <c r="CK18" s="19"/>
      <c r="CL18" s="19"/>
      <c r="CM18" s="19"/>
      <c r="CN18" s="19"/>
      <c r="CO18" s="19"/>
      <c r="CP18" s="19"/>
      <c r="CQ18" s="19"/>
      <c r="CR18" s="19"/>
      <c r="CS18" s="19"/>
      <c r="CT18" s="19"/>
      <c r="CU18" s="19"/>
      <c r="CV18" s="19"/>
      <c r="CW18" s="19"/>
      <c r="CX18" s="19"/>
      <c r="CY18" s="19"/>
      <c r="CZ18" s="19"/>
      <c r="DA18" s="17"/>
      <c r="DB18" s="17">
        <v>17</v>
      </c>
      <c r="DC18" s="17"/>
      <c r="DD18" s="19" t="s">
        <v>239</v>
      </c>
      <c r="DE18" s="19">
        <v>0</v>
      </c>
      <c r="DF18" s="19">
        <v>0</v>
      </c>
      <c r="DG18" s="19">
        <v>0</v>
      </c>
      <c r="DH18" s="19">
        <v>0</v>
      </c>
      <c r="DI18" s="19">
        <v>4</v>
      </c>
      <c r="DJ18" s="19">
        <v>4</v>
      </c>
      <c r="DK18" s="19">
        <v>4</v>
      </c>
      <c r="DL18" s="19">
        <v>8</v>
      </c>
      <c r="DM18" s="19">
        <v>8</v>
      </c>
      <c r="DN18" s="19">
        <v>8</v>
      </c>
      <c r="DO18" s="19">
        <v>12</v>
      </c>
      <c r="DP18" s="19">
        <v>12</v>
      </c>
      <c r="DQ18" s="19">
        <v>12</v>
      </c>
      <c r="DR18" s="19">
        <v>16</v>
      </c>
      <c r="DS18" s="19">
        <v>16</v>
      </c>
      <c r="DT18" s="19">
        <v>16</v>
      </c>
      <c r="DU18" s="19">
        <v>20</v>
      </c>
      <c r="DV18" s="19">
        <v>20</v>
      </c>
      <c r="DW18" s="19">
        <v>20</v>
      </c>
      <c r="DX18" s="19">
        <v>24</v>
      </c>
      <c r="DY18" s="19">
        <v>24</v>
      </c>
      <c r="DZ18" s="19"/>
      <c r="EA18" s="19"/>
      <c r="EB18" s="19"/>
      <c r="EC18" s="19"/>
      <c r="ED18" s="19"/>
      <c r="EE18" s="19"/>
      <c r="EF18" s="19"/>
      <c r="EG18" s="19"/>
      <c r="EH18" s="19"/>
      <c r="EI18" s="19"/>
      <c r="EJ18" s="19"/>
      <c r="EK18" s="19"/>
      <c r="EL18" s="19"/>
      <c r="EM18" s="19"/>
      <c r="EN18" s="19"/>
      <c r="EO18" s="19"/>
      <c r="EP18" s="19"/>
      <c r="EQ18" s="19"/>
      <c r="ER18" s="19"/>
      <c r="ES18" s="19"/>
      <c r="ET18" s="19"/>
      <c r="EU18" s="19"/>
      <c r="EV18" s="19"/>
      <c r="EW18" s="19"/>
      <c r="EX18" s="19"/>
      <c r="EY18" s="19"/>
      <c r="EZ18" s="19"/>
      <c r="FA18" s="19"/>
      <c r="FB18" s="19"/>
      <c r="FC18" s="19"/>
      <c r="FD18" s="19"/>
      <c r="FE18" s="19"/>
      <c r="FF18" s="19"/>
      <c r="FG18" s="19"/>
      <c r="FH18" s="19"/>
      <c r="FI18" s="19"/>
      <c r="FJ18" s="19"/>
      <c r="FK18" s="19"/>
      <c r="FL18" s="19"/>
      <c r="FM18" s="19"/>
      <c r="FN18" s="19"/>
      <c r="FO18" s="19"/>
      <c r="FP18" s="19"/>
      <c r="FQ18" s="19"/>
      <c r="FR18" s="19"/>
      <c r="FS18" s="19"/>
      <c r="FT18" s="19"/>
      <c r="FU18" s="19"/>
      <c r="FV18" s="19"/>
      <c r="FW18" s="19"/>
      <c r="FX18" s="19"/>
      <c r="FY18" s="19"/>
      <c r="FZ18" s="19"/>
      <c r="GA18" s="19"/>
      <c r="GC18" s="19"/>
      <c r="GD18" s="19"/>
      <c r="GE18" s="19"/>
      <c r="GF18" s="19"/>
      <c r="GG18" s="19"/>
      <c r="GH18" s="19"/>
      <c r="GI18" s="19"/>
      <c r="GJ18" s="19"/>
      <c r="GK18" s="19"/>
      <c r="GL18" s="19"/>
      <c r="GM18" s="19"/>
      <c r="GN18" s="19"/>
      <c r="GO18" s="19"/>
      <c r="GP18" s="19"/>
      <c r="GQ18" s="19"/>
      <c r="GR18" s="19"/>
      <c r="GS18" s="19"/>
      <c r="GT18" s="19"/>
      <c r="GU18" s="19"/>
      <c r="GV18" s="19"/>
      <c r="GW18" s="19"/>
      <c r="GX18" s="19"/>
      <c r="GY18" s="19"/>
      <c r="GZ18" s="19"/>
      <c r="HA18" s="19"/>
      <c r="HB18" s="19"/>
      <c r="HC18" s="19"/>
      <c r="HD18" s="19"/>
      <c r="HE18" s="19"/>
      <c r="HF18" s="19"/>
      <c r="HG18" s="19"/>
      <c r="HH18" s="19"/>
      <c r="HI18" s="19"/>
      <c r="HJ18" s="19"/>
      <c r="HK18" s="19"/>
      <c r="HL18" s="19"/>
      <c r="HM18" s="19"/>
      <c r="HN18" s="19"/>
      <c r="HO18" s="19"/>
      <c r="HP18" s="19"/>
      <c r="HQ18" s="19"/>
      <c r="HR18" s="19"/>
      <c r="HS18" s="19"/>
      <c r="HT18" s="19"/>
      <c r="HU18" s="19"/>
      <c r="HV18" s="19"/>
      <c r="HW18" s="19"/>
      <c r="HX18" s="19"/>
      <c r="HY18" s="19"/>
      <c r="HZ18" s="19"/>
      <c r="IA18" s="19"/>
      <c r="IB18" s="19"/>
      <c r="IC18" s="19"/>
      <c r="ID18" s="19"/>
    </row>
    <row r="19" spans="1:266" x14ac:dyDescent="0.25">
      <c r="A19" s="4"/>
      <c r="B19" s="6"/>
      <c r="C19" s="4"/>
      <c r="D19" s="2"/>
      <c r="E19" s="4"/>
      <c r="F19" s="4"/>
      <c r="G19" s="4"/>
      <c r="H19" s="4"/>
      <c r="I19" s="4"/>
      <c r="J19" s="4"/>
      <c r="K19" s="4"/>
      <c r="L19" s="6" t="s">
        <v>45</v>
      </c>
      <c r="M19" s="14">
        <f>INDEX(cenník!$A$2:$I$568,MATCH($L19,cenník!$B$2:$B$557,0),MATCH(M$2,cenník!$A$1:$I$1,0))</f>
        <v>890008</v>
      </c>
      <c r="N19" s="14" t="str">
        <f>INDEX(cenník!$A$2:$I$568,MATCH($L19,cenník!$B$2:$B$557,0),MATCH(N$2,cenník!$A$1:$I$1,0))</f>
        <v>100ks</v>
      </c>
      <c r="O19" s="14">
        <f>ROUNDUP((O18/100),0)</f>
        <v>0</v>
      </c>
      <c r="P19" s="21">
        <f>INDEX(cenník!$A$2:$I$568,MATCH($L19,cenník!$B$2:$B$557,0),MATCH(P$2,cenník!$A$1:$I$1,0))</f>
        <v>9.75</v>
      </c>
      <c r="Q19" s="21">
        <f t="shared" si="0"/>
        <v>0</v>
      </c>
      <c r="R19" s="22">
        <f>$E$9</f>
        <v>0</v>
      </c>
      <c r="S19" s="21">
        <f>P19*((100-$E$9)/100)</f>
        <v>9.75</v>
      </c>
      <c r="T19" s="21">
        <f t="shared" si="3"/>
        <v>0</v>
      </c>
      <c r="U19" s="21">
        <f>INDEX(cenník!$A$2:$I$568,MATCH($L19,cenník!$B$2:$B$557,0),MATCH(U$2,cenník!$A$1:$I$1,0))*O19</f>
        <v>0</v>
      </c>
      <c r="V19" s="19"/>
      <c r="W19" s="19"/>
      <c r="X19" s="25"/>
      <c r="Y19" s="19"/>
      <c r="Z19" s="19"/>
      <c r="AA19" s="19"/>
      <c r="AB19" s="19"/>
      <c r="AC19" s="121"/>
      <c r="AD19" s="19"/>
      <c r="AE19" s="123"/>
      <c r="AF19" s="19"/>
      <c r="AG19" s="19">
        <v>30</v>
      </c>
      <c r="AH19" s="19"/>
      <c r="AI19" s="19"/>
      <c r="AJ19" s="19"/>
      <c r="AK19" s="19"/>
      <c r="AL19" s="19"/>
      <c r="AM19" s="25"/>
      <c r="AN19" s="25"/>
      <c r="AO19" s="25"/>
      <c r="AP19" s="25"/>
      <c r="AQ19" s="25"/>
      <c r="AR19" s="25"/>
      <c r="AS19" s="19"/>
      <c r="AT19" s="19">
        <v>2200</v>
      </c>
      <c r="AU19" s="19">
        <v>1</v>
      </c>
      <c r="AV19" s="19">
        <f>AT19*AU19</f>
        <v>2200</v>
      </c>
      <c r="AW19" s="123">
        <v>46.73</v>
      </c>
      <c r="AX19" s="19">
        <f>AU19*AW19</f>
        <v>46.73</v>
      </c>
      <c r="AY19" s="19">
        <f>2*AU19</f>
        <v>2</v>
      </c>
      <c r="AZ19" s="19"/>
      <c r="BA19" s="19" t="s">
        <v>60</v>
      </c>
      <c r="BB19" s="19"/>
      <c r="BC19" s="19"/>
      <c r="BD19" s="19"/>
      <c r="BE19" s="19"/>
      <c r="BF19" s="19"/>
      <c r="BG19" s="19"/>
      <c r="BH19" s="19"/>
      <c r="BI19" s="19"/>
      <c r="BJ19" s="19"/>
      <c r="BK19" s="19"/>
      <c r="BL19" s="19"/>
      <c r="BM19" s="19"/>
      <c r="BN19" s="19"/>
      <c r="BO19" s="19"/>
      <c r="BP19" s="19"/>
      <c r="BQ19" s="19"/>
      <c r="BR19" s="19"/>
      <c r="BS19" s="19"/>
      <c r="BT19" s="19"/>
      <c r="BU19" s="19"/>
      <c r="BV19" s="19"/>
      <c r="BW19" s="19"/>
      <c r="BX19" s="19"/>
      <c r="BY19" s="19"/>
      <c r="BZ19" s="19"/>
      <c r="CA19" s="19"/>
      <c r="CB19" s="19"/>
      <c r="CC19" s="19"/>
      <c r="CD19" s="19"/>
      <c r="CE19" s="19"/>
      <c r="CF19" s="19"/>
      <c r="CG19" s="19"/>
      <c r="CH19" s="19"/>
      <c r="CI19" s="19"/>
      <c r="CJ19" s="19"/>
      <c r="CK19" s="19"/>
      <c r="CL19" s="19"/>
      <c r="CM19" s="19"/>
      <c r="CN19" s="19"/>
      <c r="CO19" s="19"/>
      <c r="CP19" s="19"/>
      <c r="CQ19" s="19"/>
      <c r="CR19" s="19"/>
      <c r="CS19" s="19"/>
      <c r="CT19" s="19"/>
      <c r="CU19" s="19"/>
      <c r="CV19" s="19"/>
      <c r="CW19" s="19"/>
      <c r="CX19" s="19"/>
      <c r="CY19" s="19"/>
      <c r="CZ19" s="19"/>
      <c r="DA19" s="17"/>
      <c r="DB19" s="17">
        <v>18</v>
      </c>
      <c r="DC19" s="17"/>
      <c r="DD19" s="26" t="s">
        <v>326</v>
      </c>
      <c r="DE19" s="19">
        <v>0</v>
      </c>
      <c r="DF19" s="19"/>
      <c r="DG19" s="19"/>
      <c r="DH19" s="19"/>
      <c r="DI19" s="19"/>
      <c r="DJ19" s="19"/>
      <c r="DK19" s="19"/>
      <c r="DL19" s="19"/>
      <c r="DM19" s="19"/>
      <c r="DN19" s="19"/>
      <c r="DO19" s="19"/>
      <c r="DP19" s="19"/>
      <c r="DQ19" s="19"/>
      <c r="DR19" s="19"/>
      <c r="DS19" s="19"/>
      <c r="DT19" s="19"/>
      <c r="DU19" s="19"/>
      <c r="DV19" s="19"/>
      <c r="DW19" s="19"/>
      <c r="DX19" s="19"/>
      <c r="DY19" s="19"/>
      <c r="DZ19" s="19"/>
      <c r="EA19" s="19"/>
      <c r="EB19" s="19" t="s">
        <v>57</v>
      </c>
      <c r="EC19" s="19"/>
      <c r="ED19" s="19"/>
      <c r="EE19" s="19"/>
      <c r="EF19" s="19"/>
      <c r="EG19" s="19"/>
      <c r="EH19" s="19"/>
      <c r="EI19" s="19"/>
      <c r="EJ19" s="19"/>
      <c r="EK19" s="19"/>
      <c r="EL19" s="19"/>
      <c r="EM19" s="19"/>
      <c r="EN19" s="19"/>
      <c r="EO19" s="19"/>
      <c r="EP19" s="19"/>
      <c r="EQ19" s="19"/>
      <c r="ER19" s="19"/>
      <c r="ES19" s="19"/>
      <c r="ET19" s="19"/>
      <c r="EU19" s="19"/>
      <c r="EV19" s="19"/>
      <c r="EW19" s="19"/>
      <c r="EX19" s="19"/>
      <c r="EY19" s="19"/>
      <c r="EZ19" s="19"/>
      <c r="FA19" s="19"/>
      <c r="FB19" s="19"/>
      <c r="FC19" s="19"/>
      <c r="FD19" s="19"/>
      <c r="FE19" s="19"/>
      <c r="FF19" s="19"/>
      <c r="FG19" s="19"/>
      <c r="FH19" s="19"/>
      <c r="FI19" s="19"/>
      <c r="FJ19" s="19"/>
      <c r="FK19" s="19"/>
      <c r="FL19" s="19"/>
      <c r="FM19" s="19"/>
      <c r="FN19" s="19"/>
      <c r="FO19" s="19"/>
      <c r="FP19" s="19"/>
      <c r="FQ19" s="19"/>
      <c r="FR19" s="19"/>
      <c r="FS19" s="19"/>
      <c r="FT19" s="19"/>
      <c r="FU19" s="19"/>
      <c r="FV19" s="19"/>
      <c r="FW19" s="19"/>
      <c r="FX19" s="19"/>
      <c r="FY19" s="19"/>
      <c r="FZ19" s="19"/>
      <c r="GA19" s="19"/>
      <c r="GC19" s="19"/>
      <c r="GD19" s="19"/>
      <c r="GE19" s="19" t="s">
        <v>198</v>
      </c>
      <c r="GF19" s="19"/>
      <c r="GG19" s="19"/>
      <c r="GH19" s="19"/>
      <c r="GI19" s="19"/>
      <c r="GJ19" s="19"/>
      <c r="GK19" s="19"/>
      <c r="GL19" s="19"/>
      <c r="GM19" s="19"/>
      <c r="GN19" s="19"/>
      <c r="GO19" s="19"/>
      <c r="GP19" s="19"/>
      <c r="GQ19" s="19"/>
      <c r="GR19" s="19"/>
      <c r="GS19" s="19"/>
      <c r="GT19" s="19"/>
      <c r="GU19" s="19"/>
      <c r="GV19" s="19"/>
      <c r="GW19" s="19"/>
      <c r="GX19" s="19"/>
      <c r="GY19" s="19"/>
      <c r="GZ19" s="19"/>
      <c r="HA19" s="19"/>
      <c r="HB19" s="19"/>
      <c r="HC19" s="19"/>
      <c r="HD19" s="19"/>
      <c r="HE19" s="19"/>
      <c r="HF19" s="19"/>
      <c r="HG19" s="19"/>
      <c r="HH19" s="19"/>
      <c r="HI19" s="19"/>
      <c r="HJ19" s="19"/>
      <c r="HK19" s="19"/>
      <c r="HL19" s="19"/>
      <c r="HM19" s="19"/>
      <c r="HN19" s="19"/>
      <c r="HO19" s="19"/>
      <c r="HP19" s="19"/>
      <c r="HQ19" s="19"/>
      <c r="HR19" s="19"/>
      <c r="HS19" s="19"/>
      <c r="HT19" s="19"/>
      <c r="HU19" s="19"/>
      <c r="HV19" s="19"/>
      <c r="HW19" s="19"/>
      <c r="HX19" s="19"/>
      <c r="HY19" s="19"/>
      <c r="HZ19" s="19"/>
      <c r="IA19" s="19"/>
      <c r="IB19" s="19"/>
      <c r="IC19" s="19"/>
      <c r="ID19" s="19"/>
      <c r="IF19" s="20" t="s">
        <v>352</v>
      </c>
    </row>
    <row r="20" spans="1:266" x14ac:dyDescent="0.25">
      <c r="A20" s="4"/>
      <c r="B20" s="6"/>
      <c r="C20" s="4"/>
      <c r="D20" s="4"/>
      <c r="E20" s="4"/>
      <c r="F20" s="4"/>
      <c r="G20" s="4"/>
      <c r="H20" s="4"/>
      <c r="I20" s="4"/>
      <c r="J20" s="4"/>
      <c r="K20" s="4"/>
      <c r="L20" s="6" t="str">
        <f>IF(E10=$AK$22,"NOWPAL40x40SR","-------")</f>
        <v>NOWPAL40x40SR</v>
      </c>
      <c r="M20" s="14">
        <f>INDEX(cenník!$A$2:$I$568,MATCH($L20,cenník!$B$2:$B$557,0),MATCH(M$2,cenník!$A$1:$I$1,0))</f>
        <v>890404</v>
      </c>
      <c r="N20" s="14" t="str">
        <f>INDEX(cenník!$A$2:$I$568,MATCH($L20,cenník!$B$2:$B$557,0),MATCH(N$2,cenník!$A$1:$I$1,0))</f>
        <v>ks</v>
      </c>
      <c r="O20" s="14">
        <f>IF(L20="NOWPAL40X40SR",SUM(C2:C17)*4,0)</f>
        <v>0</v>
      </c>
      <c r="P20" s="21">
        <f>INDEX(cenník!$A$2:$I$568,MATCH($L20,cenník!$B$2:$B$557,0),MATCH(P$2,cenník!$A$1:$I$1,0))</f>
        <v>0.26</v>
      </c>
      <c r="Q20" s="21">
        <f>O20*P20</f>
        <v>0</v>
      </c>
      <c r="R20" s="22">
        <f>$E$9</f>
        <v>0</v>
      </c>
      <c r="S20" s="21">
        <f>P20*((100-$E$9)/100)</f>
        <v>0.26</v>
      </c>
      <c r="T20" s="21">
        <f>O20*S20</f>
        <v>0</v>
      </c>
      <c r="U20" s="21">
        <f>INDEX(cenník!$A$2:$I$568,MATCH($L20,cenník!$B$2:$B$557,0),MATCH(U$2,cenník!$A$1:$I$1,0))*O20</f>
        <v>0</v>
      </c>
      <c r="V20" s="19"/>
      <c r="W20" s="19"/>
      <c r="X20" s="19"/>
      <c r="Y20" s="19"/>
      <c r="Z20" s="19"/>
      <c r="AA20" s="19"/>
      <c r="AB20" s="19"/>
      <c r="AC20" s="121"/>
      <c r="AD20" s="19"/>
      <c r="AE20" s="123"/>
      <c r="AF20" s="19"/>
      <c r="AG20" s="19" t="s">
        <v>465</v>
      </c>
      <c r="AH20" s="19" t="s">
        <v>464</v>
      </c>
      <c r="AI20" s="19"/>
      <c r="AJ20" s="19"/>
      <c r="AK20" s="19"/>
      <c r="AL20" s="19"/>
      <c r="AM20" s="19"/>
      <c r="AN20" s="19"/>
      <c r="AO20" s="19"/>
      <c r="AP20" s="19"/>
      <c r="AQ20" s="19"/>
      <c r="AR20" s="19"/>
      <c r="AS20" s="19"/>
      <c r="AT20" s="19">
        <v>3300</v>
      </c>
      <c r="AU20" s="19">
        <v>15</v>
      </c>
      <c r="AV20" s="19">
        <f>AT20*AU20</f>
        <v>49500</v>
      </c>
      <c r="AW20" s="123">
        <v>70.11</v>
      </c>
      <c r="AX20" s="19">
        <f>AU20*AW20</f>
        <v>1051.6500000000001</v>
      </c>
      <c r="AY20" s="19">
        <f>2*AU20</f>
        <v>30</v>
      </c>
      <c r="AZ20" s="19"/>
      <c r="BA20" s="19"/>
      <c r="BB20" s="19">
        <v>0</v>
      </c>
      <c r="BC20" s="19">
        <v>1</v>
      </c>
      <c r="BD20" s="19">
        <v>2</v>
      </c>
      <c r="BE20" s="19">
        <v>3</v>
      </c>
      <c r="BF20" s="19">
        <v>4</v>
      </c>
      <c r="BG20" s="19">
        <v>5</v>
      </c>
      <c r="BH20" s="19">
        <v>6</v>
      </c>
      <c r="BI20" s="19">
        <v>7</v>
      </c>
      <c r="BJ20" s="19">
        <v>8</v>
      </c>
      <c r="BK20" s="19">
        <v>9</v>
      </c>
      <c r="BL20" s="19">
        <v>10</v>
      </c>
      <c r="BM20" s="19">
        <v>11</v>
      </c>
      <c r="BN20" s="19">
        <v>12</v>
      </c>
      <c r="BO20" s="19">
        <v>13</v>
      </c>
      <c r="BP20" s="19">
        <v>14</v>
      </c>
      <c r="BQ20" s="19">
        <v>15</v>
      </c>
      <c r="BR20" s="19">
        <v>16</v>
      </c>
      <c r="BS20" s="19">
        <v>17</v>
      </c>
      <c r="BT20" s="19">
        <v>18</v>
      </c>
      <c r="BU20" s="19">
        <v>19</v>
      </c>
      <c r="BV20" s="19">
        <v>20</v>
      </c>
      <c r="BW20" s="19">
        <v>21</v>
      </c>
      <c r="BX20" s="19">
        <v>22</v>
      </c>
      <c r="BY20" s="19">
        <v>23</v>
      </c>
      <c r="BZ20" s="19">
        <v>24</v>
      </c>
      <c r="CA20" s="19">
        <v>25</v>
      </c>
      <c r="CB20" s="19">
        <v>26</v>
      </c>
      <c r="CC20" s="19">
        <v>27</v>
      </c>
      <c r="CD20" s="19">
        <v>28</v>
      </c>
      <c r="CE20" s="19">
        <v>29</v>
      </c>
      <c r="CF20" s="19">
        <v>30</v>
      </c>
      <c r="CG20" s="19">
        <v>31</v>
      </c>
      <c r="CH20" s="19">
        <v>32</v>
      </c>
      <c r="CI20" s="19">
        <v>33</v>
      </c>
      <c r="CJ20" s="19">
        <v>34</v>
      </c>
      <c r="CK20" s="19">
        <v>35</v>
      </c>
      <c r="CL20" s="19">
        <v>36</v>
      </c>
      <c r="CM20" s="19">
        <v>37</v>
      </c>
      <c r="CN20" s="19">
        <v>38</v>
      </c>
      <c r="CO20" s="19">
        <v>39</v>
      </c>
      <c r="CP20" s="19">
        <v>40</v>
      </c>
      <c r="CQ20" s="19">
        <v>41</v>
      </c>
      <c r="CR20" s="19">
        <v>42</v>
      </c>
      <c r="CS20" s="19">
        <v>43</v>
      </c>
      <c r="CT20" s="19">
        <v>44</v>
      </c>
      <c r="CU20" s="19">
        <v>45</v>
      </c>
      <c r="CV20" s="19">
        <v>46</v>
      </c>
      <c r="CW20" s="19">
        <v>47</v>
      </c>
      <c r="CX20" s="19">
        <v>48</v>
      </c>
      <c r="CY20" s="19">
        <v>49</v>
      </c>
      <c r="CZ20" s="19">
        <v>50</v>
      </c>
      <c r="DA20" s="17"/>
      <c r="DB20" s="17">
        <v>19</v>
      </c>
      <c r="DC20" s="17"/>
      <c r="DD20" s="26" t="s">
        <v>327</v>
      </c>
      <c r="DE20" s="19">
        <v>0</v>
      </c>
      <c r="DF20" s="19"/>
      <c r="DG20" s="19"/>
      <c r="DH20" s="19"/>
      <c r="DI20" s="19"/>
      <c r="DJ20" s="19"/>
      <c r="DK20" s="19"/>
      <c r="DL20" s="19"/>
      <c r="DM20" s="19"/>
      <c r="DN20" s="19"/>
      <c r="DO20" s="19"/>
      <c r="DP20" s="19"/>
      <c r="DQ20" s="19"/>
      <c r="DR20" s="19"/>
      <c r="DS20" s="19"/>
      <c r="DT20" s="19"/>
      <c r="DU20" s="19"/>
      <c r="DV20" s="19"/>
      <c r="DW20" s="19"/>
      <c r="DX20" s="19"/>
      <c r="DY20" s="19"/>
      <c r="DZ20" s="19"/>
      <c r="EA20" s="19"/>
      <c r="EB20" s="19"/>
      <c r="EC20" s="19">
        <v>0</v>
      </c>
      <c r="ED20" s="19">
        <v>1</v>
      </c>
      <c r="EE20" s="19">
        <v>2</v>
      </c>
      <c r="EF20" s="19">
        <v>3</v>
      </c>
      <c r="EG20" s="19">
        <v>4</v>
      </c>
      <c r="EH20" s="19">
        <v>5</v>
      </c>
      <c r="EI20" s="19">
        <v>6</v>
      </c>
      <c r="EJ20" s="19">
        <v>7</v>
      </c>
      <c r="EK20" s="19">
        <v>8</v>
      </c>
      <c r="EL20" s="19">
        <v>9</v>
      </c>
      <c r="EM20" s="19">
        <v>10</v>
      </c>
      <c r="EN20" s="19">
        <v>11</v>
      </c>
      <c r="EO20" s="19">
        <v>12</v>
      </c>
      <c r="EP20" s="19">
        <v>13</v>
      </c>
      <c r="EQ20" s="19">
        <v>14</v>
      </c>
      <c r="ER20" s="19">
        <v>15</v>
      </c>
      <c r="ES20" s="19">
        <v>16</v>
      </c>
      <c r="ET20" s="19">
        <v>17</v>
      </c>
      <c r="EU20" s="19">
        <v>18</v>
      </c>
      <c r="EV20" s="19">
        <v>19</v>
      </c>
      <c r="EW20" s="19">
        <v>20</v>
      </c>
      <c r="EX20" s="19">
        <v>21</v>
      </c>
      <c r="EY20" s="19">
        <v>22</v>
      </c>
      <c r="EZ20" s="19">
        <v>23</v>
      </c>
      <c r="FA20" s="19">
        <v>24</v>
      </c>
      <c r="FB20" s="19">
        <v>25</v>
      </c>
      <c r="FC20" s="19">
        <v>26</v>
      </c>
      <c r="FD20" s="19">
        <v>27</v>
      </c>
      <c r="FE20" s="19">
        <v>28</v>
      </c>
      <c r="FF20" s="19">
        <v>29</v>
      </c>
      <c r="FG20" s="19">
        <v>30</v>
      </c>
      <c r="FH20" s="19">
        <v>31</v>
      </c>
      <c r="FI20" s="19">
        <v>32</v>
      </c>
      <c r="FJ20" s="19">
        <v>33</v>
      </c>
      <c r="FK20" s="19">
        <v>34</v>
      </c>
      <c r="FL20" s="19">
        <v>35</v>
      </c>
      <c r="FM20" s="19">
        <v>36</v>
      </c>
      <c r="FN20" s="19">
        <v>37</v>
      </c>
      <c r="FO20" s="19">
        <v>38</v>
      </c>
      <c r="FP20" s="19">
        <v>39</v>
      </c>
      <c r="FQ20" s="19">
        <v>40</v>
      </c>
      <c r="FR20" s="19">
        <v>41</v>
      </c>
      <c r="FS20" s="19">
        <v>42</v>
      </c>
      <c r="FT20" s="19">
        <v>43</v>
      </c>
      <c r="FU20" s="19">
        <v>44</v>
      </c>
      <c r="FV20" s="19">
        <v>45</v>
      </c>
      <c r="FW20" s="19">
        <v>46</v>
      </c>
      <c r="FX20" s="19">
        <v>47</v>
      </c>
      <c r="FY20" s="19">
        <v>48</v>
      </c>
      <c r="FZ20" s="19">
        <v>49</v>
      </c>
      <c r="GA20" s="19">
        <v>50</v>
      </c>
      <c r="GC20" s="19"/>
      <c r="GD20" s="19"/>
      <c r="GE20" s="19"/>
      <c r="GF20" s="19">
        <v>0</v>
      </c>
      <c r="GG20" s="19">
        <v>1</v>
      </c>
      <c r="GH20" s="19">
        <v>2</v>
      </c>
      <c r="GI20" s="19">
        <v>3</v>
      </c>
      <c r="GJ20" s="19">
        <v>4</v>
      </c>
      <c r="GK20" s="19">
        <v>5</v>
      </c>
      <c r="GL20" s="19">
        <v>6</v>
      </c>
      <c r="GM20" s="19">
        <v>7</v>
      </c>
      <c r="GN20" s="19">
        <v>8</v>
      </c>
      <c r="GO20" s="19">
        <v>9</v>
      </c>
      <c r="GP20" s="19">
        <v>10</v>
      </c>
      <c r="GQ20" s="19">
        <v>11</v>
      </c>
      <c r="GR20" s="19">
        <v>12</v>
      </c>
      <c r="GS20" s="19">
        <v>13</v>
      </c>
      <c r="GT20" s="19">
        <v>14</v>
      </c>
      <c r="GU20" s="19">
        <v>15</v>
      </c>
      <c r="GV20" s="19">
        <v>16</v>
      </c>
      <c r="GW20" s="19">
        <v>17</v>
      </c>
      <c r="GX20" s="19">
        <v>18</v>
      </c>
      <c r="GY20" s="19">
        <v>19</v>
      </c>
      <c r="GZ20" s="19">
        <v>20</v>
      </c>
      <c r="HA20" s="19">
        <v>21</v>
      </c>
      <c r="HB20" s="19">
        <v>22</v>
      </c>
      <c r="HC20" s="19">
        <v>23</v>
      </c>
      <c r="HD20" s="19">
        <v>24</v>
      </c>
      <c r="HE20" s="19">
        <v>25</v>
      </c>
      <c r="HF20" s="19">
        <v>26</v>
      </c>
      <c r="HG20" s="19">
        <v>27</v>
      </c>
      <c r="HH20" s="19">
        <v>28</v>
      </c>
      <c r="HI20" s="19">
        <v>29</v>
      </c>
      <c r="HJ20" s="19">
        <v>30</v>
      </c>
      <c r="HK20" s="19">
        <v>31</v>
      </c>
      <c r="HL20" s="19">
        <v>32</v>
      </c>
      <c r="HM20" s="19">
        <v>33</v>
      </c>
      <c r="HN20" s="19">
        <v>34</v>
      </c>
      <c r="HO20" s="19">
        <v>35</v>
      </c>
      <c r="HP20" s="19">
        <v>36</v>
      </c>
      <c r="HQ20" s="19">
        <v>37</v>
      </c>
      <c r="HR20" s="19">
        <v>38</v>
      </c>
      <c r="HS20" s="19">
        <v>39</v>
      </c>
      <c r="HT20" s="19">
        <v>40</v>
      </c>
      <c r="HU20" s="19">
        <v>41</v>
      </c>
      <c r="HV20" s="19">
        <v>42</v>
      </c>
      <c r="HW20" s="19">
        <v>43</v>
      </c>
      <c r="HX20" s="19">
        <v>44</v>
      </c>
      <c r="HY20" s="19">
        <v>45</v>
      </c>
      <c r="HZ20" s="19">
        <v>46</v>
      </c>
      <c r="IA20" s="19">
        <v>47</v>
      </c>
      <c r="IB20" s="19">
        <v>48</v>
      </c>
      <c r="IC20" s="19">
        <v>49</v>
      </c>
      <c r="ID20" s="19">
        <v>50</v>
      </c>
      <c r="IG20" s="20">
        <v>0</v>
      </c>
      <c r="IH20" s="20">
        <v>1</v>
      </c>
      <c r="II20" s="20">
        <v>2</v>
      </c>
      <c r="IJ20" s="20">
        <v>3</v>
      </c>
      <c r="IK20" s="20">
        <v>4</v>
      </c>
      <c r="IL20" s="20">
        <v>5</v>
      </c>
      <c r="IM20" s="20">
        <v>6</v>
      </c>
      <c r="IN20" s="20">
        <v>7</v>
      </c>
      <c r="IO20" s="20">
        <v>8</v>
      </c>
      <c r="IP20" s="20">
        <v>9</v>
      </c>
      <c r="IQ20" s="20">
        <v>10</v>
      </c>
      <c r="IR20" s="20">
        <v>11</v>
      </c>
      <c r="IS20" s="20">
        <v>12</v>
      </c>
      <c r="IT20" s="20">
        <v>13</v>
      </c>
      <c r="IU20" s="20">
        <v>14</v>
      </c>
      <c r="IV20" s="20">
        <v>15</v>
      </c>
      <c r="IW20" s="20">
        <v>16</v>
      </c>
      <c r="IX20" s="20">
        <v>17</v>
      </c>
      <c r="IY20" s="20">
        <v>18</v>
      </c>
      <c r="IZ20" s="20">
        <v>19</v>
      </c>
      <c r="JA20" s="20">
        <v>20</v>
      </c>
      <c r="JB20" s="20">
        <v>21</v>
      </c>
      <c r="JC20" s="20">
        <v>22</v>
      </c>
      <c r="JD20" s="20">
        <v>23</v>
      </c>
      <c r="JE20" s="20">
        <v>24</v>
      </c>
      <c r="JF20" s="20">
        <v>25</v>
      </c>
    </row>
    <row r="21" spans="1:266" x14ac:dyDescent="0.25">
      <c r="A21" s="4"/>
      <c r="B21" s="6"/>
      <c r="C21" s="4"/>
      <c r="D21" s="4"/>
      <c r="E21" s="4"/>
      <c r="F21" s="4"/>
      <c r="G21" s="4"/>
      <c r="H21" s="4"/>
      <c r="I21" s="4"/>
      <c r="J21" s="4"/>
      <c r="K21" s="4"/>
      <c r="L21" s="6" t="s">
        <v>244</v>
      </c>
      <c r="M21" s="14">
        <f>INDEX(cenník!$A$2:$I$568,MATCH($L21,cenník!$B$2:$B$557,0),MATCH(M$2,cenník!$A$1:$I$1,0))</f>
        <v>166794</v>
      </c>
      <c r="N21" s="14" t="str">
        <f>INDEX(cenník!$A$2:$I$568,MATCH($L21,cenník!$B$2:$B$557,0),MATCH(N$2,cenník!$A$1:$I$1,0))</f>
        <v>100ks</v>
      </c>
      <c r="O21" s="14">
        <f>ROUNDUP((O15/100),0)</f>
        <v>0</v>
      </c>
      <c r="P21" s="21">
        <f>INDEX(cenník!$A$2:$I$568,MATCH($L21,cenník!$B$2:$B$557,0),MATCH(P$2,cenník!$A$1:$I$1,0))</f>
        <v>1.38</v>
      </c>
      <c r="Q21" s="21">
        <f>O21*P21</f>
        <v>0</v>
      </c>
      <c r="R21" s="22">
        <f>$E$9</f>
        <v>0</v>
      </c>
      <c r="S21" s="21">
        <f>P21*((100-$E$9)/100)</f>
        <v>1.38</v>
      </c>
      <c r="T21" s="21">
        <f>O21*S21</f>
        <v>0</v>
      </c>
      <c r="U21" s="21">
        <f>INDEX(cenník!$A$2:$I$568,MATCH($L21,cenník!$B$2:$B$557,0),MATCH(U$2,cenník!$A$1:$I$1,0))*O21</f>
        <v>0</v>
      </c>
      <c r="V21" s="19"/>
      <c r="W21" s="28" t="s">
        <v>93</v>
      </c>
      <c r="X21" s="28" t="s">
        <v>113</v>
      </c>
      <c r="Y21" s="220" t="s">
        <v>93</v>
      </c>
      <c r="Z21" s="220"/>
      <c r="AA21" s="220"/>
      <c r="AB21" s="220"/>
      <c r="AC21" s="220"/>
      <c r="AD21" s="220"/>
      <c r="AE21" s="123"/>
      <c r="AF21" s="19"/>
      <c r="AG21" s="19"/>
      <c r="AH21" s="19"/>
      <c r="AI21" s="19"/>
      <c r="AJ21" s="19"/>
      <c r="AK21" s="19"/>
      <c r="AL21" s="19"/>
      <c r="AM21" s="19">
        <f>(INDEX(($BB$3:$CA$17,$BB$21:$CA$34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$161),MATCH($L$8,$BA$3:$BA$17,0),MATCH(A2,$BB$2:$CA$2,0),MATCH($W$2,$AH$22:$AH$43,0)))*C2</f>
        <v>0</v>
      </c>
      <c r="AN21" s="19"/>
      <c r="AO21" s="19"/>
      <c r="AP21" s="19"/>
      <c r="AQ21" s="19"/>
      <c r="AR21" s="19"/>
      <c r="AS21" s="19"/>
      <c r="AT21" s="19" t="s">
        <v>87</v>
      </c>
      <c r="AU21" s="19">
        <f>((((SUM(AU19:AU20)))-1))*2</f>
        <v>30</v>
      </c>
      <c r="AV21" s="123">
        <v>3.92</v>
      </c>
      <c r="AW21" s="123"/>
      <c r="AX21" s="19">
        <f>AU21*AV21</f>
        <v>117.6</v>
      </c>
      <c r="AY21" s="19">
        <f>AU21</f>
        <v>30</v>
      </c>
      <c r="AZ21" s="19"/>
      <c r="BA21" s="19" t="s">
        <v>63</v>
      </c>
      <c r="BB21" s="19">
        <v>0</v>
      </c>
      <c r="BC21" s="19">
        <v>2</v>
      </c>
      <c r="BD21" s="19">
        <v>0</v>
      </c>
      <c r="BE21" s="19">
        <v>0</v>
      </c>
      <c r="BF21" s="19">
        <v>0</v>
      </c>
      <c r="BG21" s="19">
        <v>0</v>
      </c>
      <c r="BH21" s="19">
        <v>0</v>
      </c>
      <c r="BI21" s="19">
        <v>0</v>
      </c>
      <c r="BJ21" s="19">
        <v>0</v>
      </c>
      <c r="BK21" s="19">
        <v>0</v>
      </c>
      <c r="BL21" s="19">
        <v>0</v>
      </c>
      <c r="BM21" s="19">
        <v>0</v>
      </c>
      <c r="BN21" s="19">
        <v>0</v>
      </c>
      <c r="BO21" s="19">
        <v>0</v>
      </c>
      <c r="BP21" s="19">
        <v>0</v>
      </c>
      <c r="BQ21" s="19">
        <v>0</v>
      </c>
      <c r="BR21" s="19">
        <v>0</v>
      </c>
      <c r="BS21" s="19">
        <v>0</v>
      </c>
      <c r="BT21" s="19">
        <v>0</v>
      </c>
      <c r="BU21" s="19">
        <v>0</v>
      </c>
      <c r="BV21" s="19">
        <v>0</v>
      </c>
      <c r="BW21" s="19">
        <v>0</v>
      </c>
      <c r="BX21" s="19">
        <v>0</v>
      </c>
      <c r="BY21" s="19">
        <v>0</v>
      </c>
      <c r="BZ21" s="19">
        <v>0</v>
      </c>
      <c r="CA21" s="19">
        <v>0</v>
      </c>
      <c r="CB21" s="19">
        <v>0</v>
      </c>
      <c r="CC21" s="19">
        <v>0</v>
      </c>
      <c r="CD21" s="19">
        <v>0</v>
      </c>
      <c r="CE21" s="19">
        <v>0</v>
      </c>
      <c r="CF21" s="19">
        <v>0</v>
      </c>
      <c r="CG21" s="19">
        <v>0</v>
      </c>
      <c r="CH21" s="19">
        <v>0</v>
      </c>
      <c r="CI21" s="19">
        <v>0</v>
      </c>
      <c r="CJ21" s="19">
        <v>0</v>
      </c>
      <c r="CK21" s="19">
        <v>0</v>
      </c>
      <c r="CL21" s="19">
        <v>0</v>
      </c>
      <c r="CM21" s="19">
        <v>2</v>
      </c>
      <c r="CN21" s="19">
        <v>0</v>
      </c>
      <c r="CO21" s="19">
        <v>0</v>
      </c>
      <c r="CP21" s="19">
        <v>0</v>
      </c>
      <c r="CQ21" s="19">
        <v>0</v>
      </c>
      <c r="CR21" s="19">
        <v>0</v>
      </c>
      <c r="CS21" s="19">
        <v>0</v>
      </c>
      <c r="CT21" s="19">
        <v>0</v>
      </c>
      <c r="CU21" s="19">
        <v>0</v>
      </c>
      <c r="CV21" s="19">
        <v>0</v>
      </c>
      <c r="CW21" s="19">
        <v>2</v>
      </c>
      <c r="CX21" s="19">
        <v>0</v>
      </c>
      <c r="CY21" s="19">
        <v>0</v>
      </c>
      <c r="CZ21" s="19">
        <v>0</v>
      </c>
      <c r="DA21" s="17"/>
      <c r="DB21" s="17">
        <v>20</v>
      </c>
      <c r="DC21" s="17"/>
      <c r="DD21" s="26" t="s">
        <v>328</v>
      </c>
      <c r="DE21" s="19">
        <v>0</v>
      </c>
      <c r="DF21" s="19"/>
      <c r="DG21" s="19"/>
      <c r="DH21" s="19"/>
      <c r="DI21" s="19"/>
      <c r="DJ21" s="19"/>
      <c r="DK21" s="19"/>
      <c r="DL21" s="19"/>
      <c r="DM21" s="19"/>
      <c r="DN21" s="19"/>
      <c r="DO21" s="19"/>
      <c r="DP21" s="19"/>
      <c r="DQ21" s="19"/>
      <c r="DR21" s="19"/>
      <c r="DS21" s="19"/>
      <c r="DT21" s="19"/>
      <c r="DU21" s="19"/>
      <c r="DV21" s="19"/>
      <c r="DW21" s="19"/>
      <c r="DX21" s="19"/>
      <c r="DY21" s="19"/>
      <c r="DZ21" s="19"/>
      <c r="EA21" s="19"/>
      <c r="EB21" s="19" t="s">
        <v>63</v>
      </c>
      <c r="EC21" s="19">
        <v>0</v>
      </c>
      <c r="ED21" s="19">
        <v>0</v>
      </c>
      <c r="EE21" s="19">
        <v>0</v>
      </c>
      <c r="EF21" s="19">
        <v>0</v>
      </c>
      <c r="EG21" s="19">
        <v>0</v>
      </c>
      <c r="EH21" s="19">
        <v>0</v>
      </c>
      <c r="EI21" s="19">
        <v>0</v>
      </c>
      <c r="EJ21" s="19">
        <v>0</v>
      </c>
      <c r="EK21" s="19">
        <v>0</v>
      </c>
      <c r="EL21" s="19">
        <v>0</v>
      </c>
      <c r="EM21" s="19">
        <v>0</v>
      </c>
      <c r="EN21" s="19">
        <v>0</v>
      </c>
      <c r="EO21" s="19">
        <v>0</v>
      </c>
      <c r="EP21" s="19">
        <v>0</v>
      </c>
      <c r="EQ21" s="19">
        <v>0</v>
      </c>
      <c r="ER21" s="19">
        <v>0</v>
      </c>
      <c r="ES21" s="19">
        <v>0</v>
      </c>
      <c r="ET21" s="19">
        <v>0</v>
      </c>
      <c r="EU21" s="19">
        <v>0</v>
      </c>
      <c r="EV21" s="19">
        <v>0</v>
      </c>
      <c r="EW21" s="19">
        <v>0</v>
      </c>
      <c r="EX21" s="19">
        <v>0</v>
      </c>
      <c r="EY21" s="19">
        <v>0</v>
      </c>
      <c r="EZ21" s="19">
        <v>0</v>
      </c>
      <c r="FA21" s="19">
        <v>0</v>
      </c>
      <c r="FB21" s="19">
        <v>0</v>
      </c>
      <c r="FC21" s="19">
        <v>0</v>
      </c>
      <c r="FD21" s="19">
        <v>0</v>
      </c>
      <c r="FE21" s="19">
        <v>0</v>
      </c>
      <c r="FF21" s="19">
        <v>0</v>
      </c>
      <c r="FG21" s="19">
        <v>0</v>
      </c>
      <c r="FH21" s="19">
        <v>0</v>
      </c>
      <c r="FI21" s="19">
        <v>0</v>
      </c>
      <c r="FJ21" s="19">
        <v>0</v>
      </c>
      <c r="FK21" s="19">
        <v>0</v>
      </c>
      <c r="FL21" s="19">
        <v>0</v>
      </c>
      <c r="FM21" s="19">
        <v>0</v>
      </c>
      <c r="FN21" s="19">
        <v>2</v>
      </c>
      <c r="FO21" s="19">
        <v>0</v>
      </c>
      <c r="FP21" s="19">
        <v>0</v>
      </c>
      <c r="FQ21" s="19">
        <v>0</v>
      </c>
      <c r="FR21" s="19">
        <v>0</v>
      </c>
      <c r="FS21" s="19">
        <v>0</v>
      </c>
      <c r="FT21" s="19">
        <v>0</v>
      </c>
      <c r="FU21" s="19">
        <v>0</v>
      </c>
      <c r="FV21" s="19">
        <v>0</v>
      </c>
      <c r="FW21" s="19">
        <v>0</v>
      </c>
      <c r="FX21" s="19">
        <v>0</v>
      </c>
      <c r="FY21" s="19">
        <v>0</v>
      </c>
      <c r="FZ21" s="19">
        <v>0</v>
      </c>
      <c r="GA21" s="19">
        <v>0</v>
      </c>
      <c r="GC21" s="19"/>
      <c r="GD21" s="19"/>
      <c r="GE21" s="19" t="s">
        <v>63</v>
      </c>
      <c r="GF21" s="19">
        <v>0</v>
      </c>
      <c r="GG21" s="19">
        <v>0</v>
      </c>
      <c r="GH21" s="19">
        <v>0</v>
      </c>
      <c r="GI21" s="19">
        <v>0</v>
      </c>
      <c r="GJ21" s="19">
        <v>0</v>
      </c>
      <c r="GK21" s="19">
        <v>2</v>
      </c>
      <c r="GL21" s="19">
        <v>0</v>
      </c>
      <c r="GM21" s="19">
        <v>0</v>
      </c>
      <c r="GN21" s="19">
        <v>0</v>
      </c>
      <c r="GO21" s="19">
        <v>0</v>
      </c>
      <c r="GP21" s="19">
        <v>0</v>
      </c>
      <c r="GQ21" s="19">
        <v>0</v>
      </c>
      <c r="GR21" s="19">
        <v>0</v>
      </c>
      <c r="GS21" s="19">
        <v>0</v>
      </c>
      <c r="GT21" s="19">
        <v>0</v>
      </c>
      <c r="GU21" s="19">
        <v>0</v>
      </c>
      <c r="GV21" s="19">
        <v>0</v>
      </c>
      <c r="GW21" s="19">
        <v>2</v>
      </c>
      <c r="GX21" s="19">
        <v>0</v>
      </c>
      <c r="GY21" s="19">
        <v>0</v>
      </c>
      <c r="GZ21" s="19">
        <v>0</v>
      </c>
      <c r="HA21" s="19">
        <v>0</v>
      </c>
      <c r="HB21" s="19">
        <v>0</v>
      </c>
      <c r="HC21" s="19">
        <v>0</v>
      </c>
      <c r="HD21" s="19">
        <v>0</v>
      </c>
      <c r="HE21" s="19">
        <v>0</v>
      </c>
      <c r="HF21" s="19">
        <v>0</v>
      </c>
      <c r="HG21" s="19">
        <v>0</v>
      </c>
      <c r="HH21" s="19">
        <v>0</v>
      </c>
      <c r="HI21" s="19">
        <v>0</v>
      </c>
      <c r="HJ21" s="19">
        <v>0</v>
      </c>
      <c r="HK21" s="19">
        <v>0</v>
      </c>
      <c r="HL21" s="19">
        <v>2</v>
      </c>
      <c r="HM21" s="19">
        <v>0</v>
      </c>
      <c r="HN21" s="19">
        <v>0</v>
      </c>
      <c r="HO21" s="19">
        <v>0</v>
      </c>
      <c r="HP21" s="19">
        <v>0</v>
      </c>
      <c r="HQ21" s="19">
        <v>0</v>
      </c>
      <c r="HR21" s="19">
        <v>0</v>
      </c>
      <c r="HS21" s="19">
        <v>0</v>
      </c>
      <c r="HT21" s="19">
        <v>0</v>
      </c>
      <c r="HU21" s="19">
        <v>0</v>
      </c>
      <c r="HV21" s="19">
        <v>0</v>
      </c>
      <c r="HW21" s="19">
        <v>0</v>
      </c>
      <c r="HX21" s="19">
        <v>0</v>
      </c>
      <c r="HY21" s="19">
        <v>0</v>
      </c>
      <c r="HZ21" s="19">
        <v>0</v>
      </c>
      <c r="IA21" s="19">
        <v>2</v>
      </c>
      <c r="IB21" s="19">
        <v>0</v>
      </c>
      <c r="IC21" s="19">
        <v>0</v>
      </c>
      <c r="ID21" s="19">
        <v>0</v>
      </c>
      <c r="IF21" s="20" t="s">
        <v>63</v>
      </c>
      <c r="IG21" s="20">
        <v>0</v>
      </c>
      <c r="IH21" s="20">
        <v>0</v>
      </c>
      <c r="II21" s="20">
        <v>0</v>
      </c>
      <c r="IJ21" s="20">
        <v>0</v>
      </c>
      <c r="IK21" s="20">
        <v>0</v>
      </c>
      <c r="IL21" s="20">
        <v>0</v>
      </c>
      <c r="IM21" s="20">
        <v>0</v>
      </c>
      <c r="IN21" s="20">
        <v>0</v>
      </c>
      <c r="IO21" s="20">
        <v>0</v>
      </c>
      <c r="IP21" s="20">
        <v>0</v>
      </c>
      <c r="IQ21" s="20">
        <v>0</v>
      </c>
      <c r="IR21" s="20">
        <v>0</v>
      </c>
      <c r="IS21" s="20">
        <v>0</v>
      </c>
      <c r="IT21" s="20">
        <v>0</v>
      </c>
      <c r="IU21" s="20">
        <v>0</v>
      </c>
      <c r="IV21" s="20">
        <v>0</v>
      </c>
      <c r="IW21" s="20">
        <v>0</v>
      </c>
      <c r="IX21" s="20">
        <v>0</v>
      </c>
      <c r="IY21" s="20">
        <v>0</v>
      </c>
      <c r="IZ21" s="20">
        <v>0</v>
      </c>
      <c r="JA21" s="20">
        <v>0</v>
      </c>
      <c r="JB21" s="20">
        <v>0</v>
      </c>
      <c r="JC21" s="20">
        <v>0</v>
      </c>
      <c r="JD21" s="20">
        <v>0</v>
      </c>
      <c r="JE21" s="20">
        <v>0</v>
      </c>
      <c r="JF21" s="20">
        <v>0</v>
      </c>
    </row>
    <row r="22" spans="1:266" x14ac:dyDescent="0.25">
      <c r="A22" s="4"/>
      <c r="B22" s="6"/>
      <c r="C22" s="4"/>
      <c r="D22" s="4"/>
      <c r="E22" s="4"/>
      <c r="F22" s="4"/>
      <c r="G22" s="4"/>
      <c r="H22" s="4"/>
      <c r="I22" s="4"/>
      <c r="J22" s="4"/>
      <c r="K22" s="4"/>
      <c r="L22" s="4"/>
      <c r="M22" s="14"/>
      <c r="N22" s="4"/>
      <c r="O22" s="4"/>
      <c r="P22" s="4"/>
      <c r="Q22" s="4"/>
      <c r="R22" s="4"/>
      <c r="S22" s="4"/>
      <c r="T22" s="21">
        <f>SUM(T3:T21)</f>
        <v>0</v>
      </c>
      <c r="U22" s="21">
        <f>SUM(U3:U21)</f>
        <v>0</v>
      </c>
      <c r="V22" s="19"/>
      <c r="W22" s="25" t="str">
        <f>IF(E27="vertikálne",G25,IF(E27="horizontálne",E25,0))</f>
        <v>1000-1050</v>
      </c>
      <c r="X22" s="25">
        <f t="shared" ref="X22:X37" si="7">(((IF($E$27=$AB$1,(IF(A24=0,0,IF(A24&gt;0,IF((((INT(((A24*$W$24)+((A24-1)*20)+80)/$E$26))-1)*$E$26)+500&gt;=((A24*$W$24)+((A24-1)*20)+80),(INT(((A24*$W$24)+((A24-1)*20)+80)/$E$26))*2,((INT(((A24*$W$24)+((A24-1)*20)+80)/$E$26))+1)*2)))),IF($E$27=$AB$2,(IF(A24=0,0,IF(A24&gt;0,IF((((INT(((A24*$W$25)+((A24-1)*20)+80)/$E$26))-1)*$E$26)+500&gt;=((A24*$W$25)+((A24-1)*20)+80),(INT(((A24*$W$25)+((A24-1)*20)+80)/$E$26))*2,((INT(((A24*$W$25)+((A24-1)*20)+80)/$E$26))+1)*2)))))))+4)*C24)</f>
        <v>0</v>
      </c>
      <c r="Y22" s="28" t="s">
        <v>94</v>
      </c>
      <c r="Z22" s="28">
        <v>1.1499999999999999</v>
      </c>
      <c r="AA22" s="28">
        <v>2.1</v>
      </c>
      <c r="AB22" s="28">
        <v>2.2000000000000002</v>
      </c>
      <c r="AC22" s="28">
        <v>3.15</v>
      </c>
      <c r="AD22" s="28">
        <v>3.3</v>
      </c>
      <c r="AE22" s="19"/>
      <c r="AF22" s="19" t="s">
        <v>167</v>
      </c>
      <c r="AG22" s="19"/>
      <c r="AH22" s="19" t="s">
        <v>59</v>
      </c>
      <c r="AI22" s="19"/>
      <c r="AJ22" s="19">
        <v>1000</v>
      </c>
      <c r="AK22" s="19" t="s">
        <v>469</v>
      </c>
      <c r="AL22" s="19"/>
      <c r="AM22" s="19"/>
      <c r="AN22" s="19"/>
      <c r="AO22" s="19"/>
      <c r="AP22" s="19"/>
      <c r="AQ22" s="19"/>
      <c r="AR22" s="19"/>
      <c r="AS22" s="19"/>
      <c r="AT22" s="19"/>
      <c r="AU22" s="19"/>
      <c r="AV22" s="19">
        <f>SUM(AV19:AV20)</f>
        <v>51700</v>
      </c>
      <c r="AW22" s="19"/>
      <c r="AX22" s="19">
        <f>SUM(AX19:AX21)</f>
        <v>1215.98</v>
      </c>
      <c r="AY22" s="19"/>
      <c r="AZ22" s="19"/>
      <c r="BA22" s="19" t="s">
        <v>11</v>
      </c>
      <c r="BB22" s="19">
        <v>0</v>
      </c>
      <c r="BC22" s="19">
        <v>0</v>
      </c>
      <c r="BD22" s="19">
        <v>0</v>
      </c>
      <c r="BE22" s="19">
        <v>0</v>
      </c>
      <c r="BF22" s="19">
        <v>0</v>
      </c>
      <c r="BG22" s="19">
        <v>0</v>
      </c>
      <c r="BH22" s="19">
        <v>0</v>
      </c>
      <c r="BI22" s="19">
        <v>0</v>
      </c>
      <c r="BJ22" s="19">
        <v>2</v>
      </c>
      <c r="BK22" s="19">
        <v>0</v>
      </c>
      <c r="BL22" s="19">
        <v>0</v>
      </c>
      <c r="BM22" s="19">
        <v>0</v>
      </c>
      <c r="BN22" s="19">
        <v>0</v>
      </c>
      <c r="BO22" s="19">
        <v>4</v>
      </c>
      <c r="BP22" s="19">
        <v>2</v>
      </c>
      <c r="BQ22" s="19">
        <v>0</v>
      </c>
      <c r="BR22" s="19">
        <v>2</v>
      </c>
      <c r="BS22" s="19">
        <v>0</v>
      </c>
      <c r="BT22" s="19">
        <v>0</v>
      </c>
      <c r="BU22" s="19">
        <v>4</v>
      </c>
      <c r="BV22" s="19">
        <v>2</v>
      </c>
      <c r="BW22" s="19">
        <v>0</v>
      </c>
      <c r="BX22" s="19">
        <v>0</v>
      </c>
      <c r="BY22" s="19">
        <v>2</v>
      </c>
      <c r="BZ22" s="19">
        <v>0</v>
      </c>
      <c r="CA22" s="19">
        <v>0</v>
      </c>
      <c r="CB22" s="19">
        <v>0</v>
      </c>
      <c r="CC22" s="19">
        <v>0</v>
      </c>
      <c r="CD22" s="19">
        <v>4</v>
      </c>
      <c r="CE22" s="19">
        <v>2</v>
      </c>
      <c r="CF22" s="19">
        <v>0</v>
      </c>
      <c r="CG22" s="19">
        <v>2</v>
      </c>
      <c r="CH22" s="19">
        <v>0</v>
      </c>
      <c r="CI22" s="19">
        <v>0</v>
      </c>
      <c r="CJ22" s="19">
        <v>2</v>
      </c>
      <c r="CK22" s="19">
        <v>0</v>
      </c>
      <c r="CL22" s="19">
        <v>0</v>
      </c>
      <c r="CM22" s="19">
        <v>0</v>
      </c>
      <c r="CN22" s="19">
        <v>0</v>
      </c>
      <c r="CO22" s="19">
        <v>0</v>
      </c>
      <c r="CP22" s="19">
        <v>0</v>
      </c>
      <c r="CQ22" s="19">
        <v>0</v>
      </c>
      <c r="CR22" s="19">
        <v>0</v>
      </c>
      <c r="CS22" s="19">
        <v>0</v>
      </c>
      <c r="CT22" s="19">
        <v>0</v>
      </c>
      <c r="CU22" s="19">
        <v>0</v>
      </c>
      <c r="CV22" s="19">
        <v>0</v>
      </c>
      <c r="CW22" s="19">
        <v>0</v>
      </c>
      <c r="CX22" s="19">
        <v>0</v>
      </c>
      <c r="CY22" s="19">
        <v>0</v>
      </c>
      <c r="CZ22" s="19">
        <v>0</v>
      </c>
      <c r="DA22" s="17"/>
      <c r="DB22" s="17">
        <v>21</v>
      </c>
      <c r="DC22" s="17"/>
      <c r="DD22" s="19"/>
      <c r="DE22" s="19"/>
      <c r="DF22" s="19"/>
      <c r="DG22" s="19"/>
      <c r="DH22" s="19"/>
      <c r="DI22" s="19"/>
      <c r="DJ22" s="19"/>
      <c r="DK22" s="19"/>
      <c r="DL22" s="19"/>
      <c r="DM22" s="19"/>
      <c r="DN22" s="19"/>
      <c r="DO22" s="19"/>
      <c r="DP22" s="19"/>
      <c r="DQ22" s="19"/>
      <c r="DR22" s="19"/>
      <c r="DS22" s="19"/>
      <c r="DT22" s="19"/>
      <c r="DU22" s="19"/>
      <c r="DV22" s="19"/>
      <c r="DW22" s="19"/>
      <c r="DX22" s="19"/>
      <c r="DY22" s="19"/>
      <c r="DZ22" s="19"/>
      <c r="EA22" s="19"/>
      <c r="EB22" s="19" t="s">
        <v>11</v>
      </c>
      <c r="EC22" s="19">
        <v>0</v>
      </c>
      <c r="ED22" s="19">
        <v>2</v>
      </c>
      <c r="EE22" s="19">
        <v>4</v>
      </c>
      <c r="EF22" s="19">
        <v>2</v>
      </c>
      <c r="EG22" s="19">
        <v>4</v>
      </c>
      <c r="EH22" s="19">
        <v>2</v>
      </c>
      <c r="EI22" s="19">
        <v>4</v>
      </c>
      <c r="EJ22" s="19">
        <v>0</v>
      </c>
      <c r="EK22" s="19">
        <v>4</v>
      </c>
      <c r="EL22" s="19">
        <v>0</v>
      </c>
      <c r="EM22" s="19">
        <v>4</v>
      </c>
      <c r="EN22" s="19">
        <v>0</v>
      </c>
      <c r="EO22" s="19">
        <v>4</v>
      </c>
      <c r="EP22" s="19">
        <v>0</v>
      </c>
      <c r="EQ22" s="19">
        <v>0</v>
      </c>
      <c r="ER22" s="19">
        <v>0</v>
      </c>
      <c r="ES22" s="19">
        <v>0</v>
      </c>
      <c r="ET22" s="19">
        <v>0</v>
      </c>
      <c r="EU22" s="19">
        <v>0</v>
      </c>
      <c r="EV22" s="19">
        <v>0</v>
      </c>
      <c r="EW22" s="19">
        <v>0</v>
      </c>
      <c r="EX22" s="19">
        <v>0</v>
      </c>
      <c r="EY22" s="19">
        <v>0</v>
      </c>
      <c r="EZ22" s="19">
        <v>0</v>
      </c>
      <c r="FA22" s="19">
        <v>0</v>
      </c>
      <c r="FB22" s="19">
        <v>0</v>
      </c>
      <c r="FC22" s="19">
        <v>0</v>
      </c>
      <c r="FD22" s="19">
        <v>4</v>
      </c>
      <c r="FE22" s="19">
        <v>0</v>
      </c>
      <c r="FF22" s="19">
        <v>0</v>
      </c>
      <c r="FG22" s="19">
        <v>0</v>
      </c>
      <c r="FH22" s="19">
        <v>0</v>
      </c>
      <c r="FI22" s="19">
        <v>0</v>
      </c>
      <c r="FJ22" s="19">
        <v>0</v>
      </c>
      <c r="FK22" s="19">
        <v>0</v>
      </c>
      <c r="FL22" s="19">
        <v>0</v>
      </c>
      <c r="FM22" s="19">
        <v>0</v>
      </c>
      <c r="FN22" s="19">
        <v>0</v>
      </c>
      <c r="FO22" s="19">
        <v>0</v>
      </c>
      <c r="FP22" s="19">
        <v>0</v>
      </c>
      <c r="FQ22" s="19">
        <v>0</v>
      </c>
      <c r="FR22" s="19">
        <v>0</v>
      </c>
      <c r="FS22" s="19">
        <v>0</v>
      </c>
      <c r="FT22" s="19">
        <v>0</v>
      </c>
      <c r="FU22" s="19">
        <v>0</v>
      </c>
      <c r="FV22" s="19">
        <v>0</v>
      </c>
      <c r="FW22" s="19">
        <v>0</v>
      </c>
      <c r="FX22" s="19">
        <v>0</v>
      </c>
      <c r="FY22" s="19">
        <v>0</v>
      </c>
      <c r="FZ22" s="19">
        <v>0</v>
      </c>
      <c r="GA22" s="19">
        <v>0</v>
      </c>
      <c r="GC22" s="19"/>
      <c r="GD22" s="19"/>
      <c r="GE22" s="19" t="s">
        <v>11</v>
      </c>
      <c r="GF22" s="19">
        <v>0</v>
      </c>
      <c r="GG22" s="19">
        <v>2</v>
      </c>
      <c r="GH22" s="19">
        <v>4</v>
      </c>
      <c r="GI22" s="19">
        <v>0</v>
      </c>
      <c r="GJ22" s="19">
        <v>2</v>
      </c>
      <c r="GK22" s="19">
        <v>0</v>
      </c>
      <c r="GL22" s="19">
        <v>2</v>
      </c>
      <c r="GM22" s="19">
        <v>0</v>
      </c>
      <c r="GN22" s="19">
        <v>0</v>
      </c>
      <c r="GO22" s="19">
        <v>0</v>
      </c>
      <c r="GP22" s="19">
        <v>0</v>
      </c>
      <c r="GQ22" s="19">
        <v>2</v>
      </c>
      <c r="GR22" s="19">
        <v>4</v>
      </c>
      <c r="GS22" s="19">
        <v>0</v>
      </c>
      <c r="GT22" s="19">
        <v>2</v>
      </c>
      <c r="GU22" s="19">
        <v>0</v>
      </c>
      <c r="GV22" s="19">
        <v>0</v>
      </c>
      <c r="GW22" s="19">
        <v>0</v>
      </c>
      <c r="GX22" s="19">
        <v>0</v>
      </c>
      <c r="GY22" s="19">
        <v>0</v>
      </c>
      <c r="GZ22" s="19">
        <v>0</v>
      </c>
      <c r="HA22" s="19">
        <v>0</v>
      </c>
      <c r="HB22" s="19">
        <v>0</v>
      </c>
      <c r="HC22" s="19">
        <v>0</v>
      </c>
      <c r="HD22" s="19">
        <v>0</v>
      </c>
      <c r="HE22" s="19">
        <v>0</v>
      </c>
      <c r="HF22" s="19">
        <v>0</v>
      </c>
      <c r="HG22" s="19">
        <v>4</v>
      </c>
      <c r="HH22" s="19">
        <v>0</v>
      </c>
      <c r="HI22" s="19">
        <v>0</v>
      </c>
      <c r="HJ22" s="19">
        <v>0</v>
      </c>
      <c r="HK22" s="19">
        <v>0</v>
      </c>
      <c r="HL22" s="19">
        <v>0</v>
      </c>
      <c r="HM22" s="19">
        <v>0</v>
      </c>
      <c r="HN22" s="19">
        <v>0</v>
      </c>
      <c r="HO22" s="19">
        <v>0</v>
      </c>
      <c r="HP22" s="19">
        <v>0</v>
      </c>
      <c r="HQ22" s="19">
        <v>0</v>
      </c>
      <c r="HR22" s="19">
        <v>0</v>
      </c>
      <c r="HS22" s="19">
        <v>0</v>
      </c>
      <c r="HT22" s="19">
        <v>0</v>
      </c>
      <c r="HU22" s="19">
        <v>0</v>
      </c>
      <c r="HV22" s="19">
        <v>4</v>
      </c>
      <c r="HW22" s="19">
        <v>0</v>
      </c>
      <c r="HX22" s="19">
        <v>0</v>
      </c>
      <c r="HY22" s="19">
        <v>0</v>
      </c>
      <c r="HZ22" s="19">
        <v>0</v>
      </c>
      <c r="IA22" s="19">
        <v>0</v>
      </c>
      <c r="IB22" s="19">
        <v>0</v>
      </c>
      <c r="IC22" s="19">
        <v>0</v>
      </c>
      <c r="ID22" s="19">
        <v>0</v>
      </c>
      <c r="IF22" s="20" t="s">
        <v>11</v>
      </c>
      <c r="IG22" s="20">
        <v>0</v>
      </c>
      <c r="IH22" s="20">
        <v>0</v>
      </c>
      <c r="II22" s="20">
        <v>2</v>
      </c>
      <c r="IJ22" s="20">
        <v>4</v>
      </c>
      <c r="IK22" s="20">
        <v>0</v>
      </c>
      <c r="IL22" s="20">
        <v>0</v>
      </c>
      <c r="IM22" s="20">
        <v>2</v>
      </c>
      <c r="IN22" s="20">
        <v>0</v>
      </c>
      <c r="IO22" s="20">
        <v>0</v>
      </c>
      <c r="IP22" s="20">
        <v>0</v>
      </c>
      <c r="IQ22" s="20">
        <v>2</v>
      </c>
      <c r="IR22" s="20">
        <v>2</v>
      </c>
      <c r="IS22" s="20">
        <v>0</v>
      </c>
      <c r="IT22" s="20">
        <v>0</v>
      </c>
      <c r="IU22" s="20">
        <v>2</v>
      </c>
      <c r="IV22" s="20">
        <v>2</v>
      </c>
      <c r="IW22" s="20">
        <v>0</v>
      </c>
      <c r="IX22" s="20">
        <v>0</v>
      </c>
      <c r="IY22" s="20">
        <v>0</v>
      </c>
      <c r="IZ22" s="20">
        <v>0</v>
      </c>
      <c r="JA22" s="20">
        <v>0</v>
      </c>
      <c r="JB22" s="20">
        <v>0</v>
      </c>
      <c r="JC22" s="20">
        <v>0</v>
      </c>
      <c r="JD22" s="20">
        <v>0</v>
      </c>
      <c r="JE22" s="20">
        <v>0</v>
      </c>
      <c r="JF22" s="20">
        <v>0</v>
      </c>
    </row>
    <row r="23" spans="1:266" ht="39" x14ac:dyDescent="0.25">
      <c r="A23" s="3" t="s">
        <v>549</v>
      </c>
      <c r="B23" s="6"/>
      <c r="C23" s="3" t="s">
        <v>550</v>
      </c>
      <c r="D23" s="4"/>
      <c r="E23" s="4"/>
      <c r="F23" s="4"/>
      <c r="G23" s="4"/>
      <c r="H23" s="4"/>
      <c r="I23" s="4"/>
      <c r="J23" s="4"/>
      <c r="K23" s="4"/>
      <c r="L23" s="221" t="str">
        <f>IF(E27="vertikálne","KONŠTRUKCIA DS-V2N",IF(E27="horizontálne","KONŠTRUKCIA DS-H2N"))</f>
        <v>KONŠTRUKCIA DS-V2N</v>
      </c>
      <c r="M23" s="221"/>
      <c r="N23" s="221"/>
      <c r="O23" s="221"/>
      <c r="P23" s="221"/>
      <c r="Q23" s="221"/>
      <c r="R23" s="221"/>
      <c r="S23" s="221"/>
      <c r="T23" s="221"/>
      <c r="U23" s="221"/>
      <c r="V23" s="19"/>
      <c r="W23" s="25"/>
      <c r="X23" s="25">
        <f t="shared" si="7"/>
        <v>0</v>
      </c>
      <c r="Y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24,$BB$2:$CA$2,0),MATCH($W$22,$AH$22:$AH$47,0)))*C24</f>
        <v>0</v>
      </c>
      <c r="Z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24,$BB$2:$CA$2,0),MATCH($W$22,$AH$22:$AH$47,0)))*C24</f>
        <v>0</v>
      </c>
      <c r="AA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24,$BB$2:$CA$2,0),MATCH($W$22,$AH$22:$AH$47,0)))*C24</f>
        <v>0</v>
      </c>
      <c r="AB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24,$BB$2:$CA$2,0),MATCH($W$22,$AH$22:$AH$47,0)))*C24</f>
        <v>0</v>
      </c>
      <c r="AC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24,$BB$2:$CA$2,0),MATCH($W$22,$AH$22:$AH$47,0)))*C24</f>
        <v>0</v>
      </c>
      <c r="AD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24,$BB$2:$CA$2,0),MATCH($W$22,$AH$22:$AH$47,0)))*C24</f>
        <v>0</v>
      </c>
      <c r="AE23" s="19"/>
      <c r="AF23" s="19" t="s">
        <v>168</v>
      </c>
      <c r="AG23" s="19"/>
      <c r="AH23" s="19" t="s">
        <v>60</v>
      </c>
      <c r="AI23" s="19"/>
      <c r="AJ23" s="19">
        <v>1050</v>
      </c>
      <c r="AK23" s="19" t="s">
        <v>470</v>
      </c>
      <c r="AL23" s="19"/>
      <c r="AM23" s="19"/>
      <c r="AN23" s="19"/>
      <c r="AO23" s="19"/>
      <c r="AP23" s="19"/>
      <c r="AQ23" s="19"/>
      <c r="AR23" s="19"/>
      <c r="AS23" s="19"/>
      <c r="AZ23" s="19"/>
      <c r="BA23" s="19" t="s">
        <v>64</v>
      </c>
      <c r="BB23" s="19">
        <v>0</v>
      </c>
      <c r="BC23" s="19">
        <v>0</v>
      </c>
      <c r="BD23" s="19">
        <v>2</v>
      </c>
      <c r="BE23" s="19">
        <v>0</v>
      </c>
      <c r="BF23" s="19">
        <v>4</v>
      </c>
      <c r="BG23" s="19">
        <v>2</v>
      </c>
      <c r="BH23" s="19">
        <v>0</v>
      </c>
      <c r="BI23" s="19">
        <v>4</v>
      </c>
      <c r="BJ23" s="19">
        <v>0</v>
      </c>
      <c r="BK23" s="19">
        <v>0</v>
      </c>
      <c r="BL23" s="19">
        <v>4</v>
      </c>
      <c r="BM23" s="19">
        <v>2</v>
      </c>
      <c r="BN23" s="19">
        <v>0</v>
      </c>
      <c r="BO23" s="19">
        <v>0</v>
      </c>
      <c r="BP23" s="19">
        <v>0</v>
      </c>
      <c r="BQ23" s="19">
        <v>0</v>
      </c>
      <c r="BR23" s="19">
        <v>2</v>
      </c>
      <c r="BS23" s="19">
        <v>2</v>
      </c>
      <c r="BT23" s="19">
        <v>0</v>
      </c>
      <c r="BU23" s="19">
        <v>0</v>
      </c>
      <c r="BV23" s="19">
        <v>0</v>
      </c>
      <c r="BW23" s="19">
        <v>0</v>
      </c>
      <c r="BX23" s="19">
        <v>4</v>
      </c>
      <c r="BY23" s="19">
        <v>0</v>
      </c>
      <c r="BZ23" s="19">
        <v>0</v>
      </c>
      <c r="CA23" s="19">
        <v>4</v>
      </c>
      <c r="CB23" s="19">
        <v>2</v>
      </c>
      <c r="CC23" s="19">
        <v>0</v>
      </c>
      <c r="CD23" s="19">
        <v>0</v>
      </c>
      <c r="CE23" s="19">
        <v>0</v>
      </c>
      <c r="CF23" s="19">
        <v>0</v>
      </c>
      <c r="CG23" s="19">
        <v>2</v>
      </c>
      <c r="CH23" s="19">
        <v>2</v>
      </c>
      <c r="CI23" s="19">
        <v>0</v>
      </c>
      <c r="CJ23" s="19">
        <v>0</v>
      </c>
      <c r="CK23" s="19">
        <v>0</v>
      </c>
      <c r="CL23" s="19">
        <v>0</v>
      </c>
      <c r="CM23" s="19">
        <v>2</v>
      </c>
      <c r="CN23" s="19">
        <v>0</v>
      </c>
      <c r="CO23" s="19">
        <v>0</v>
      </c>
      <c r="CP23" s="19">
        <v>0</v>
      </c>
      <c r="CQ23" s="19">
        <v>2</v>
      </c>
      <c r="CR23" s="19">
        <v>0</v>
      </c>
      <c r="CS23" s="19">
        <v>0</v>
      </c>
      <c r="CT23" s="19">
        <v>0</v>
      </c>
      <c r="CU23" s="19">
        <v>0</v>
      </c>
      <c r="CV23" s="19">
        <v>0</v>
      </c>
      <c r="CW23" s="19">
        <v>0</v>
      </c>
      <c r="CX23" s="19">
        <v>0</v>
      </c>
      <c r="CY23" s="19">
        <v>0</v>
      </c>
      <c r="CZ23" s="19">
        <v>2</v>
      </c>
      <c r="DA23" s="17"/>
      <c r="DB23" s="17">
        <v>22</v>
      </c>
      <c r="DC23" s="17"/>
      <c r="DD23" s="19" t="s">
        <v>199</v>
      </c>
      <c r="DE23" s="19">
        <v>0</v>
      </c>
      <c r="DF23" s="19">
        <v>1</v>
      </c>
      <c r="DG23" s="19">
        <v>2</v>
      </c>
      <c r="DH23" s="19">
        <v>3</v>
      </c>
      <c r="DI23" s="19">
        <v>4</v>
      </c>
      <c r="DJ23" s="19">
        <v>5</v>
      </c>
      <c r="DK23" s="19">
        <v>6</v>
      </c>
      <c r="DL23" s="19">
        <v>7</v>
      </c>
      <c r="DM23" s="19">
        <v>8</v>
      </c>
      <c r="DN23" s="19">
        <v>9</v>
      </c>
      <c r="DO23" s="19">
        <v>10</v>
      </c>
      <c r="DP23" s="19">
        <v>11</v>
      </c>
      <c r="DQ23" s="19">
        <v>12</v>
      </c>
      <c r="DR23" s="19">
        <v>13</v>
      </c>
      <c r="DS23" s="19">
        <v>14</v>
      </c>
      <c r="DT23" s="19">
        <v>15</v>
      </c>
      <c r="DU23" s="19">
        <v>16</v>
      </c>
      <c r="DV23" s="19">
        <v>17</v>
      </c>
      <c r="DW23" s="19">
        <v>18</v>
      </c>
      <c r="DX23" s="19">
        <v>19</v>
      </c>
      <c r="DY23" s="19">
        <v>20</v>
      </c>
      <c r="DZ23" s="19"/>
      <c r="EA23" s="19"/>
      <c r="EB23" s="19" t="s">
        <v>64</v>
      </c>
      <c r="EC23" s="19">
        <v>0</v>
      </c>
      <c r="ED23" s="19">
        <v>0</v>
      </c>
      <c r="EE23" s="19">
        <v>0</v>
      </c>
      <c r="EF23" s="19">
        <v>0</v>
      </c>
      <c r="EG23" s="19">
        <v>0</v>
      </c>
      <c r="EH23" s="19">
        <v>0</v>
      </c>
      <c r="EI23" s="19">
        <v>0</v>
      </c>
      <c r="EJ23" s="19">
        <v>2</v>
      </c>
      <c r="EK23" s="19">
        <v>0</v>
      </c>
      <c r="EL23" s="19">
        <v>0</v>
      </c>
      <c r="EM23" s="19">
        <v>0</v>
      </c>
      <c r="EN23" s="19">
        <v>0</v>
      </c>
      <c r="EO23" s="19">
        <v>0</v>
      </c>
      <c r="EP23" s="19">
        <v>0</v>
      </c>
      <c r="EQ23" s="19">
        <v>2</v>
      </c>
      <c r="ER23" s="19">
        <v>0</v>
      </c>
      <c r="ES23" s="19">
        <v>2</v>
      </c>
      <c r="ET23" s="19">
        <v>0</v>
      </c>
      <c r="EU23" s="19">
        <v>2</v>
      </c>
      <c r="EV23" s="19">
        <v>0</v>
      </c>
      <c r="EW23" s="19">
        <v>0</v>
      </c>
      <c r="EX23" s="19">
        <v>0</v>
      </c>
      <c r="EY23" s="19">
        <v>2</v>
      </c>
      <c r="EZ23" s="19">
        <v>2</v>
      </c>
      <c r="FA23" s="19">
        <v>0</v>
      </c>
      <c r="FB23" s="19">
        <v>2</v>
      </c>
      <c r="FC23" s="19">
        <v>0</v>
      </c>
      <c r="FD23" s="19">
        <v>0</v>
      </c>
      <c r="FE23" s="19">
        <v>0</v>
      </c>
      <c r="FF23" s="19">
        <v>0</v>
      </c>
      <c r="FG23" s="19">
        <v>0</v>
      </c>
      <c r="FH23" s="19">
        <v>0</v>
      </c>
      <c r="FI23" s="19">
        <v>0</v>
      </c>
      <c r="FJ23" s="19">
        <v>0</v>
      </c>
      <c r="FK23" s="19">
        <v>0</v>
      </c>
      <c r="FL23" s="19">
        <v>2</v>
      </c>
      <c r="FM23" s="19">
        <v>0</v>
      </c>
      <c r="FN23" s="19">
        <v>0</v>
      </c>
      <c r="FO23" s="19">
        <v>0</v>
      </c>
      <c r="FP23" s="19">
        <v>0</v>
      </c>
      <c r="FQ23" s="19">
        <v>0</v>
      </c>
      <c r="FR23" s="19">
        <v>0</v>
      </c>
      <c r="FS23" s="19">
        <v>0</v>
      </c>
      <c r="FT23" s="19">
        <v>0</v>
      </c>
      <c r="FU23" s="19">
        <v>0</v>
      </c>
      <c r="FV23" s="19">
        <v>0</v>
      </c>
      <c r="FW23" s="19">
        <v>0</v>
      </c>
      <c r="FX23" s="19">
        <v>0</v>
      </c>
      <c r="FY23" s="19">
        <v>0</v>
      </c>
      <c r="FZ23" s="19">
        <v>0</v>
      </c>
      <c r="GA23" s="19">
        <v>0</v>
      </c>
      <c r="GC23" s="19"/>
      <c r="GD23" s="19"/>
      <c r="GE23" s="19" t="s">
        <v>64</v>
      </c>
      <c r="GF23" s="19">
        <v>0</v>
      </c>
      <c r="GG23" s="19">
        <v>0</v>
      </c>
      <c r="GH23" s="19">
        <v>0</v>
      </c>
      <c r="GI23" s="19">
        <v>0</v>
      </c>
      <c r="GJ23" s="19">
        <v>0</v>
      </c>
      <c r="GK23" s="19">
        <v>2</v>
      </c>
      <c r="GL23" s="19">
        <v>0</v>
      </c>
      <c r="GM23" s="19">
        <v>4</v>
      </c>
      <c r="GN23" s="19">
        <v>0</v>
      </c>
      <c r="GO23" s="19">
        <v>2</v>
      </c>
      <c r="GP23" s="19">
        <v>0</v>
      </c>
      <c r="GQ23" s="19">
        <v>0</v>
      </c>
      <c r="GR23" s="19">
        <v>0</v>
      </c>
      <c r="GS23" s="19">
        <v>0</v>
      </c>
      <c r="GT23" s="19">
        <v>0</v>
      </c>
      <c r="GU23" s="19">
        <v>0</v>
      </c>
      <c r="GV23" s="19">
        <v>2</v>
      </c>
      <c r="GW23" s="19">
        <v>0</v>
      </c>
      <c r="GX23" s="19">
        <v>0</v>
      </c>
      <c r="GY23" s="19">
        <v>0</v>
      </c>
      <c r="GZ23" s="19">
        <v>0</v>
      </c>
      <c r="HA23" s="19">
        <v>0</v>
      </c>
      <c r="HB23" s="19">
        <v>4</v>
      </c>
      <c r="HC23" s="19">
        <v>0</v>
      </c>
      <c r="HD23" s="19">
        <v>2</v>
      </c>
      <c r="HE23" s="19">
        <v>0</v>
      </c>
      <c r="HF23" s="19">
        <v>0</v>
      </c>
      <c r="HG23" s="19">
        <v>0</v>
      </c>
      <c r="HH23" s="19">
        <v>0</v>
      </c>
      <c r="HI23" s="19">
        <v>0</v>
      </c>
      <c r="HJ23" s="19">
        <v>0</v>
      </c>
      <c r="HK23" s="19">
        <v>0</v>
      </c>
      <c r="HL23" s="19">
        <v>0</v>
      </c>
      <c r="HM23" s="19">
        <v>0</v>
      </c>
      <c r="HN23" s="19">
        <v>0</v>
      </c>
      <c r="HO23" s="19">
        <v>0</v>
      </c>
      <c r="HP23" s="19">
        <v>0</v>
      </c>
      <c r="HQ23" s="19">
        <v>4</v>
      </c>
      <c r="HR23" s="19">
        <v>0</v>
      </c>
      <c r="HS23" s="19">
        <v>2</v>
      </c>
      <c r="HT23" s="19">
        <v>0</v>
      </c>
      <c r="HU23" s="19">
        <v>0</v>
      </c>
      <c r="HV23" s="19">
        <v>0</v>
      </c>
      <c r="HW23" s="19">
        <v>0</v>
      </c>
      <c r="HX23" s="19">
        <v>0</v>
      </c>
      <c r="HY23" s="19">
        <v>0</v>
      </c>
      <c r="HZ23" s="19">
        <v>0</v>
      </c>
      <c r="IA23" s="19">
        <v>0</v>
      </c>
      <c r="IB23" s="19">
        <v>0</v>
      </c>
      <c r="IC23" s="19">
        <v>0</v>
      </c>
      <c r="ID23" s="19">
        <v>0</v>
      </c>
      <c r="IF23" s="20" t="s">
        <v>64</v>
      </c>
      <c r="IG23" s="20">
        <v>0</v>
      </c>
      <c r="IH23" s="20">
        <v>0</v>
      </c>
      <c r="II23" s="20">
        <v>0</v>
      </c>
      <c r="IJ23" s="20">
        <v>0</v>
      </c>
      <c r="IK23" s="20">
        <v>0</v>
      </c>
      <c r="IL23" s="20">
        <v>0</v>
      </c>
      <c r="IM23" s="20">
        <v>0</v>
      </c>
      <c r="IN23" s="20">
        <v>4</v>
      </c>
      <c r="IO23" s="20">
        <v>0</v>
      </c>
      <c r="IP23" s="20">
        <v>0</v>
      </c>
      <c r="IQ23" s="20">
        <v>0</v>
      </c>
      <c r="IR23" s="20">
        <v>2</v>
      </c>
      <c r="IS23" s="20">
        <v>0</v>
      </c>
      <c r="IT23" s="20">
        <v>0</v>
      </c>
      <c r="IU23" s="20">
        <v>0</v>
      </c>
      <c r="IV23" s="20">
        <v>2</v>
      </c>
      <c r="IW23" s="20">
        <v>0</v>
      </c>
      <c r="IX23" s="20">
        <v>2</v>
      </c>
      <c r="IY23" s="20">
        <v>2</v>
      </c>
      <c r="IZ23" s="20">
        <v>0</v>
      </c>
      <c r="JA23" s="20">
        <v>0</v>
      </c>
      <c r="JB23" s="20">
        <v>0</v>
      </c>
      <c r="JC23" s="20">
        <v>4</v>
      </c>
      <c r="JD23" s="20">
        <v>0</v>
      </c>
      <c r="JE23" s="20">
        <v>0</v>
      </c>
      <c r="JF23" s="20">
        <v>2</v>
      </c>
    </row>
    <row r="24" spans="1:266" x14ac:dyDescent="0.25">
      <c r="A24" s="8"/>
      <c r="B24" s="5" t="s">
        <v>61</v>
      </c>
      <c r="C24" s="8"/>
      <c r="D24" s="4"/>
      <c r="E24" s="4"/>
      <c r="F24" s="4"/>
      <c r="G24" s="4"/>
      <c r="H24" s="4"/>
      <c r="I24" s="4"/>
      <c r="J24" s="4"/>
      <c r="K24" s="4"/>
      <c r="L24" s="5" t="s">
        <v>53</v>
      </c>
      <c r="M24" s="5" t="s">
        <v>559</v>
      </c>
      <c r="N24" s="5" t="s">
        <v>436</v>
      </c>
      <c r="O24" s="5" t="s">
        <v>442</v>
      </c>
      <c r="P24" s="5" t="s">
        <v>443</v>
      </c>
      <c r="Q24" s="5" t="s">
        <v>444</v>
      </c>
      <c r="R24" s="5" t="s">
        <v>445</v>
      </c>
      <c r="S24" s="5" t="s">
        <v>446</v>
      </c>
      <c r="T24" s="5" t="s">
        <v>447</v>
      </c>
      <c r="U24" s="5" t="s">
        <v>438</v>
      </c>
      <c r="V24" s="19" t="s">
        <v>395</v>
      </c>
      <c r="W24" s="19">
        <f>IF(G25=$AH$22,$AJ$22,IF(G25=$AH$23,$AJ$23,IF(G25=$AH$24,$AJ$24,IF(G25=$AH$25,$AJ$25,IF(G25=$AH$26,$AJ$26,IF(G25=$AH$27,$AJ$27,IF(G25=$AH$28,$AJ$28,IF(G25=$AH$29,$AJ$29,0))))))))</f>
        <v>1050</v>
      </c>
      <c r="X24" s="25">
        <f t="shared" si="7"/>
        <v>0</v>
      </c>
      <c r="Y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25,$BB$2:$CA$2,0),MATCH($W$22,$AH$22:$AH$47,0)))*C25</f>
        <v>0</v>
      </c>
      <c r="Z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25,$BB$2:$CA$2,0),MATCH($W$22,$AH$22:$AH$47,0)))*C25</f>
        <v>0</v>
      </c>
      <c r="AA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25,$BB$2:$CA$2,0),MATCH($W$22,$AH$22:$AH$47,0)))*C25</f>
        <v>0</v>
      </c>
      <c r="AB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25,$BB$2:$CA$2,0),MATCH($W$22,$AH$22:$AH$47,0)))*C25</f>
        <v>0</v>
      </c>
      <c r="AC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25,$BB$2:$CA$2,0),MATCH($W$22,$AH$22:$AH$47,0)))*C25</f>
        <v>0</v>
      </c>
      <c r="AD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25,$BB$2:$CA$2,0),MATCH($W$22,$AH$22:$AH$47,0)))*C25</f>
        <v>0</v>
      </c>
      <c r="AE24" s="19"/>
      <c r="AF24" s="19" t="s">
        <v>165</v>
      </c>
      <c r="AG24" s="19"/>
      <c r="AH24" s="19" t="s">
        <v>199</v>
      </c>
      <c r="AI24" s="19"/>
      <c r="AJ24" s="19">
        <v>1100</v>
      </c>
      <c r="AK24" s="19" t="s">
        <v>468</v>
      </c>
      <c r="AL24" s="19"/>
      <c r="AM24" s="19"/>
      <c r="AN24" s="19"/>
      <c r="AO24" s="19"/>
      <c r="AP24" s="19"/>
      <c r="AQ24" s="19"/>
      <c r="AR24" s="19"/>
      <c r="AS24" s="19"/>
      <c r="AZ24" s="19"/>
      <c r="BA24" s="19" t="s">
        <v>14</v>
      </c>
      <c r="BB24" s="19">
        <v>0</v>
      </c>
      <c r="BC24" s="19">
        <v>0</v>
      </c>
      <c r="BD24" s="19">
        <v>0</v>
      </c>
      <c r="BE24" s="19">
        <v>0</v>
      </c>
      <c r="BF24" s="19">
        <v>0</v>
      </c>
      <c r="BG24" s="19">
        <v>0</v>
      </c>
      <c r="BH24" s="19">
        <v>0</v>
      </c>
      <c r="BI24" s="19">
        <v>2</v>
      </c>
      <c r="BJ24" s="19">
        <v>0</v>
      </c>
      <c r="BK24" s="19">
        <v>2</v>
      </c>
      <c r="BL24" s="19">
        <v>2</v>
      </c>
      <c r="BM24" s="19">
        <v>2</v>
      </c>
      <c r="BN24" s="19">
        <v>4</v>
      </c>
      <c r="BO24" s="19">
        <v>0</v>
      </c>
      <c r="BP24" s="19">
        <v>2</v>
      </c>
      <c r="BQ24" s="19">
        <v>4</v>
      </c>
      <c r="BR24" s="19">
        <v>2</v>
      </c>
      <c r="BS24" s="19">
        <v>6</v>
      </c>
      <c r="BT24" s="19">
        <v>4</v>
      </c>
      <c r="BU24" s="19">
        <v>2</v>
      </c>
      <c r="BV24" s="19">
        <v>4</v>
      </c>
      <c r="BW24" s="19">
        <v>6</v>
      </c>
      <c r="BX24" s="19">
        <v>8</v>
      </c>
      <c r="BY24" s="19">
        <v>4</v>
      </c>
      <c r="BZ24" s="19">
        <v>6</v>
      </c>
      <c r="CA24" s="19">
        <v>6</v>
      </c>
      <c r="CB24" s="19">
        <v>6</v>
      </c>
      <c r="CC24" s="19">
        <v>6</v>
      </c>
      <c r="CD24" s="19">
        <v>4</v>
      </c>
      <c r="CE24" s="19">
        <v>6</v>
      </c>
      <c r="CF24" s="19">
        <v>8</v>
      </c>
      <c r="CG24" s="19">
        <v>6</v>
      </c>
      <c r="CH24" s="19">
        <v>12</v>
      </c>
      <c r="CI24" s="19">
        <v>8</v>
      </c>
      <c r="CJ24" s="19">
        <v>22</v>
      </c>
      <c r="CK24" s="19">
        <v>24</v>
      </c>
      <c r="CL24" s="19">
        <v>10</v>
      </c>
      <c r="CM24" s="19">
        <v>0</v>
      </c>
      <c r="CN24" s="19">
        <v>24</v>
      </c>
      <c r="CO24" s="19">
        <v>10</v>
      </c>
      <c r="CP24" s="19">
        <v>0</v>
      </c>
      <c r="CQ24" s="19">
        <v>10</v>
      </c>
      <c r="CR24" s="19">
        <v>10</v>
      </c>
      <c r="CS24" s="19">
        <v>0</v>
      </c>
      <c r="CT24" s="19">
        <v>26</v>
      </c>
      <c r="CU24" s="19">
        <v>12</v>
      </c>
      <c r="CV24" s="19">
        <v>0</v>
      </c>
      <c r="CW24" s="19">
        <v>4</v>
      </c>
      <c r="CX24" s="19">
        <v>12</v>
      </c>
      <c r="CY24" s="19">
        <v>0</v>
      </c>
      <c r="CZ24" s="19">
        <v>12</v>
      </c>
      <c r="DA24" s="17"/>
      <c r="DB24" s="17">
        <v>23</v>
      </c>
      <c r="DC24" s="17"/>
      <c r="DD24" s="19" t="s">
        <v>64</v>
      </c>
      <c r="DE24" s="19">
        <v>0</v>
      </c>
      <c r="DF24" s="19">
        <v>2</v>
      </c>
      <c r="DG24" s="19">
        <v>0</v>
      </c>
      <c r="DH24" s="19">
        <v>4</v>
      </c>
      <c r="DI24" s="19">
        <v>2</v>
      </c>
      <c r="DJ24" s="19">
        <v>0</v>
      </c>
      <c r="DK24" s="19">
        <v>4</v>
      </c>
      <c r="DL24" s="19">
        <v>2</v>
      </c>
      <c r="DM24" s="19">
        <v>0</v>
      </c>
      <c r="DN24" s="19">
        <v>4</v>
      </c>
      <c r="DO24" s="19">
        <v>2</v>
      </c>
      <c r="DP24" s="19">
        <v>0</v>
      </c>
      <c r="DQ24" s="19">
        <v>4</v>
      </c>
      <c r="DR24" s="19">
        <v>2</v>
      </c>
      <c r="DS24" s="19">
        <v>0</v>
      </c>
      <c r="DT24" s="19">
        <v>4</v>
      </c>
      <c r="DU24" s="19">
        <v>2</v>
      </c>
      <c r="DV24" s="19">
        <v>0</v>
      </c>
      <c r="DW24" s="19">
        <v>4</v>
      </c>
      <c r="DX24" s="19">
        <v>2</v>
      </c>
      <c r="DY24" s="19">
        <v>0</v>
      </c>
      <c r="DZ24" s="19"/>
      <c r="EA24" s="19"/>
      <c r="EB24" s="19" t="s">
        <v>14</v>
      </c>
      <c r="EC24" s="19">
        <v>0</v>
      </c>
      <c r="ED24" s="19">
        <v>0</v>
      </c>
      <c r="EE24" s="19">
        <v>0</v>
      </c>
      <c r="EF24" s="19">
        <v>2</v>
      </c>
      <c r="EG24" s="19">
        <v>2</v>
      </c>
      <c r="EH24" s="19">
        <v>0</v>
      </c>
      <c r="EI24" s="19">
        <v>4</v>
      </c>
      <c r="EJ24" s="19">
        <v>0</v>
      </c>
      <c r="EK24" s="19">
        <v>2</v>
      </c>
      <c r="EL24" s="19">
        <v>10</v>
      </c>
      <c r="EM24" s="19">
        <v>0</v>
      </c>
      <c r="EN24" s="19">
        <v>10</v>
      </c>
      <c r="EO24" s="19">
        <v>0</v>
      </c>
      <c r="EP24" s="19">
        <v>6</v>
      </c>
      <c r="EQ24" s="19">
        <v>14</v>
      </c>
      <c r="ER24" s="19">
        <v>4</v>
      </c>
      <c r="ES24" s="19">
        <v>10</v>
      </c>
      <c r="ET24" s="19">
        <v>2</v>
      </c>
      <c r="EU24" s="19">
        <v>8</v>
      </c>
      <c r="EV24" s="19">
        <v>0</v>
      </c>
      <c r="EW24" s="19">
        <v>20</v>
      </c>
      <c r="EX24" s="19">
        <v>0</v>
      </c>
      <c r="EY24" s="19">
        <v>8</v>
      </c>
      <c r="EZ24" s="19">
        <v>24</v>
      </c>
      <c r="FA24" s="19">
        <v>16</v>
      </c>
      <c r="FB24" s="19">
        <v>22</v>
      </c>
      <c r="FC24" s="19">
        <v>14</v>
      </c>
      <c r="FD24" s="19">
        <v>8</v>
      </c>
      <c r="FE24" s="19">
        <v>12</v>
      </c>
      <c r="FF24" s="19">
        <v>32</v>
      </c>
      <c r="FG24" s="19">
        <v>10</v>
      </c>
      <c r="FH24" s="19">
        <v>30</v>
      </c>
      <c r="FI24" s="19">
        <v>6</v>
      </c>
      <c r="FJ24" s="19">
        <v>28</v>
      </c>
      <c r="FK24" s="19">
        <v>4</v>
      </c>
      <c r="FL24" s="19">
        <v>10</v>
      </c>
      <c r="FM24" s="19">
        <v>2</v>
      </c>
      <c r="FN24" s="19">
        <v>2</v>
      </c>
      <c r="FO24" s="19">
        <v>0</v>
      </c>
      <c r="FP24" s="19">
        <v>20</v>
      </c>
      <c r="FQ24" s="19">
        <v>0</v>
      </c>
      <c r="FR24" s="19">
        <v>18</v>
      </c>
      <c r="FS24" s="19">
        <v>0</v>
      </c>
      <c r="FT24" s="19">
        <v>16</v>
      </c>
      <c r="FU24" s="19">
        <v>0</v>
      </c>
      <c r="FV24" s="19">
        <v>14</v>
      </c>
      <c r="FW24" s="19">
        <v>0</v>
      </c>
      <c r="FX24" s="19">
        <v>12</v>
      </c>
      <c r="FY24" s="19">
        <v>32</v>
      </c>
      <c r="FZ24" s="19">
        <v>10</v>
      </c>
      <c r="GA24" s="19">
        <v>30</v>
      </c>
      <c r="GC24" s="19"/>
      <c r="GD24" s="19"/>
      <c r="GE24" s="19" t="s">
        <v>14</v>
      </c>
      <c r="GF24" s="19">
        <v>0</v>
      </c>
      <c r="GG24" s="19">
        <v>0</v>
      </c>
      <c r="GH24" s="19">
        <v>0</v>
      </c>
      <c r="GI24" s="19">
        <v>4</v>
      </c>
      <c r="GJ24" s="19">
        <v>4</v>
      </c>
      <c r="GK24" s="19">
        <v>0</v>
      </c>
      <c r="GL24" s="19">
        <v>0</v>
      </c>
      <c r="GM24" s="19">
        <v>6</v>
      </c>
      <c r="GN24" s="19">
        <v>8</v>
      </c>
      <c r="GO24" s="19">
        <v>10</v>
      </c>
      <c r="GP24" s="19">
        <v>0</v>
      </c>
      <c r="GQ24" s="19">
        <v>0</v>
      </c>
      <c r="GR24" s="19">
        <v>4</v>
      </c>
      <c r="GS24" s="19">
        <v>8</v>
      </c>
      <c r="GT24" s="19">
        <v>8</v>
      </c>
      <c r="GU24" s="19">
        <v>0</v>
      </c>
      <c r="GV24" s="19">
        <v>0</v>
      </c>
      <c r="GW24" s="19">
        <v>8</v>
      </c>
      <c r="GX24" s="19">
        <v>6</v>
      </c>
      <c r="GY24" s="19">
        <v>24</v>
      </c>
      <c r="GZ24" s="19">
        <v>0</v>
      </c>
      <c r="HA24" s="19">
        <v>14</v>
      </c>
      <c r="HB24" s="19">
        <v>8</v>
      </c>
      <c r="HC24" s="19">
        <v>6</v>
      </c>
      <c r="HD24" s="19">
        <v>8</v>
      </c>
      <c r="HE24" s="19">
        <v>0</v>
      </c>
      <c r="HF24" s="19">
        <v>14</v>
      </c>
      <c r="HG24" s="19">
        <v>6</v>
      </c>
      <c r="HH24" s="19">
        <v>6</v>
      </c>
      <c r="HI24" s="19">
        <v>22</v>
      </c>
      <c r="HJ24" s="19">
        <v>0</v>
      </c>
      <c r="HK24" s="19">
        <v>14</v>
      </c>
      <c r="HL24" s="19">
        <v>10</v>
      </c>
      <c r="HM24" s="19">
        <v>4</v>
      </c>
      <c r="HN24" s="19">
        <v>22</v>
      </c>
      <c r="HO24" s="19">
        <v>0</v>
      </c>
      <c r="HP24" s="19">
        <v>12</v>
      </c>
      <c r="HQ24" s="19">
        <v>10</v>
      </c>
      <c r="HR24" s="19">
        <v>4</v>
      </c>
      <c r="HS24" s="19">
        <v>6</v>
      </c>
      <c r="HT24" s="19">
        <v>0</v>
      </c>
      <c r="HU24" s="19">
        <v>12</v>
      </c>
      <c r="HV24" s="19">
        <v>8</v>
      </c>
      <c r="HW24" s="19">
        <v>4</v>
      </c>
      <c r="HX24" s="19">
        <v>20</v>
      </c>
      <c r="HY24" s="19">
        <v>0</v>
      </c>
      <c r="HZ24" s="19">
        <v>12</v>
      </c>
      <c r="IA24" s="19">
        <v>12</v>
      </c>
      <c r="IB24" s="19">
        <v>2</v>
      </c>
      <c r="IC24" s="19">
        <v>20</v>
      </c>
      <c r="ID24" s="19">
        <v>0</v>
      </c>
      <c r="IF24" s="20" t="s">
        <v>14</v>
      </c>
      <c r="IG24" s="20">
        <v>0</v>
      </c>
      <c r="IH24" s="20">
        <v>2</v>
      </c>
      <c r="II24" s="20">
        <v>2</v>
      </c>
      <c r="IJ24" s="20">
        <v>2</v>
      </c>
      <c r="IK24" s="20">
        <v>2</v>
      </c>
      <c r="IL24" s="20">
        <v>8</v>
      </c>
      <c r="IM24" s="20">
        <v>8</v>
      </c>
      <c r="IN24" s="20">
        <v>8</v>
      </c>
      <c r="IO24" s="20">
        <v>4</v>
      </c>
      <c r="IP24" s="20">
        <v>14</v>
      </c>
      <c r="IQ24" s="20">
        <v>10</v>
      </c>
      <c r="IR24" s="20">
        <v>6</v>
      </c>
      <c r="IS24" s="20">
        <v>4</v>
      </c>
      <c r="IT24" s="20">
        <v>16</v>
      </c>
      <c r="IU24" s="20">
        <v>12</v>
      </c>
      <c r="IV24" s="20">
        <v>8</v>
      </c>
      <c r="IW24" s="20">
        <v>6</v>
      </c>
      <c r="IX24" s="20">
        <v>8</v>
      </c>
      <c r="IY24" s="20">
        <v>14</v>
      </c>
      <c r="IZ24" s="20">
        <v>0</v>
      </c>
      <c r="JA24" s="20">
        <v>8</v>
      </c>
      <c r="JB24" s="20">
        <v>20</v>
      </c>
      <c r="JC24" s="20">
        <v>8</v>
      </c>
      <c r="JD24" s="20">
        <v>0</v>
      </c>
      <c r="JE24" s="20">
        <v>10</v>
      </c>
      <c r="JF24" s="20">
        <v>6</v>
      </c>
    </row>
    <row r="25" spans="1:266" x14ac:dyDescent="0.25">
      <c r="A25" s="8"/>
      <c r="B25" s="5" t="s">
        <v>61</v>
      </c>
      <c r="C25" s="8"/>
      <c r="D25" s="6" t="s">
        <v>452</v>
      </c>
      <c r="E25" s="8" t="s">
        <v>72</v>
      </c>
      <c r="F25" s="6" t="s">
        <v>61</v>
      </c>
      <c r="G25" s="8" t="s">
        <v>60</v>
      </c>
      <c r="H25" s="6" t="s">
        <v>61</v>
      </c>
      <c r="I25" s="8">
        <v>30</v>
      </c>
      <c r="J25" s="5" t="s">
        <v>62</v>
      </c>
      <c r="K25" s="4"/>
      <c r="L25" s="6" t="str">
        <f>IF($E$32=AK22,"PAL40H40/1,15",IF($E$32=AK23,"PAL30H32/1,15","-------"))</f>
        <v>PAL40H40/1,15</v>
      </c>
      <c r="M25" s="14">
        <f>INDEX(cenník!$A$2:$I$568,MATCH($L25,cenník!$B$2:$B$557,0),MATCH(M$24,cenník!$A$1:$I$1,0))</f>
        <v>894510</v>
      </c>
      <c r="N25" s="14" t="str">
        <f>INDEX(cenník!$A$2:$I$568,MATCH($L25,cenník!$B$2:$B$557,0),MATCH(N$24,cenník!$A$1:$I$1,0))</f>
        <v>ks</v>
      </c>
      <c r="O25" s="14">
        <f>IF(L25="-------",0,SUM(Z23:Z38))</f>
        <v>0</v>
      </c>
      <c r="P25" s="21">
        <f>INDEX(cenník!$A$2:$I$568,MATCH($L25,cenník!$B$2:$B$557,0),MATCH(P$24,cenník!$A$1:$I$1,0))</f>
        <v>11.08</v>
      </c>
      <c r="Q25" s="21">
        <f>O25*P25</f>
        <v>0</v>
      </c>
      <c r="R25" s="22">
        <f t="shared" ref="R25:R43" si="8">$E$31</f>
        <v>0</v>
      </c>
      <c r="S25" s="21">
        <f t="shared" ref="S25:S43" si="9">P25*((100-$E$31)/100)</f>
        <v>11.08</v>
      </c>
      <c r="T25" s="21">
        <f>O25*S25</f>
        <v>0</v>
      </c>
      <c r="U25" s="21">
        <f>INDEX(cenník!$A$2:$I$568,MATCH($L25,cenník!$B$2:$B$557,0),MATCH(U$24,cenník!$A$1:$I$1,0))*O25</f>
        <v>0</v>
      </c>
      <c r="V25" s="19" t="s">
        <v>396</v>
      </c>
      <c r="W25" s="19">
        <f>IF(E25=$AH$30,$AJ$30,IF(E25=$AH$31,$AJ$31,IF(E25=$AH$32,$AJ$32,IF(E25=$AH$33,$AJ$33,IF(E25=$AH$34,$AJ$34,IF(E25=$AH$35,$AJ$35,IF(E25=$AH$36,$AJ$36,IF(E25=$AH$37,$AJ$37,IF(E25=$AH$38,$AJ$38,IF(E25=$AH$39,$AJ$39,IF(E25=$AH$40,$AJ$40,IF(E25=$AH$41,$AJ$41,IF(E25=$AH$42,$AJ$42,IF(E25=$AH$43,$AJ$43,IF(E25=$AH$44,$AJ$44,IF(E25=$AH$45,$AJ$45,IF(E25=$AH$46,$AJ$46,IF(E25=$AH$47,$AJ$47,0))))))))))))))))))</f>
        <v>2100</v>
      </c>
      <c r="X25" s="25">
        <f t="shared" si="7"/>
        <v>0</v>
      </c>
      <c r="Y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26,$BB$2:$CA$2,0),MATCH($W$22,$AH$22:$AH$47,0)))*C26</f>
        <v>0</v>
      </c>
      <c r="Z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26,$BB$2:$CA$2,0),MATCH($W$22,$AH$22:$AH$47,0)))*C26</f>
        <v>0</v>
      </c>
      <c r="AA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26,$BB$2:$CA$2,0),MATCH($W$22,$AH$22:$AH$47,0)))*C26</f>
        <v>0</v>
      </c>
      <c r="AB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26,$BB$2:$CA$2,0),MATCH($W$22,$AH$22:$AH$47,0)))*C26</f>
        <v>0</v>
      </c>
      <c r="AC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26,$BB$2:$CA$2,0),MATCH($W$22,$AH$22:$AH$47,0)))*C26</f>
        <v>0</v>
      </c>
      <c r="AD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26,$BB$2:$CA$2,0),MATCH($W$22,$AH$22:$AH$47,0)))*C26</f>
        <v>0</v>
      </c>
      <c r="AE25" s="19"/>
      <c r="AF25" s="19" t="s">
        <v>166</v>
      </c>
      <c r="AG25" s="19"/>
      <c r="AH25" s="19" t="s">
        <v>205</v>
      </c>
      <c r="AI25" s="19"/>
      <c r="AJ25" s="19">
        <v>1150</v>
      </c>
      <c r="AK25" s="19"/>
      <c r="AL25" s="19"/>
      <c r="AM25" s="19"/>
      <c r="AN25" s="19"/>
      <c r="AO25" s="19"/>
      <c r="AP25" s="19"/>
      <c r="AQ25" s="19"/>
      <c r="AR25" s="19"/>
      <c r="AS25" s="19"/>
      <c r="AZ25" s="19"/>
      <c r="BA25" s="19" t="s">
        <v>18</v>
      </c>
      <c r="BB25" s="19">
        <v>0</v>
      </c>
      <c r="BC25" s="19">
        <v>0</v>
      </c>
      <c r="BD25" s="19">
        <v>0</v>
      </c>
      <c r="BE25" s="19">
        <v>2</v>
      </c>
      <c r="BF25" s="19">
        <v>0</v>
      </c>
      <c r="BG25" s="19">
        <v>2</v>
      </c>
      <c r="BH25" s="19">
        <v>4</v>
      </c>
      <c r="BI25" s="19">
        <v>0</v>
      </c>
      <c r="BJ25" s="19">
        <v>4</v>
      </c>
      <c r="BK25" s="19">
        <v>4</v>
      </c>
      <c r="BL25" s="19">
        <v>2</v>
      </c>
      <c r="BM25" s="19">
        <v>4</v>
      </c>
      <c r="BN25" s="19">
        <v>4</v>
      </c>
      <c r="BO25" s="19">
        <v>6</v>
      </c>
      <c r="BP25" s="19">
        <v>6</v>
      </c>
      <c r="BQ25" s="19">
        <v>6</v>
      </c>
      <c r="BR25" s="19">
        <v>6</v>
      </c>
      <c r="BS25" s="19">
        <v>4</v>
      </c>
      <c r="BT25" s="19">
        <v>8</v>
      </c>
      <c r="BU25" s="19">
        <v>8</v>
      </c>
      <c r="BV25" s="19">
        <v>8</v>
      </c>
      <c r="BW25" s="19">
        <v>8</v>
      </c>
      <c r="BX25" s="19">
        <v>4</v>
      </c>
      <c r="BY25" s="19">
        <v>10</v>
      </c>
      <c r="BZ25" s="19">
        <v>10</v>
      </c>
      <c r="CA25" s="19">
        <v>8</v>
      </c>
      <c r="CB25" s="19">
        <v>10</v>
      </c>
      <c r="CC25" s="19">
        <v>12</v>
      </c>
      <c r="CD25" s="19">
        <v>12</v>
      </c>
      <c r="CE25" s="19">
        <v>12</v>
      </c>
      <c r="CF25" s="19">
        <v>12</v>
      </c>
      <c r="CG25" s="19">
        <v>12</v>
      </c>
      <c r="CH25" s="19">
        <v>8</v>
      </c>
      <c r="CI25" s="19">
        <v>14</v>
      </c>
      <c r="CJ25" s="19">
        <v>0</v>
      </c>
      <c r="CK25" s="19">
        <v>0</v>
      </c>
      <c r="CL25" s="19">
        <v>14</v>
      </c>
      <c r="CM25" s="19">
        <v>22</v>
      </c>
      <c r="CN25" s="19">
        <v>2</v>
      </c>
      <c r="CO25" s="19">
        <v>16</v>
      </c>
      <c r="CP25" s="19">
        <v>26</v>
      </c>
      <c r="CQ25" s="19">
        <v>16</v>
      </c>
      <c r="CR25" s="19">
        <v>18</v>
      </c>
      <c r="CS25" s="19">
        <v>28</v>
      </c>
      <c r="CT25" s="19">
        <v>4</v>
      </c>
      <c r="CU25" s="19">
        <v>18</v>
      </c>
      <c r="CV25" s="19">
        <v>30</v>
      </c>
      <c r="CW25" s="19">
        <v>26</v>
      </c>
      <c r="CX25" s="19">
        <v>20</v>
      </c>
      <c r="CY25" s="19">
        <v>32</v>
      </c>
      <c r="CZ25" s="19">
        <v>20</v>
      </c>
      <c r="DA25" s="17"/>
      <c r="DB25" s="17">
        <v>24</v>
      </c>
      <c r="DC25" s="17"/>
      <c r="DD25" s="19" t="s">
        <v>18</v>
      </c>
      <c r="DE25" s="19">
        <v>0</v>
      </c>
      <c r="DF25" s="19">
        <v>0</v>
      </c>
      <c r="DG25" s="19">
        <v>2</v>
      </c>
      <c r="DH25" s="19">
        <v>0</v>
      </c>
      <c r="DI25" s="19">
        <v>2</v>
      </c>
      <c r="DJ25" s="19">
        <v>4</v>
      </c>
      <c r="DK25" s="19">
        <v>2</v>
      </c>
      <c r="DL25" s="19">
        <v>4</v>
      </c>
      <c r="DM25" s="19">
        <v>6</v>
      </c>
      <c r="DN25" s="19">
        <v>4</v>
      </c>
      <c r="DO25" s="19">
        <v>6</v>
      </c>
      <c r="DP25" s="19">
        <v>8</v>
      </c>
      <c r="DQ25" s="19">
        <v>6</v>
      </c>
      <c r="DR25" s="19">
        <v>8</v>
      </c>
      <c r="DS25" s="19">
        <v>10</v>
      </c>
      <c r="DT25" s="19">
        <v>8</v>
      </c>
      <c r="DU25" s="19">
        <v>10</v>
      </c>
      <c r="DV25" s="19">
        <v>12</v>
      </c>
      <c r="DW25" s="19">
        <v>10</v>
      </c>
      <c r="DX25" s="19">
        <v>12</v>
      </c>
      <c r="DY25" s="19">
        <v>14</v>
      </c>
      <c r="DZ25" s="19"/>
      <c r="EA25" s="19"/>
      <c r="EB25" s="19" t="s">
        <v>18</v>
      </c>
      <c r="EC25" s="19">
        <v>0</v>
      </c>
      <c r="ED25" s="19">
        <v>0</v>
      </c>
      <c r="EE25" s="19">
        <v>0</v>
      </c>
      <c r="EF25" s="19">
        <v>0</v>
      </c>
      <c r="EG25" s="19">
        <v>0</v>
      </c>
      <c r="EH25" s="19">
        <v>4</v>
      </c>
      <c r="EI25" s="19">
        <v>0</v>
      </c>
      <c r="EJ25" s="19">
        <v>6</v>
      </c>
      <c r="EK25" s="19">
        <v>4</v>
      </c>
      <c r="EL25" s="19">
        <v>0</v>
      </c>
      <c r="EM25" s="19">
        <v>8</v>
      </c>
      <c r="EN25" s="19">
        <v>2</v>
      </c>
      <c r="EO25" s="19">
        <v>10</v>
      </c>
      <c r="EP25" s="19">
        <v>8</v>
      </c>
      <c r="EQ25" s="19">
        <v>0</v>
      </c>
      <c r="ER25" s="19">
        <v>12</v>
      </c>
      <c r="ES25" s="19">
        <v>6</v>
      </c>
      <c r="ET25" s="19">
        <v>16</v>
      </c>
      <c r="EU25" s="19">
        <v>10</v>
      </c>
      <c r="EV25" s="19">
        <v>20</v>
      </c>
      <c r="EW25" s="19">
        <v>2</v>
      </c>
      <c r="EX25" s="19">
        <v>22</v>
      </c>
      <c r="EY25" s="19">
        <v>14</v>
      </c>
      <c r="EZ25" s="19">
        <v>0</v>
      </c>
      <c r="FA25" s="19">
        <v>10</v>
      </c>
      <c r="FB25" s="19">
        <v>4</v>
      </c>
      <c r="FC25" s="19">
        <v>14</v>
      </c>
      <c r="FD25" s="19">
        <v>18</v>
      </c>
      <c r="FE25" s="19">
        <v>18</v>
      </c>
      <c r="FF25" s="19">
        <v>0</v>
      </c>
      <c r="FG25" s="19">
        <v>22</v>
      </c>
      <c r="FH25" s="19">
        <v>4</v>
      </c>
      <c r="FI25" s="19">
        <v>28</v>
      </c>
      <c r="FJ25" s="19">
        <v>8</v>
      </c>
      <c r="FK25" s="19">
        <v>32</v>
      </c>
      <c r="FL25" s="19">
        <v>26</v>
      </c>
      <c r="FM25" s="19">
        <v>36</v>
      </c>
      <c r="FN25" s="19">
        <v>36</v>
      </c>
      <c r="FO25" s="19">
        <v>40</v>
      </c>
      <c r="FP25" s="19">
        <v>22</v>
      </c>
      <c r="FQ25" s="19">
        <v>42</v>
      </c>
      <c r="FR25" s="19">
        <v>26</v>
      </c>
      <c r="FS25" s="19">
        <v>44</v>
      </c>
      <c r="FT25" s="19">
        <v>30</v>
      </c>
      <c r="FU25" s="19">
        <v>46</v>
      </c>
      <c r="FV25" s="19">
        <v>34</v>
      </c>
      <c r="FW25" s="19">
        <v>48</v>
      </c>
      <c r="FX25" s="19">
        <v>38</v>
      </c>
      <c r="FY25" s="19">
        <v>20</v>
      </c>
      <c r="FZ25" s="19">
        <v>42</v>
      </c>
      <c r="GA25" s="19">
        <v>24</v>
      </c>
      <c r="GC25" s="19"/>
      <c r="GD25" s="19"/>
      <c r="GE25" s="19" t="s">
        <v>18</v>
      </c>
      <c r="GF25" s="19">
        <v>0</v>
      </c>
      <c r="GG25" s="19">
        <v>0</v>
      </c>
      <c r="GH25" s="19">
        <v>0</v>
      </c>
      <c r="GI25" s="19">
        <v>0</v>
      </c>
      <c r="GJ25" s="19">
        <v>0</v>
      </c>
      <c r="GK25" s="19">
        <v>4</v>
      </c>
      <c r="GL25" s="19">
        <v>6</v>
      </c>
      <c r="GM25" s="19">
        <v>0</v>
      </c>
      <c r="GN25" s="19">
        <v>2</v>
      </c>
      <c r="GO25" s="19">
        <v>0</v>
      </c>
      <c r="GP25" s="19">
        <v>12</v>
      </c>
      <c r="GQ25" s="19">
        <v>12</v>
      </c>
      <c r="GR25" s="19">
        <v>8</v>
      </c>
      <c r="GS25" s="19">
        <v>8</v>
      </c>
      <c r="GT25" s="19">
        <v>8</v>
      </c>
      <c r="GU25" s="19">
        <v>18</v>
      </c>
      <c r="GV25" s="19">
        <v>18</v>
      </c>
      <c r="GW25" s="19">
        <v>12</v>
      </c>
      <c r="GX25" s="19">
        <v>16</v>
      </c>
      <c r="GY25" s="19">
        <v>0</v>
      </c>
      <c r="GZ25" s="19">
        <v>24</v>
      </c>
      <c r="HA25" s="19">
        <v>12</v>
      </c>
      <c r="HB25" s="19">
        <v>16</v>
      </c>
      <c r="HC25" s="19">
        <v>22</v>
      </c>
      <c r="HD25" s="19">
        <v>20</v>
      </c>
      <c r="HE25" s="19">
        <v>30</v>
      </c>
      <c r="HF25" s="19">
        <v>18</v>
      </c>
      <c r="HG25" s="19">
        <v>24</v>
      </c>
      <c r="HH25" s="19">
        <v>28</v>
      </c>
      <c r="HI25" s="19">
        <v>14</v>
      </c>
      <c r="HJ25" s="19">
        <v>36</v>
      </c>
      <c r="HK25" s="19">
        <v>24</v>
      </c>
      <c r="HL25" s="19">
        <v>28</v>
      </c>
      <c r="HM25" s="19">
        <v>36</v>
      </c>
      <c r="HN25" s="19">
        <v>20</v>
      </c>
      <c r="HO25" s="19">
        <v>42</v>
      </c>
      <c r="HP25" s="19">
        <v>32</v>
      </c>
      <c r="HQ25" s="19">
        <v>32</v>
      </c>
      <c r="HR25" s="19">
        <v>42</v>
      </c>
      <c r="HS25" s="19">
        <v>40</v>
      </c>
      <c r="HT25" s="19">
        <v>48</v>
      </c>
      <c r="HU25" s="19">
        <v>38</v>
      </c>
      <c r="HV25" s="19">
        <v>40</v>
      </c>
      <c r="HW25" s="19">
        <v>48</v>
      </c>
      <c r="HX25" s="19">
        <v>34</v>
      </c>
      <c r="HY25" s="19">
        <v>54</v>
      </c>
      <c r="HZ25" s="19">
        <v>44</v>
      </c>
      <c r="IA25" s="19">
        <v>44</v>
      </c>
      <c r="IB25" s="19">
        <v>56</v>
      </c>
      <c r="IC25" s="19">
        <v>40</v>
      </c>
      <c r="ID25" s="19">
        <v>60</v>
      </c>
      <c r="IF25" s="20" t="s">
        <v>18</v>
      </c>
      <c r="IG25" s="20">
        <v>0</v>
      </c>
      <c r="IH25" s="20">
        <v>0</v>
      </c>
      <c r="II25" s="20">
        <v>0</v>
      </c>
      <c r="IJ25" s="20">
        <v>0</v>
      </c>
      <c r="IK25" s="20">
        <v>4</v>
      </c>
      <c r="IL25" s="20">
        <v>0</v>
      </c>
      <c r="IM25" s="20">
        <v>0</v>
      </c>
      <c r="IN25" s="20">
        <v>0</v>
      </c>
      <c r="IO25" s="20">
        <v>8</v>
      </c>
      <c r="IP25" s="20">
        <v>0</v>
      </c>
      <c r="IQ25" s="20">
        <v>4</v>
      </c>
      <c r="IR25" s="20">
        <v>8</v>
      </c>
      <c r="IS25" s="20">
        <v>14</v>
      </c>
      <c r="IT25" s="20">
        <v>4</v>
      </c>
      <c r="IU25" s="20">
        <v>8</v>
      </c>
      <c r="IV25" s="20">
        <v>12</v>
      </c>
      <c r="IW25" s="20">
        <v>18</v>
      </c>
      <c r="IX25" s="20">
        <v>16</v>
      </c>
      <c r="IY25" s="20">
        <v>12</v>
      </c>
      <c r="IZ25" s="20">
        <v>28</v>
      </c>
      <c r="JA25" s="20">
        <v>22</v>
      </c>
      <c r="JB25" s="20">
        <v>12</v>
      </c>
      <c r="JC25" s="20">
        <v>22</v>
      </c>
      <c r="JD25" s="20">
        <v>34</v>
      </c>
      <c r="JE25" s="20">
        <v>26</v>
      </c>
      <c r="JF25" s="20">
        <v>30</v>
      </c>
    </row>
    <row r="26" spans="1:266" x14ac:dyDescent="0.25">
      <c r="A26" s="8"/>
      <c r="B26" s="5" t="s">
        <v>61</v>
      </c>
      <c r="C26" s="8"/>
      <c r="D26" s="6" t="s">
        <v>453</v>
      </c>
      <c r="E26" s="8">
        <v>800</v>
      </c>
      <c r="F26" s="6"/>
      <c r="G26" s="6"/>
      <c r="H26" s="6"/>
      <c r="I26" s="6"/>
      <c r="J26" s="5" t="s">
        <v>62</v>
      </c>
      <c r="K26" s="4"/>
      <c r="L26" s="6" t="str">
        <f>IF($E$32=AK22,"PAL40H40/2,1",IF($E$32=AK23,"PAL30H32/2,1","-------"))</f>
        <v>PAL40H40/2,1</v>
      </c>
      <c r="M26" s="14">
        <f>INDEX(cenník!$A$2:$I$568,MATCH($L26,cenník!$B$2:$B$557,0),MATCH(M$24,cenník!$A$1:$I$1,0))</f>
        <v>894621</v>
      </c>
      <c r="N26" s="14" t="str">
        <f>INDEX(cenník!$A$2:$I$568,MATCH($L26,cenník!$B$2:$B$557,0),MATCH(N$24,cenník!$A$1:$I$1,0))</f>
        <v>ks</v>
      </c>
      <c r="O26" s="14">
        <f>IF(L26="-------",0,SUM(AA23:AA38))</f>
        <v>0</v>
      </c>
      <c r="P26" s="21">
        <f>INDEX(cenník!$A$2:$I$568,MATCH($L26,cenník!$B$2:$B$557,0),MATCH(P$24,cenník!$A$1:$I$1,0))</f>
        <v>20.05</v>
      </c>
      <c r="Q26" s="21">
        <f t="shared" ref="Q26:Q32" si="10">O26*P26</f>
        <v>0</v>
      </c>
      <c r="R26" s="22">
        <f t="shared" si="8"/>
        <v>0</v>
      </c>
      <c r="S26" s="21">
        <f t="shared" si="9"/>
        <v>20.05</v>
      </c>
      <c r="T26" s="21">
        <f t="shared" ref="T26:T32" si="11">O26*S26</f>
        <v>0</v>
      </c>
      <c r="U26" s="21">
        <f>INDEX(cenník!$A$2:$I$568,MATCH($L26,cenník!$B$2:$B$557,0),MATCH(U$24,cenník!$A$1:$I$1,0))*O26</f>
        <v>0</v>
      </c>
      <c r="V26" s="19"/>
      <c r="W26" s="25"/>
      <c r="X26" s="25">
        <f t="shared" si="7"/>
        <v>0</v>
      </c>
      <c r="Y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27,$BB$2:$CA$2,0),MATCH($W$22,$AH$22:$AH$47,0)))*C27</f>
        <v>0</v>
      </c>
      <c r="Z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27,$BB$2:$CA$2,0),MATCH($W$22,$AH$22:$AH$47,0)))*C27</f>
        <v>0</v>
      </c>
      <c r="AA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27,$BB$2:$CA$2,0),MATCH($W$22,$AH$22:$AH$47,0)))*C27</f>
        <v>0</v>
      </c>
      <c r="AB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27,$BB$2:$CA$2,0),MATCH($W$22,$AH$22:$AH$47,0)))*C27</f>
        <v>0</v>
      </c>
      <c r="AC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27,$BB$2:$CA$2,0),MATCH($W$22,$AH$22:$AH$47,0)))*C27</f>
        <v>0</v>
      </c>
      <c r="AD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27,$BB$2:$CA$2,0),MATCH($W$22,$AH$22:$AH$47,0)))*C27</f>
        <v>0</v>
      </c>
      <c r="AE26" s="19"/>
      <c r="AF26" s="19"/>
      <c r="AG26" s="19"/>
      <c r="AH26" s="19" t="s">
        <v>329</v>
      </c>
      <c r="AI26" s="19">
        <v>1650</v>
      </c>
      <c r="AJ26" s="19">
        <v>1200</v>
      </c>
      <c r="AK26" s="19"/>
      <c r="AL26" s="19"/>
      <c r="AW26" s="19"/>
      <c r="AX26" s="19"/>
      <c r="AY26" s="19"/>
      <c r="AZ26" s="19"/>
      <c r="BA26" s="19" t="s">
        <v>179</v>
      </c>
      <c r="BB26" s="19">
        <v>0</v>
      </c>
      <c r="BC26" s="19">
        <f t="shared" ref="BC26:CH26" si="12">((((SUM(BC21:BC25))/2)-1))*4</f>
        <v>0</v>
      </c>
      <c r="BD26" s="19">
        <f t="shared" si="12"/>
        <v>0</v>
      </c>
      <c r="BE26" s="19">
        <f t="shared" si="12"/>
        <v>0</v>
      </c>
      <c r="BF26" s="19">
        <f t="shared" si="12"/>
        <v>4</v>
      </c>
      <c r="BG26" s="19">
        <f t="shared" si="12"/>
        <v>4</v>
      </c>
      <c r="BH26" s="19">
        <f t="shared" si="12"/>
        <v>4</v>
      </c>
      <c r="BI26" s="19">
        <f t="shared" si="12"/>
        <v>8</v>
      </c>
      <c r="BJ26" s="19">
        <f t="shared" si="12"/>
        <v>8</v>
      </c>
      <c r="BK26" s="19">
        <f t="shared" si="12"/>
        <v>8</v>
      </c>
      <c r="BL26" s="19">
        <f t="shared" si="12"/>
        <v>12</v>
      </c>
      <c r="BM26" s="19">
        <f t="shared" si="12"/>
        <v>12</v>
      </c>
      <c r="BN26" s="19">
        <f t="shared" si="12"/>
        <v>12</v>
      </c>
      <c r="BO26" s="19">
        <f t="shared" si="12"/>
        <v>16</v>
      </c>
      <c r="BP26" s="19">
        <f t="shared" si="12"/>
        <v>16</v>
      </c>
      <c r="BQ26" s="19">
        <f t="shared" si="12"/>
        <v>16</v>
      </c>
      <c r="BR26" s="19">
        <f t="shared" si="12"/>
        <v>20</v>
      </c>
      <c r="BS26" s="19">
        <f t="shared" si="12"/>
        <v>20</v>
      </c>
      <c r="BT26" s="19">
        <f t="shared" si="12"/>
        <v>20</v>
      </c>
      <c r="BU26" s="19">
        <f t="shared" si="12"/>
        <v>24</v>
      </c>
      <c r="BV26" s="19">
        <f t="shared" si="12"/>
        <v>24</v>
      </c>
      <c r="BW26" s="19">
        <f t="shared" si="12"/>
        <v>24</v>
      </c>
      <c r="BX26" s="19">
        <f t="shared" si="12"/>
        <v>28</v>
      </c>
      <c r="BY26" s="19">
        <f t="shared" si="12"/>
        <v>28</v>
      </c>
      <c r="BZ26" s="19">
        <f t="shared" si="12"/>
        <v>28</v>
      </c>
      <c r="CA26" s="19">
        <f t="shared" si="12"/>
        <v>32</v>
      </c>
      <c r="CB26" s="19">
        <f t="shared" si="12"/>
        <v>32</v>
      </c>
      <c r="CC26" s="19">
        <f t="shared" si="12"/>
        <v>32</v>
      </c>
      <c r="CD26" s="19">
        <f t="shared" si="12"/>
        <v>36</v>
      </c>
      <c r="CE26" s="19">
        <f t="shared" si="12"/>
        <v>36</v>
      </c>
      <c r="CF26" s="19">
        <f t="shared" si="12"/>
        <v>36</v>
      </c>
      <c r="CG26" s="19">
        <f t="shared" si="12"/>
        <v>40</v>
      </c>
      <c r="CH26" s="19">
        <f t="shared" si="12"/>
        <v>40</v>
      </c>
      <c r="CI26" s="19">
        <f t="shared" ref="CI26:CZ26" si="13">((((SUM(CI21:CI25))/2)-1))*4</f>
        <v>40</v>
      </c>
      <c r="CJ26" s="19">
        <f t="shared" si="13"/>
        <v>44</v>
      </c>
      <c r="CK26" s="19">
        <f t="shared" si="13"/>
        <v>44</v>
      </c>
      <c r="CL26" s="19">
        <f t="shared" si="13"/>
        <v>44</v>
      </c>
      <c r="CM26" s="19">
        <f t="shared" si="13"/>
        <v>48</v>
      </c>
      <c r="CN26" s="19">
        <f t="shared" si="13"/>
        <v>48</v>
      </c>
      <c r="CO26" s="19">
        <f t="shared" si="13"/>
        <v>48</v>
      </c>
      <c r="CP26" s="19">
        <f t="shared" si="13"/>
        <v>48</v>
      </c>
      <c r="CQ26" s="19">
        <f t="shared" si="13"/>
        <v>52</v>
      </c>
      <c r="CR26" s="19">
        <f t="shared" si="13"/>
        <v>52</v>
      </c>
      <c r="CS26" s="19">
        <f t="shared" si="13"/>
        <v>52</v>
      </c>
      <c r="CT26" s="19">
        <f t="shared" si="13"/>
        <v>56</v>
      </c>
      <c r="CU26" s="19">
        <f t="shared" si="13"/>
        <v>56</v>
      </c>
      <c r="CV26" s="19">
        <f t="shared" si="13"/>
        <v>56</v>
      </c>
      <c r="CW26" s="19">
        <f t="shared" si="13"/>
        <v>60</v>
      </c>
      <c r="CX26" s="19">
        <f t="shared" si="13"/>
        <v>60</v>
      </c>
      <c r="CY26" s="19">
        <f t="shared" si="13"/>
        <v>60</v>
      </c>
      <c r="CZ26" s="19">
        <f t="shared" si="13"/>
        <v>64</v>
      </c>
      <c r="DA26" s="17"/>
      <c r="DB26" s="17">
        <v>25</v>
      </c>
      <c r="DC26" s="17"/>
      <c r="DD26" s="19" t="s">
        <v>179</v>
      </c>
      <c r="DE26" s="19">
        <v>0</v>
      </c>
      <c r="DF26" s="19">
        <v>0</v>
      </c>
      <c r="DG26" s="19">
        <v>0</v>
      </c>
      <c r="DH26" s="19">
        <v>4</v>
      </c>
      <c r="DI26" s="19">
        <v>4</v>
      </c>
      <c r="DJ26" s="19">
        <v>4</v>
      </c>
      <c r="DK26" s="19">
        <v>8</v>
      </c>
      <c r="DL26" s="19">
        <v>8</v>
      </c>
      <c r="DM26" s="19">
        <v>8</v>
      </c>
      <c r="DN26" s="19">
        <v>12</v>
      </c>
      <c r="DO26" s="19">
        <v>12</v>
      </c>
      <c r="DP26" s="19">
        <v>12</v>
      </c>
      <c r="DQ26" s="19">
        <v>16</v>
      </c>
      <c r="DR26" s="19">
        <v>16</v>
      </c>
      <c r="DS26" s="19">
        <v>16</v>
      </c>
      <c r="DT26" s="19">
        <v>20</v>
      </c>
      <c r="DU26" s="19">
        <v>20</v>
      </c>
      <c r="DV26" s="19">
        <v>20</v>
      </c>
      <c r="DW26" s="19">
        <v>24</v>
      </c>
      <c r="DX26" s="19">
        <v>24</v>
      </c>
      <c r="DY26" s="19">
        <v>24</v>
      </c>
      <c r="DZ26" s="19"/>
      <c r="EA26" s="19"/>
      <c r="EB26" s="19" t="s">
        <v>179</v>
      </c>
      <c r="EC26" s="19">
        <v>0</v>
      </c>
      <c r="ED26" s="19">
        <f>((((SUM(ED21:ED25))/2)-1))*4</f>
        <v>0</v>
      </c>
      <c r="EE26" s="19">
        <f t="shared" ref="EE26:GA26" si="14">((((SUM(EE21:EE25))/2)-1))*4</f>
        <v>4</v>
      </c>
      <c r="EF26" s="19">
        <f t="shared" si="14"/>
        <v>4</v>
      </c>
      <c r="EG26" s="19">
        <f t="shared" si="14"/>
        <v>8</v>
      </c>
      <c r="EH26" s="19">
        <f t="shared" si="14"/>
        <v>8</v>
      </c>
      <c r="EI26" s="19">
        <f t="shared" si="14"/>
        <v>12</v>
      </c>
      <c r="EJ26" s="19">
        <f t="shared" si="14"/>
        <v>12</v>
      </c>
      <c r="EK26" s="19">
        <f t="shared" si="14"/>
        <v>16</v>
      </c>
      <c r="EL26" s="19">
        <f t="shared" si="14"/>
        <v>16</v>
      </c>
      <c r="EM26" s="19">
        <f t="shared" si="14"/>
        <v>20</v>
      </c>
      <c r="EN26" s="19">
        <f t="shared" si="14"/>
        <v>20</v>
      </c>
      <c r="EO26" s="19">
        <f t="shared" si="14"/>
        <v>24</v>
      </c>
      <c r="EP26" s="19">
        <f t="shared" si="14"/>
        <v>24</v>
      </c>
      <c r="EQ26" s="19">
        <f t="shared" si="14"/>
        <v>28</v>
      </c>
      <c r="ER26" s="19">
        <f t="shared" si="14"/>
        <v>28</v>
      </c>
      <c r="ES26" s="19">
        <f t="shared" si="14"/>
        <v>32</v>
      </c>
      <c r="ET26" s="19">
        <f t="shared" si="14"/>
        <v>32</v>
      </c>
      <c r="EU26" s="19">
        <f t="shared" si="14"/>
        <v>36</v>
      </c>
      <c r="EV26" s="19">
        <f t="shared" si="14"/>
        <v>36</v>
      </c>
      <c r="EW26" s="19">
        <f t="shared" si="14"/>
        <v>40</v>
      </c>
      <c r="EX26" s="19">
        <f t="shared" si="14"/>
        <v>40</v>
      </c>
      <c r="EY26" s="19">
        <f t="shared" si="14"/>
        <v>44</v>
      </c>
      <c r="EZ26" s="19">
        <f t="shared" si="14"/>
        <v>48</v>
      </c>
      <c r="FA26" s="19">
        <f t="shared" si="14"/>
        <v>48</v>
      </c>
      <c r="FB26" s="19">
        <f t="shared" si="14"/>
        <v>52</v>
      </c>
      <c r="FC26" s="19">
        <f t="shared" si="14"/>
        <v>52</v>
      </c>
      <c r="FD26" s="19">
        <f t="shared" si="14"/>
        <v>56</v>
      </c>
      <c r="FE26" s="19">
        <f t="shared" si="14"/>
        <v>56</v>
      </c>
      <c r="FF26" s="19">
        <f t="shared" si="14"/>
        <v>60</v>
      </c>
      <c r="FG26" s="19">
        <f t="shared" si="14"/>
        <v>60</v>
      </c>
      <c r="FH26" s="19">
        <f t="shared" si="14"/>
        <v>64</v>
      </c>
      <c r="FI26" s="19">
        <f t="shared" si="14"/>
        <v>64</v>
      </c>
      <c r="FJ26" s="19">
        <f t="shared" si="14"/>
        <v>68</v>
      </c>
      <c r="FK26" s="19">
        <f t="shared" si="14"/>
        <v>68</v>
      </c>
      <c r="FL26" s="19">
        <f t="shared" si="14"/>
        <v>72</v>
      </c>
      <c r="FM26" s="19">
        <f t="shared" si="14"/>
        <v>72</v>
      </c>
      <c r="FN26" s="19">
        <f t="shared" si="14"/>
        <v>76</v>
      </c>
      <c r="FO26" s="19">
        <f t="shared" si="14"/>
        <v>76</v>
      </c>
      <c r="FP26" s="19">
        <f t="shared" si="14"/>
        <v>80</v>
      </c>
      <c r="FQ26" s="19">
        <f t="shared" si="14"/>
        <v>80</v>
      </c>
      <c r="FR26" s="19">
        <f t="shared" si="14"/>
        <v>84</v>
      </c>
      <c r="FS26" s="19">
        <f t="shared" si="14"/>
        <v>84</v>
      </c>
      <c r="FT26" s="19">
        <f t="shared" si="14"/>
        <v>88</v>
      </c>
      <c r="FU26" s="19">
        <f t="shared" si="14"/>
        <v>88</v>
      </c>
      <c r="FV26" s="19">
        <f t="shared" si="14"/>
        <v>92</v>
      </c>
      <c r="FW26" s="19">
        <f t="shared" si="14"/>
        <v>92</v>
      </c>
      <c r="FX26" s="19">
        <f t="shared" si="14"/>
        <v>96</v>
      </c>
      <c r="FY26" s="19">
        <f t="shared" si="14"/>
        <v>100</v>
      </c>
      <c r="FZ26" s="19">
        <f t="shared" si="14"/>
        <v>100</v>
      </c>
      <c r="GA26" s="19">
        <f t="shared" si="14"/>
        <v>104</v>
      </c>
      <c r="GC26" s="19"/>
      <c r="GD26" s="19"/>
      <c r="GE26" s="19" t="s">
        <v>179</v>
      </c>
      <c r="GF26" s="19">
        <v>0</v>
      </c>
      <c r="GG26" s="19">
        <v>0</v>
      </c>
      <c r="GH26" s="19">
        <v>4</v>
      </c>
      <c r="GI26" s="19">
        <v>4</v>
      </c>
      <c r="GJ26" s="19">
        <v>8</v>
      </c>
      <c r="GK26" s="19">
        <v>12</v>
      </c>
      <c r="GL26" s="19">
        <v>12</v>
      </c>
      <c r="GM26" s="19">
        <v>16</v>
      </c>
      <c r="GN26" s="19">
        <v>16</v>
      </c>
      <c r="GO26" s="19">
        <v>20</v>
      </c>
      <c r="GP26" s="19">
        <v>20</v>
      </c>
      <c r="GQ26" s="19">
        <v>24</v>
      </c>
      <c r="GR26" s="19">
        <v>28</v>
      </c>
      <c r="GS26" s="19">
        <v>28</v>
      </c>
      <c r="GT26" s="19">
        <v>32</v>
      </c>
      <c r="GU26" s="19">
        <v>32</v>
      </c>
      <c r="GV26" s="19">
        <v>36</v>
      </c>
      <c r="GW26" s="19">
        <v>40</v>
      </c>
      <c r="GX26" s="19">
        <v>40</v>
      </c>
      <c r="GY26" s="19">
        <v>44</v>
      </c>
      <c r="GZ26" s="19">
        <v>44</v>
      </c>
      <c r="HA26" s="19">
        <v>48</v>
      </c>
      <c r="HB26" s="19">
        <v>52</v>
      </c>
      <c r="HC26" s="19">
        <v>52</v>
      </c>
      <c r="HD26" s="19">
        <v>56</v>
      </c>
      <c r="HE26" s="19">
        <v>56</v>
      </c>
      <c r="HF26" s="19">
        <v>60</v>
      </c>
      <c r="HG26" s="19">
        <v>64</v>
      </c>
      <c r="HH26" s="19">
        <v>64</v>
      </c>
      <c r="HI26" s="19">
        <v>68</v>
      </c>
      <c r="HJ26" s="19">
        <v>68</v>
      </c>
      <c r="HK26" s="19">
        <v>72</v>
      </c>
      <c r="HL26" s="19">
        <v>76</v>
      </c>
      <c r="HM26" s="19">
        <v>76</v>
      </c>
      <c r="HN26" s="19">
        <v>80</v>
      </c>
      <c r="HO26" s="19">
        <v>80</v>
      </c>
      <c r="HP26" s="19">
        <v>84</v>
      </c>
      <c r="HQ26" s="19">
        <v>88</v>
      </c>
      <c r="HR26" s="19">
        <v>88</v>
      </c>
      <c r="HS26" s="19">
        <v>92</v>
      </c>
      <c r="HT26" s="19">
        <v>92</v>
      </c>
      <c r="HU26" s="19">
        <v>96</v>
      </c>
      <c r="HV26" s="19">
        <v>100</v>
      </c>
      <c r="HW26" s="19">
        <v>100</v>
      </c>
      <c r="HX26" s="19">
        <v>104</v>
      </c>
      <c r="HY26" s="19">
        <v>104</v>
      </c>
      <c r="HZ26" s="19">
        <v>108</v>
      </c>
      <c r="IA26" s="19">
        <v>112</v>
      </c>
      <c r="IB26" s="19">
        <v>112</v>
      </c>
      <c r="IC26" s="19">
        <v>116</v>
      </c>
      <c r="ID26" s="19">
        <v>116</v>
      </c>
      <c r="IF26" s="20" t="s">
        <v>179</v>
      </c>
      <c r="IG26" s="20">
        <v>0</v>
      </c>
      <c r="IH26" s="20">
        <v>0</v>
      </c>
      <c r="II26" s="20">
        <v>4</v>
      </c>
      <c r="IJ26" s="20">
        <v>8</v>
      </c>
      <c r="IK26" s="20">
        <v>8</v>
      </c>
      <c r="IL26" s="20">
        <v>12</v>
      </c>
      <c r="IM26" s="20">
        <v>16</v>
      </c>
      <c r="IN26" s="20">
        <v>20</v>
      </c>
      <c r="IO26" s="20">
        <v>20</v>
      </c>
      <c r="IP26" s="20">
        <v>24</v>
      </c>
      <c r="IQ26" s="20">
        <v>28</v>
      </c>
      <c r="IR26" s="20">
        <v>32</v>
      </c>
      <c r="IS26" s="20">
        <v>32</v>
      </c>
      <c r="IT26" s="20">
        <v>36</v>
      </c>
      <c r="IU26" s="20">
        <v>40</v>
      </c>
      <c r="IV26" s="20">
        <v>44</v>
      </c>
      <c r="IW26" s="20">
        <v>44</v>
      </c>
      <c r="IX26" s="20">
        <v>48</v>
      </c>
      <c r="IY26" s="20">
        <v>52</v>
      </c>
      <c r="IZ26" s="20">
        <v>52</v>
      </c>
      <c r="JA26" s="20">
        <v>56</v>
      </c>
      <c r="JB26" s="20">
        <v>60</v>
      </c>
      <c r="JC26" s="20">
        <v>64</v>
      </c>
      <c r="JD26" s="20">
        <v>64</v>
      </c>
      <c r="JE26" s="20">
        <v>68</v>
      </c>
      <c r="JF26" s="20">
        <v>72</v>
      </c>
    </row>
    <row r="27" spans="1:266" x14ac:dyDescent="0.25">
      <c r="A27" s="8"/>
      <c r="B27" s="5" t="s">
        <v>61</v>
      </c>
      <c r="C27" s="8"/>
      <c r="D27" s="6" t="s">
        <v>454</v>
      </c>
      <c r="E27" s="8" t="s">
        <v>462</v>
      </c>
      <c r="F27" s="6"/>
      <c r="G27" s="6"/>
      <c r="H27" s="6"/>
      <c r="I27" s="6"/>
      <c r="J27" s="5"/>
      <c r="K27" s="4"/>
      <c r="L27" s="6" t="str">
        <f>IF($E$32=AK22,"PAL40H40/2,2",IF($E$32=AK23,"PAL30H32/2,2",IF($E$32=AK24,"CWP40H35/2,2MC","-------")))</f>
        <v>PAL40H40/2,2</v>
      </c>
      <c r="M27" s="14">
        <f>INDEX(cenník!$A$2:$I$568,MATCH($L27,cenník!$B$2:$B$557,0),MATCH(M$24,cenník!$A$1:$I$1,0))</f>
        <v>894622</v>
      </c>
      <c r="N27" s="14" t="str">
        <f>INDEX(cenník!$A$2:$I$568,MATCH($L27,cenník!$B$2:$B$557,0),MATCH(N$24,cenník!$A$1:$I$1,0))</f>
        <v>ks</v>
      </c>
      <c r="O27" s="14">
        <f>SUM(AB23:AB38)</f>
        <v>0</v>
      </c>
      <c r="P27" s="21">
        <f>INDEX(cenník!$A$2:$I$568,MATCH($L27,cenník!$B$2:$B$557,0),MATCH(P$24,cenník!$A$1:$I$1,0))</f>
        <v>21.11</v>
      </c>
      <c r="Q27" s="21">
        <f t="shared" si="10"/>
        <v>0</v>
      </c>
      <c r="R27" s="22">
        <f t="shared" si="8"/>
        <v>0</v>
      </c>
      <c r="S27" s="21">
        <f t="shared" si="9"/>
        <v>21.11</v>
      </c>
      <c r="T27" s="21">
        <f t="shared" si="11"/>
        <v>0</v>
      </c>
      <c r="U27" s="21">
        <f>INDEX(cenník!$A$2:$I$568,MATCH($L27,cenník!$B$2:$B$557,0),MATCH(U$24,cenník!$A$1:$I$1,0))*O27</f>
        <v>0</v>
      </c>
      <c r="V27" s="19"/>
      <c r="W27" s="25"/>
      <c r="X27" s="25">
        <f t="shared" si="7"/>
        <v>0</v>
      </c>
      <c r="Y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28,$BB$2:$CA$2,0),MATCH($W$22,$AH$22:$AH$47,0)))*C28</f>
        <v>0</v>
      </c>
      <c r="Z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28,$BB$2:$CA$2,0),MATCH($W$22,$AH$22:$AH$47,0)))*C28</f>
        <v>0</v>
      </c>
      <c r="AA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28,$BB$2:$CA$2,0),MATCH($W$22,$AH$22:$AH$47,0)))*C28</f>
        <v>0</v>
      </c>
      <c r="AB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28,$BB$2:$CA$2,0),MATCH($W$22,$AH$22:$AH$47,0)))*C28</f>
        <v>0</v>
      </c>
      <c r="AC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28,$BB$2:$CA$2,0),MATCH($W$22,$AH$22:$AH$47,0)))*C28</f>
        <v>0</v>
      </c>
      <c r="AD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28,$BB$2:$CA$2,0),MATCH($W$22,$AH$22:$AH$47,0)))*C28</f>
        <v>0</v>
      </c>
      <c r="AE27" s="19"/>
      <c r="AF27" s="19"/>
      <c r="AG27" s="19"/>
      <c r="AH27" s="19" t="s">
        <v>330</v>
      </c>
      <c r="AI27" s="19">
        <v>1700</v>
      </c>
      <c r="AJ27" s="19">
        <v>1250</v>
      </c>
      <c r="AK27" s="19"/>
      <c r="AL27" s="19"/>
      <c r="AM27" s="19" t="s">
        <v>469</v>
      </c>
      <c r="AN27" s="19" t="s">
        <v>466</v>
      </c>
      <c r="AO27" s="19" t="s">
        <v>467</v>
      </c>
      <c r="AP27" s="19"/>
      <c r="AQ27" s="19"/>
      <c r="AS27" s="19" t="s">
        <v>469</v>
      </c>
      <c r="AT27" s="19" t="s">
        <v>466</v>
      </c>
      <c r="AU27" s="19" t="s">
        <v>467</v>
      </c>
      <c r="AV27" s="19"/>
      <c r="AW27" s="19"/>
      <c r="AX27" s="19"/>
      <c r="AY27" s="19"/>
      <c r="AZ27" s="19"/>
      <c r="BA27" s="26" t="s">
        <v>234</v>
      </c>
      <c r="BB27" s="19">
        <v>0</v>
      </c>
      <c r="BC27" s="19">
        <v>2</v>
      </c>
      <c r="BD27" s="19">
        <v>0</v>
      </c>
      <c r="BE27" s="19">
        <v>0</v>
      </c>
      <c r="BF27" s="19">
        <v>0</v>
      </c>
      <c r="BG27" s="19">
        <v>0</v>
      </c>
      <c r="BH27" s="19">
        <v>0</v>
      </c>
      <c r="BI27" s="19">
        <v>0</v>
      </c>
      <c r="BJ27" s="19">
        <v>0</v>
      </c>
      <c r="BK27" s="19">
        <v>0</v>
      </c>
      <c r="BL27" s="19">
        <v>0</v>
      </c>
      <c r="BM27" s="19">
        <v>0</v>
      </c>
      <c r="BN27" s="19">
        <v>0</v>
      </c>
      <c r="BO27" s="19">
        <v>0</v>
      </c>
      <c r="BP27" s="19">
        <v>0</v>
      </c>
      <c r="BQ27" s="19">
        <v>0</v>
      </c>
      <c r="BR27" s="19">
        <v>0</v>
      </c>
      <c r="BS27" s="19">
        <v>0</v>
      </c>
      <c r="BT27" s="19">
        <v>0</v>
      </c>
      <c r="BU27" s="19">
        <v>0</v>
      </c>
      <c r="BV27" s="19">
        <v>0</v>
      </c>
      <c r="BW27" s="19">
        <v>0</v>
      </c>
      <c r="BX27" s="19">
        <v>0</v>
      </c>
      <c r="BY27" s="19">
        <v>0</v>
      </c>
      <c r="BZ27" s="19">
        <v>0</v>
      </c>
      <c r="CA27" s="19">
        <v>0</v>
      </c>
      <c r="CB27" s="19">
        <v>0</v>
      </c>
      <c r="CC27" s="19">
        <v>0</v>
      </c>
      <c r="CD27" s="19">
        <v>0</v>
      </c>
      <c r="CE27" s="19">
        <v>0</v>
      </c>
      <c r="CF27" s="19">
        <v>0</v>
      </c>
      <c r="CG27" s="19">
        <v>0</v>
      </c>
      <c r="CH27" s="19">
        <v>0</v>
      </c>
      <c r="CI27" s="19">
        <v>0</v>
      </c>
      <c r="CJ27" s="19">
        <v>0</v>
      </c>
      <c r="CK27" s="19">
        <v>0</v>
      </c>
      <c r="CL27" s="19">
        <v>0</v>
      </c>
      <c r="CM27" s="19">
        <v>2</v>
      </c>
      <c r="CN27" s="19">
        <v>0</v>
      </c>
      <c r="CO27" s="19">
        <v>0</v>
      </c>
      <c r="CP27" s="19">
        <v>0</v>
      </c>
      <c r="CQ27" s="19">
        <v>0</v>
      </c>
      <c r="CR27" s="19">
        <v>0</v>
      </c>
      <c r="CS27" s="19">
        <v>0</v>
      </c>
      <c r="CT27" s="19">
        <v>0</v>
      </c>
      <c r="CU27" s="19">
        <v>0</v>
      </c>
      <c r="CV27" s="19">
        <v>0</v>
      </c>
      <c r="CW27" s="19">
        <v>2</v>
      </c>
      <c r="CX27" s="19">
        <v>0</v>
      </c>
      <c r="CY27" s="19">
        <v>0</v>
      </c>
      <c r="CZ27" s="19">
        <v>0</v>
      </c>
      <c r="DA27" s="17"/>
      <c r="DB27" s="17">
        <v>26</v>
      </c>
      <c r="DC27" s="17"/>
      <c r="DD27" s="19" t="s">
        <v>236</v>
      </c>
      <c r="DE27" s="19">
        <v>0</v>
      </c>
      <c r="DF27" s="19">
        <v>2</v>
      </c>
      <c r="DG27" s="19">
        <v>0</v>
      </c>
      <c r="DH27" s="19">
        <v>4</v>
      </c>
      <c r="DI27" s="19">
        <v>2</v>
      </c>
      <c r="DJ27" s="19">
        <v>0</v>
      </c>
      <c r="DK27" s="19">
        <v>4</v>
      </c>
      <c r="DL27" s="19">
        <v>2</v>
      </c>
      <c r="DM27" s="19">
        <v>0</v>
      </c>
      <c r="DN27" s="19">
        <v>4</v>
      </c>
      <c r="DO27" s="19">
        <v>2</v>
      </c>
      <c r="DP27" s="19">
        <v>0</v>
      </c>
      <c r="DQ27" s="19">
        <v>4</v>
      </c>
      <c r="DR27" s="19">
        <v>2</v>
      </c>
      <c r="DS27" s="19">
        <v>0</v>
      </c>
      <c r="DT27" s="19">
        <v>4</v>
      </c>
      <c r="DU27" s="19">
        <v>2</v>
      </c>
      <c r="DV27" s="19">
        <v>0</v>
      </c>
      <c r="DW27" s="19">
        <v>4</v>
      </c>
      <c r="DX27" s="19">
        <v>2</v>
      </c>
      <c r="DY27" s="19">
        <v>0</v>
      </c>
      <c r="DZ27" s="19"/>
      <c r="EA27" s="19"/>
      <c r="EB27" s="26" t="s">
        <v>234</v>
      </c>
      <c r="EC27" s="19">
        <v>0</v>
      </c>
      <c r="ED27" s="19">
        <v>0</v>
      </c>
      <c r="EE27" s="19">
        <v>0</v>
      </c>
      <c r="EF27" s="19">
        <v>0</v>
      </c>
      <c r="EG27" s="19">
        <v>0</v>
      </c>
      <c r="EH27" s="19">
        <v>0</v>
      </c>
      <c r="EI27" s="19">
        <v>0</v>
      </c>
      <c r="EJ27" s="19">
        <v>0</v>
      </c>
      <c r="EK27" s="19">
        <v>0</v>
      </c>
      <c r="EL27" s="19">
        <v>0</v>
      </c>
      <c r="EM27" s="19">
        <v>0</v>
      </c>
      <c r="EN27" s="19">
        <v>0</v>
      </c>
      <c r="EO27" s="19">
        <v>0</v>
      </c>
      <c r="EP27" s="19">
        <v>0</v>
      </c>
      <c r="EQ27" s="19">
        <v>0</v>
      </c>
      <c r="ER27" s="19">
        <v>0</v>
      </c>
      <c r="ES27" s="19">
        <v>0</v>
      </c>
      <c r="ET27" s="19">
        <v>0</v>
      </c>
      <c r="EU27" s="19">
        <v>0</v>
      </c>
      <c r="EV27" s="19">
        <v>0</v>
      </c>
      <c r="EW27" s="19">
        <v>0</v>
      </c>
      <c r="EX27" s="19">
        <v>0</v>
      </c>
      <c r="EY27" s="19">
        <v>0</v>
      </c>
      <c r="EZ27" s="19">
        <v>0</v>
      </c>
      <c r="FA27" s="19">
        <v>0</v>
      </c>
      <c r="FB27" s="19">
        <v>0</v>
      </c>
      <c r="FC27" s="19">
        <v>0</v>
      </c>
      <c r="FD27" s="19">
        <v>0</v>
      </c>
      <c r="FE27" s="19">
        <v>0</v>
      </c>
      <c r="FF27" s="19">
        <v>0</v>
      </c>
      <c r="FG27" s="19">
        <v>0</v>
      </c>
      <c r="FH27" s="19">
        <v>0</v>
      </c>
      <c r="FI27" s="19">
        <v>0</v>
      </c>
      <c r="FJ27" s="19">
        <v>0</v>
      </c>
      <c r="FK27" s="19">
        <v>0</v>
      </c>
      <c r="FL27" s="19">
        <v>0</v>
      </c>
      <c r="FM27" s="19">
        <v>0</v>
      </c>
      <c r="FN27" s="19">
        <v>2</v>
      </c>
      <c r="FO27" s="19">
        <v>0</v>
      </c>
      <c r="FP27" s="19">
        <v>0</v>
      </c>
      <c r="FQ27" s="19">
        <v>0</v>
      </c>
      <c r="FR27" s="19">
        <v>0</v>
      </c>
      <c r="FS27" s="19">
        <v>0</v>
      </c>
      <c r="FT27" s="19">
        <v>0</v>
      </c>
      <c r="FU27" s="19">
        <v>0</v>
      </c>
      <c r="FV27" s="19">
        <v>0</v>
      </c>
      <c r="FW27" s="19">
        <v>0</v>
      </c>
      <c r="FX27" s="19">
        <v>0</v>
      </c>
      <c r="FY27" s="19">
        <v>0</v>
      </c>
      <c r="FZ27" s="19">
        <v>0</v>
      </c>
      <c r="GA27" s="19">
        <v>0</v>
      </c>
      <c r="GC27" s="19"/>
      <c r="GD27" s="19"/>
      <c r="GE27" s="26" t="s">
        <v>234</v>
      </c>
      <c r="GF27" s="19">
        <v>0</v>
      </c>
      <c r="GG27" s="19">
        <v>0</v>
      </c>
      <c r="GH27" s="19">
        <v>0</v>
      </c>
      <c r="GI27" s="19">
        <v>0</v>
      </c>
      <c r="GJ27" s="19">
        <v>0</v>
      </c>
      <c r="GK27" s="19">
        <v>2</v>
      </c>
      <c r="GL27" s="19">
        <v>0</v>
      </c>
      <c r="GM27" s="19">
        <v>0</v>
      </c>
      <c r="GN27" s="19">
        <v>0</v>
      </c>
      <c r="GO27" s="19">
        <v>0</v>
      </c>
      <c r="GP27" s="19">
        <v>0</v>
      </c>
      <c r="GQ27" s="19">
        <v>0</v>
      </c>
      <c r="GR27" s="19">
        <v>0</v>
      </c>
      <c r="GS27" s="19">
        <v>0</v>
      </c>
      <c r="GT27" s="19">
        <v>0</v>
      </c>
      <c r="GU27" s="19">
        <v>0</v>
      </c>
      <c r="GV27" s="19">
        <v>0</v>
      </c>
      <c r="GW27" s="19">
        <v>2</v>
      </c>
      <c r="GX27" s="19">
        <v>0</v>
      </c>
      <c r="GY27" s="19">
        <v>0</v>
      </c>
      <c r="GZ27" s="19">
        <v>0</v>
      </c>
      <c r="HA27" s="19">
        <v>0</v>
      </c>
      <c r="HB27" s="19">
        <v>0</v>
      </c>
      <c r="HC27" s="19">
        <v>0</v>
      </c>
      <c r="HD27" s="19">
        <v>0</v>
      </c>
      <c r="HE27" s="19">
        <v>0</v>
      </c>
      <c r="HF27" s="19">
        <v>0</v>
      </c>
      <c r="HG27" s="19">
        <v>0</v>
      </c>
      <c r="HH27" s="19">
        <v>0</v>
      </c>
      <c r="HI27" s="19">
        <v>0</v>
      </c>
      <c r="HJ27" s="19">
        <v>0</v>
      </c>
      <c r="HK27" s="19">
        <v>0</v>
      </c>
      <c r="HL27" s="19">
        <v>2</v>
      </c>
      <c r="HM27" s="19">
        <v>0</v>
      </c>
      <c r="HN27" s="19">
        <v>0</v>
      </c>
      <c r="HO27" s="19">
        <v>0</v>
      </c>
      <c r="HP27" s="19">
        <v>0</v>
      </c>
      <c r="HQ27" s="19">
        <v>0</v>
      </c>
      <c r="HR27" s="19">
        <v>0</v>
      </c>
      <c r="HS27" s="19">
        <v>0</v>
      </c>
      <c r="HT27" s="19">
        <v>0</v>
      </c>
      <c r="HU27" s="19">
        <v>0</v>
      </c>
      <c r="HV27" s="19">
        <v>0</v>
      </c>
      <c r="HW27" s="19">
        <v>0</v>
      </c>
      <c r="HX27" s="19">
        <v>0</v>
      </c>
      <c r="HY27" s="19">
        <v>0</v>
      </c>
      <c r="HZ27" s="19">
        <v>0</v>
      </c>
      <c r="IA27" s="19">
        <v>2</v>
      </c>
      <c r="IB27" s="19">
        <v>0</v>
      </c>
      <c r="IC27" s="19">
        <v>0</v>
      </c>
      <c r="ID27" s="19">
        <v>0</v>
      </c>
      <c r="IF27" s="20" t="s">
        <v>234</v>
      </c>
      <c r="IG27" s="20">
        <v>0</v>
      </c>
      <c r="IH27" s="20">
        <v>0</v>
      </c>
      <c r="II27" s="20">
        <v>0</v>
      </c>
      <c r="IJ27" s="20">
        <v>0</v>
      </c>
      <c r="IK27" s="20">
        <v>0</v>
      </c>
      <c r="IL27" s="20">
        <v>0</v>
      </c>
      <c r="IM27" s="20">
        <v>0</v>
      </c>
      <c r="IN27" s="20">
        <v>0</v>
      </c>
      <c r="IO27" s="20">
        <v>0</v>
      </c>
      <c r="IP27" s="20">
        <v>0</v>
      </c>
      <c r="IQ27" s="20">
        <v>0</v>
      </c>
      <c r="IR27" s="20">
        <v>0</v>
      </c>
      <c r="IS27" s="20">
        <v>0</v>
      </c>
      <c r="IT27" s="20">
        <v>0</v>
      </c>
      <c r="IU27" s="20">
        <v>0</v>
      </c>
      <c r="IV27" s="20">
        <v>0</v>
      </c>
      <c r="IW27" s="20">
        <v>0</v>
      </c>
      <c r="IX27" s="20">
        <v>0</v>
      </c>
      <c r="IY27" s="20">
        <v>0</v>
      </c>
      <c r="IZ27" s="20">
        <v>0</v>
      </c>
      <c r="JA27" s="20">
        <v>0</v>
      </c>
      <c r="JB27" s="20">
        <v>0</v>
      </c>
      <c r="JC27" s="20">
        <v>0</v>
      </c>
      <c r="JD27" s="20">
        <v>0</v>
      </c>
      <c r="JE27" s="20">
        <v>0</v>
      </c>
      <c r="JF27" s="20">
        <v>0</v>
      </c>
    </row>
    <row r="28" spans="1:266" x14ac:dyDescent="0.25">
      <c r="A28" s="8"/>
      <c r="B28" s="5" t="s">
        <v>61</v>
      </c>
      <c r="C28" s="8"/>
      <c r="D28" s="6" t="s">
        <v>455</v>
      </c>
      <c r="E28" s="8" t="s">
        <v>465</v>
      </c>
      <c r="F28" s="126" t="str">
        <f>IF(E32="40x35 oceľ","niekompatybilne z profilem stalowym","")</f>
        <v/>
      </c>
      <c r="G28" s="6"/>
      <c r="H28" s="6"/>
      <c r="I28" s="6"/>
      <c r="J28" s="5"/>
      <c r="K28" s="4"/>
      <c r="L28" s="6" t="str">
        <f>IF($E$32=AK22,"PAL40H40/3,15",IF($E$32=AK23,"PAL30H32/3,15","-------"))</f>
        <v>PAL40H40/3,15</v>
      </c>
      <c r="M28" s="14">
        <f>INDEX(cenník!$A$2:$I$568,MATCH($L28,cenník!$B$2:$B$557,0),MATCH(M$24,cenník!$A$1:$I$1,0))</f>
        <v>894631</v>
      </c>
      <c r="N28" s="14" t="str">
        <f>INDEX(cenník!$A$2:$I$568,MATCH($L28,cenník!$B$2:$B$557,0),MATCH(N$24,cenník!$A$1:$I$1,0))</f>
        <v>ks</v>
      </c>
      <c r="O28" s="14">
        <f>IF(L28="-------",0,SUM(AC23:AC38))</f>
        <v>0</v>
      </c>
      <c r="P28" s="21">
        <f>INDEX(cenník!$A$2:$I$568,MATCH($L28,cenník!$B$2:$B$557,0),MATCH(P$24,cenník!$A$1:$I$1,0))</f>
        <v>30.78</v>
      </c>
      <c r="Q28" s="21">
        <f t="shared" si="10"/>
        <v>0</v>
      </c>
      <c r="R28" s="22">
        <f t="shared" si="8"/>
        <v>0</v>
      </c>
      <c r="S28" s="21">
        <f t="shared" si="9"/>
        <v>30.78</v>
      </c>
      <c r="T28" s="21">
        <f t="shared" si="11"/>
        <v>0</v>
      </c>
      <c r="U28" s="21">
        <f>INDEX(cenník!$A$2:$I$568,MATCH($L28,cenník!$B$2:$B$557,0),MATCH(U$24,cenník!$A$1:$I$1,0))*O28</f>
        <v>0</v>
      </c>
      <c r="V28" s="19"/>
      <c r="W28" s="25"/>
      <c r="X28" s="25">
        <f t="shared" si="7"/>
        <v>0</v>
      </c>
      <c r="Y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29,$BB$2:$CA$2,0),MATCH($W$22,$AH$22:$AH$47,0)))*C29</f>
        <v>0</v>
      </c>
      <c r="Z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29,$BB$2:$CA$2,0),MATCH($W$22,$AH$22:$AH$47,0)))*C29</f>
        <v>0</v>
      </c>
      <c r="AA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29,$BB$2:$CA$2,0),MATCH($W$22,$AH$22:$AH$47,0)))*C29</f>
        <v>0</v>
      </c>
      <c r="AB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29,$BB$2:$CA$2,0),MATCH($W$22,$AH$22:$AH$47,0)))*C29</f>
        <v>0</v>
      </c>
      <c r="AC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29,$BB$2:$CA$2,0),MATCH($W$22,$AH$22:$AH$47,0)))*C29</f>
        <v>0</v>
      </c>
      <c r="AD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29,$BB$2:$CA$2,0),MATCH($W$22,$AH$22:$AH$47,0)))*C29</f>
        <v>0</v>
      </c>
      <c r="AE28" s="19"/>
      <c r="AF28" s="19"/>
      <c r="AG28" s="19"/>
      <c r="AH28" s="19" t="s">
        <v>331</v>
      </c>
      <c r="AI28" s="19">
        <v>1750</v>
      </c>
      <c r="AJ28" s="19">
        <v>1300</v>
      </c>
      <c r="AK28" s="19" t="s">
        <v>13</v>
      </c>
      <c r="AL28" s="19"/>
      <c r="AM28" s="19">
        <v>30</v>
      </c>
      <c r="AN28" s="19" t="s">
        <v>200</v>
      </c>
      <c r="AO28" s="19" t="s">
        <v>201</v>
      </c>
      <c r="AP28" s="19" t="s">
        <v>202</v>
      </c>
      <c r="AQ28" s="19" t="s">
        <v>13</v>
      </c>
      <c r="AS28" s="19">
        <v>30</v>
      </c>
      <c r="AT28" s="19" t="s">
        <v>983</v>
      </c>
      <c r="AU28" s="19" t="s">
        <v>984</v>
      </c>
      <c r="AV28" s="19" t="s">
        <v>202</v>
      </c>
      <c r="AW28" s="19" t="s">
        <v>13</v>
      </c>
      <c r="AX28" s="19"/>
      <c r="AY28" s="19"/>
      <c r="AZ28" s="19"/>
      <c r="BA28" s="26" t="s">
        <v>235</v>
      </c>
      <c r="BB28" s="19">
        <v>0</v>
      </c>
      <c r="BC28" s="19">
        <v>0</v>
      </c>
      <c r="BD28" s="19">
        <v>0</v>
      </c>
      <c r="BE28" s="19">
        <v>0</v>
      </c>
      <c r="BF28" s="19">
        <v>0</v>
      </c>
      <c r="BG28" s="19">
        <v>0</v>
      </c>
      <c r="BH28" s="19">
        <v>0</v>
      </c>
      <c r="BI28" s="19">
        <v>0</v>
      </c>
      <c r="BJ28" s="19">
        <v>2</v>
      </c>
      <c r="BK28" s="19">
        <v>0</v>
      </c>
      <c r="BL28" s="19">
        <v>0</v>
      </c>
      <c r="BM28" s="19">
        <v>0</v>
      </c>
      <c r="BN28" s="19">
        <v>0</v>
      </c>
      <c r="BO28" s="19">
        <v>4</v>
      </c>
      <c r="BP28" s="19">
        <v>2</v>
      </c>
      <c r="BQ28" s="19">
        <v>0</v>
      </c>
      <c r="BR28" s="19">
        <v>2</v>
      </c>
      <c r="BS28" s="19">
        <v>0</v>
      </c>
      <c r="BT28" s="19">
        <v>0</v>
      </c>
      <c r="BU28" s="19">
        <v>4</v>
      </c>
      <c r="BV28" s="19">
        <v>2</v>
      </c>
      <c r="BW28" s="19">
        <v>0</v>
      </c>
      <c r="BX28" s="19">
        <v>0</v>
      </c>
      <c r="BY28" s="19">
        <v>2</v>
      </c>
      <c r="BZ28" s="19">
        <v>0</v>
      </c>
      <c r="CA28" s="19">
        <v>0</v>
      </c>
      <c r="CB28" s="19">
        <v>0</v>
      </c>
      <c r="CC28" s="19">
        <v>0</v>
      </c>
      <c r="CD28" s="19">
        <v>4</v>
      </c>
      <c r="CE28" s="19">
        <v>2</v>
      </c>
      <c r="CF28" s="19">
        <v>0</v>
      </c>
      <c r="CG28" s="19">
        <v>2</v>
      </c>
      <c r="CH28" s="19">
        <v>0</v>
      </c>
      <c r="CI28" s="19">
        <v>0</v>
      </c>
      <c r="CJ28" s="19">
        <v>2</v>
      </c>
      <c r="CK28" s="19">
        <v>0</v>
      </c>
      <c r="CL28" s="19">
        <v>0</v>
      </c>
      <c r="CM28" s="19">
        <v>0</v>
      </c>
      <c r="CN28" s="19">
        <v>0</v>
      </c>
      <c r="CO28" s="19">
        <v>0</v>
      </c>
      <c r="CP28" s="19">
        <v>0</v>
      </c>
      <c r="CQ28" s="19">
        <v>0</v>
      </c>
      <c r="CR28" s="19">
        <v>0</v>
      </c>
      <c r="CS28" s="19">
        <v>0</v>
      </c>
      <c r="CT28" s="19">
        <v>0</v>
      </c>
      <c r="CU28" s="19">
        <v>0</v>
      </c>
      <c r="CV28" s="19">
        <v>0</v>
      </c>
      <c r="CW28" s="19">
        <v>0</v>
      </c>
      <c r="CX28" s="19">
        <v>0</v>
      </c>
      <c r="CY28" s="19">
        <v>0</v>
      </c>
      <c r="CZ28" s="19">
        <v>0</v>
      </c>
      <c r="DA28" s="17"/>
      <c r="DB28" s="17">
        <v>27</v>
      </c>
      <c r="DC28" s="17"/>
      <c r="DD28" s="19" t="s">
        <v>238</v>
      </c>
      <c r="DE28" s="19">
        <v>0</v>
      </c>
      <c r="DF28" s="19">
        <v>0</v>
      </c>
      <c r="DG28" s="19">
        <v>2</v>
      </c>
      <c r="DH28" s="19">
        <v>0</v>
      </c>
      <c r="DI28" s="19">
        <v>2</v>
      </c>
      <c r="DJ28" s="19">
        <v>4</v>
      </c>
      <c r="DK28" s="19">
        <v>2</v>
      </c>
      <c r="DL28" s="19">
        <v>4</v>
      </c>
      <c r="DM28" s="19">
        <v>6</v>
      </c>
      <c r="DN28" s="19">
        <v>4</v>
      </c>
      <c r="DO28" s="19">
        <v>6</v>
      </c>
      <c r="DP28" s="19">
        <v>8</v>
      </c>
      <c r="DQ28" s="19">
        <v>6</v>
      </c>
      <c r="DR28" s="19">
        <v>8</v>
      </c>
      <c r="DS28" s="19">
        <v>10</v>
      </c>
      <c r="DT28" s="19">
        <v>8</v>
      </c>
      <c r="DU28" s="19">
        <v>10</v>
      </c>
      <c r="DV28" s="19">
        <v>12</v>
      </c>
      <c r="DW28" s="19">
        <v>10</v>
      </c>
      <c r="DX28" s="19">
        <v>12</v>
      </c>
      <c r="DY28" s="19">
        <v>14</v>
      </c>
      <c r="DZ28" s="19"/>
      <c r="EA28" s="19"/>
      <c r="EB28" s="26" t="s">
        <v>235</v>
      </c>
      <c r="EC28" s="19">
        <v>0</v>
      </c>
      <c r="ED28" s="19">
        <v>2</v>
      </c>
      <c r="EE28" s="19">
        <v>4</v>
      </c>
      <c r="EF28" s="19">
        <v>2</v>
      </c>
      <c r="EG28" s="19">
        <v>4</v>
      </c>
      <c r="EH28" s="19">
        <v>2</v>
      </c>
      <c r="EI28" s="19">
        <v>4</v>
      </c>
      <c r="EJ28" s="19">
        <v>0</v>
      </c>
      <c r="EK28" s="19">
        <v>4</v>
      </c>
      <c r="EL28" s="19">
        <v>0</v>
      </c>
      <c r="EM28" s="19">
        <v>4</v>
      </c>
      <c r="EN28" s="19">
        <v>0</v>
      </c>
      <c r="EO28" s="19">
        <v>4</v>
      </c>
      <c r="EP28" s="19">
        <v>0</v>
      </c>
      <c r="EQ28" s="19">
        <v>0</v>
      </c>
      <c r="ER28" s="19">
        <v>0</v>
      </c>
      <c r="ES28" s="19">
        <v>0</v>
      </c>
      <c r="ET28" s="19">
        <v>0</v>
      </c>
      <c r="EU28" s="19">
        <v>0</v>
      </c>
      <c r="EV28" s="19">
        <v>0</v>
      </c>
      <c r="EW28" s="19">
        <v>0</v>
      </c>
      <c r="EX28" s="19">
        <v>0</v>
      </c>
      <c r="EY28" s="19">
        <v>0</v>
      </c>
      <c r="EZ28" s="19">
        <v>0</v>
      </c>
      <c r="FA28" s="19">
        <v>0</v>
      </c>
      <c r="FB28" s="19">
        <v>0</v>
      </c>
      <c r="FC28" s="19">
        <v>0</v>
      </c>
      <c r="FD28" s="19">
        <v>4</v>
      </c>
      <c r="FE28" s="19">
        <v>0</v>
      </c>
      <c r="FF28" s="19">
        <v>0</v>
      </c>
      <c r="FG28" s="19">
        <v>0</v>
      </c>
      <c r="FH28" s="19">
        <v>0</v>
      </c>
      <c r="FI28" s="19">
        <v>0</v>
      </c>
      <c r="FJ28" s="19">
        <v>0</v>
      </c>
      <c r="FK28" s="19">
        <v>0</v>
      </c>
      <c r="FL28" s="19">
        <v>0</v>
      </c>
      <c r="FM28" s="19">
        <v>0</v>
      </c>
      <c r="FN28" s="19">
        <v>0</v>
      </c>
      <c r="FO28" s="19">
        <v>0</v>
      </c>
      <c r="FP28" s="19">
        <v>0</v>
      </c>
      <c r="FQ28" s="19">
        <v>0</v>
      </c>
      <c r="FR28" s="19">
        <v>0</v>
      </c>
      <c r="FS28" s="19">
        <v>0</v>
      </c>
      <c r="FT28" s="19">
        <v>0</v>
      </c>
      <c r="FU28" s="19">
        <v>0</v>
      </c>
      <c r="FV28" s="19">
        <v>0</v>
      </c>
      <c r="FW28" s="19">
        <v>0</v>
      </c>
      <c r="FX28" s="19">
        <v>0</v>
      </c>
      <c r="FY28" s="19">
        <v>0</v>
      </c>
      <c r="FZ28" s="19">
        <v>0</v>
      </c>
      <c r="GA28" s="19">
        <v>0</v>
      </c>
      <c r="GC28" s="19"/>
      <c r="GD28" s="19"/>
      <c r="GE28" s="26" t="s">
        <v>235</v>
      </c>
      <c r="GF28" s="19">
        <v>0</v>
      </c>
      <c r="GG28" s="19">
        <v>2</v>
      </c>
      <c r="GH28" s="19">
        <v>4</v>
      </c>
      <c r="GI28" s="19">
        <v>0</v>
      </c>
      <c r="GJ28" s="19">
        <v>2</v>
      </c>
      <c r="GK28" s="19">
        <v>0</v>
      </c>
      <c r="GL28" s="19">
        <v>2</v>
      </c>
      <c r="GM28" s="19">
        <v>0</v>
      </c>
      <c r="GN28" s="19">
        <v>0</v>
      </c>
      <c r="GO28" s="19">
        <v>0</v>
      </c>
      <c r="GP28" s="19">
        <v>0</v>
      </c>
      <c r="GQ28" s="19">
        <v>2</v>
      </c>
      <c r="GR28" s="19">
        <v>4</v>
      </c>
      <c r="GS28" s="19">
        <v>0</v>
      </c>
      <c r="GT28" s="19">
        <v>2</v>
      </c>
      <c r="GU28" s="19">
        <v>0</v>
      </c>
      <c r="GV28" s="19">
        <v>0</v>
      </c>
      <c r="GW28" s="19">
        <v>0</v>
      </c>
      <c r="GX28" s="19">
        <v>0</v>
      </c>
      <c r="GY28" s="19">
        <v>0</v>
      </c>
      <c r="GZ28" s="19">
        <v>0</v>
      </c>
      <c r="HA28" s="19">
        <v>0</v>
      </c>
      <c r="HB28" s="19">
        <v>0</v>
      </c>
      <c r="HC28" s="19">
        <v>0</v>
      </c>
      <c r="HD28" s="19">
        <v>0</v>
      </c>
      <c r="HE28" s="19">
        <v>0</v>
      </c>
      <c r="HF28" s="19">
        <v>0</v>
      </c>
      <c r="HG28" s="19">
        <v>4</v>
      </c>
      <c r="HH28" s="19">
        <v>0</v>
      </c>
      <c r="HI28" s="19">
        <v>0</v>
      </c>
      <c r="HJ28" s="19">
        <v>0</v>
      </c>
      <c r="HK28" s="19">
        <v>0</v>
      </c>
      <c r="HL28" s="19">
        <v>0</v>
      </c>
      <c r="HM28" s="19">
        <v>0</v>
      </c>
      <c r="HN28" s="19">
        <v>0</v>
      </c>
      <c r="HO28" s="19">
        <v>0</v>
      </c>
      <c r="HP28" s="19">
        <v>0</v>
      </c>
      <c r="HQ28" s="19">
        <v>0</v>
      </c>
      <c r="HR28" s="19">
        <v>0</v>
      </c>
      <c r="HS28" s="19">
        <v>0</v>
      </c>
      <c r="HT28" s="19">
        <v>0</v>
      </c>
      <c r="HU28" s="19">
        <v>0</v>
      </c>
      <c r="HV28" s="19">
        <v>4</v>
      </c>
      <c r="HW28" s="19">
        <v>0</v>
      </c>
      <c r="HX28" s="19">
        <v>0</v>
      </c>
      <c r="HY28" s="19">
        <v>0</v>
      </c>
      <c r="HZ28" s="19">
        <v>0</v>
      </c>
      <c r="IA28" s="19">
        <v>0</v>
      </c>
      <c r="IB28" s="19">
        <v>0</v>
      </c>
      <c r="IC28" s="19">
        <v>0</v>
      </c>
      <c r="ID28" s="19">
        <v>0</v>
      </c>
      <c r="IF28" s="20" t="s">
        <v>235</v>
      </c>
      <c r="IG28" s="20">
        <v>0</v>
      </c>
      <c r="IH28" s="20">
        <v>0</v>
      </c>
      <c r="II28" s="20">
        <v>2</v>
      </c>
      <c r="IJ28" s="20">
        <v>4</v>
      </c>
      <c r="IK28" s="20">
        <v>0</v>
      </c>
      <c r="IL28" s="20">
        <v>0</v>
      </c>
      <c r="IM28" s="20">
        <v>2</v>
      </c>
      <c r="IN28" s="20">
        <v>0</v>
      </c>
      <c r="IO28" s="20">
        <v>0</v>
      </c>
      <c r="IP28" s="20">
        <v>0</v>
      </c>
      <c r="IQ28" s="20">
        <v>2</v>
      </c>
      <c r="IR28" s="20">
        <v>2</v>
      </c>
      <c r="IS28" s="20">
        <v>0</v>
      </c>
      <c r="IT28" s="20">
        <v>0</v>
      </c>
      <c r="IU28" s="20">
        <v>2</v>
      </c>
      <c r="IV28" s="20">
        <v>2</v>
      </c>
      <c r="IW28" s="20">
        <v>0</v>
      </c>
      <c r="IX28" s="20">
        <v>0</v>
      </c>
      <c r="IY28" s="20">
        <v>0</v>
      </c>
      <c r="IZ28" s="20">
        <v>0</v>
      </c>
      <c r="JA28" s="20">
        <v>0</v>
      </c>
      <c r="JB28" s="20">
        <v>0</v>
      </c>
      <c r="JC28" s="20">
        <v>0</v>
      </c>
      <c r="JD28" s="20">
        <v>0</v>
      </c>
      <c r="JE28" s="20">
        <v>0</v>
      </c>
      <c r="JF28" s="20">
        <v>0</v>
      </c>
    </row>
    <row r="29" spans="1:266" x14ac:dyDescent="0.25">
      <c r="A29" s="8"/>
      <c r="B29" s="5" t="s">
        <v>61</v>
      </c>
      <c r="C29" s="8"/>
      <c r="D29" s="6" t="s">
        <v>456</v>
      </c>
      <c r="E29" s="8" t="s">
        <v>467</v>
      </c>
      <c r="F29" s="6"/>
      <c r="G29" s="6"/>
      <c r="H29" s="6"/>
      <c r="I29" s="6"/>
      <c r="J29" s="5"/>
      <c r="K29" s="4"/>
      <c r="L29" s="6" t="str">
        <f>IF($E$32=AK22,"PAL40H40/3,3",IF($E$32=AK23,"PAL30H32/3,3",IF($E$32=AK24,"CWP40H35/3,3MC","-------")))</f>
        <v>PAL40H40/3,3</v>
      </c>
      <c r="M29" s="14">
        <f>INDEX(cenník!$A$2:$I$568,MATCH($L29,cenník!$B$2:$B$557,0),MATCH(M$24,cenník!$A$1:$I$1,0))</f>
        <v>894633</v>
      </c>
      <c r="N29" s="14" t="str">
        <f>INDEX(cenník!$A$2:$I$568,MATCH($L29,cenník!$B$2:$B$557,0),MATCH(N$24,cenník!$A$1:$I$1,0))</f>
        <v>ks</v>
      </c>
      <c r="O29" s="14">
        <f>SUM(AD23:AD38)</f>
        <v>0</v>
      </c>
      <c r="P29" s="21">
        <f>INDEX(cenník!$A$2:$I$568,MATCH($L29,cenník!$B$2:$B$557,0),MATCH(P$24,cenník!$A$1:$I$1,0))</f>
        <v>32.159999999999997</v>
      </c>
      <c r="Q29" s="21">
        <f t="shared" si="10"/>
        <v>0</v>
      </c>
      <c r="R29" s="22">
        <f t="shared" si="8"/>
        <v>0</v>
      </c>
      <c r="S29" s="21">
        <f t="shared" si="9"/>
        <v>32.159999999999997</v>
      </c>
      <c r="T29" s="21">
        <f t="shared" si="11"/>
        <v>0</v>
      </c>
      <c r="U29" s="21">
        <f>INDEX(cenník!$A$2:$I$568,MATCH($L29,cenník!$B$2:$B$557,0),MATCH(U$24,cenník!$A$1:$I$1,0))*O29</f>
        <v>0</v>
      </c>
      <c r="V29" s="19"/>
      <c r="W29" s="25"/>
      <c r="X29" s="25">
        <f t="shared" si="7"/>
        <v>0</v>
      </c>
      <c r="Y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30,$BB$2:$CA$2,0),MATCH($W$22,$AH$22:$AH$47,0)))*C30</f>
        <v>0</v>
      </c>
      <c r="Z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30,$BB$2:$CA$2,0),MATCH($W$22,$AH$22:$AH$47,0)))*C30</f>
        <v>0</v>
      </c>
      <c r="AA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30,$BB$2:$CA$2,0),MATCH($W$22,$AH$22:$AH$47,0)))*C30</f>
        <v>0</v>
      </c>
      <c r="AB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30,$BB$2:$CA$2,0),MATCH($W$22,$AH$22:$AH$47,0)))*C30</f>
        <v>0</v>
      </c>
      <c r="AC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30,$BB$2:$CA$2,0),MATCH($W$22,$AH$22:$AH$47,0)))*C30</f>
        <v>0</v>
      </c>
      <c r="AD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30,$BB$2:$CA$2,0),MATCH($W$22,$AH$22:$AH$47,0)))*C30</f>
        <v>0</v>
      </c>
      <c r="AE29" s="19"/>
      <c r="AF29" s="19"/>
      <c r="AG29" s="19"/>
      <c r="AH29" s="19" t="s">
        <v>350</v>
      </c>
      <c r="AI29" s="19"/>
      <c r="AJ29" s="19">
        <v>1350</v>
      </c>
      <c r="AK29" s="19" t="s">
        <v>129</v>
      </c>
      <c r="AL29" s="19"/>
      <c r="AM29" s="19">
        <v>32</v>
      </c>
      <c r="AN29" s="19" t="s">
        <v>20</v>
      </c>
      <c r="AO29" s="19" t="s">
        <v>21</v>
      </c>
      <c r="AP29" s="19" t="s">
        <v>55</v>
      </c>
      <c r="AQ29" s="19" t="s">
        <v>13</v>
      </c>
      <c r="AS29" s="19">
        <v>32</v>
      </c>
      <c r="AT29" s="19" t="s">
        <v>32</v>
      </c>
      <c r="AU29" s="19" t="s">
        <v>33</v>
      </c>
      <c r="AV29" s="19" t="s">
        <v>84</v>
      </c>
      <c r="AW29" s="19" t="s">
        <v>84</v>
      </c>
      <c r="AX29" s="19"/>
      <c r="AY29" s="19"/>
      <c r="AZ29" s="19"/>
      <c r="BA29" s="26" t="s">
        <v>236</v>
      </c>
      <c r="BB29" s="19">
        <v>0</v>
      </c>
      <c r="BC29" s="19">
        <v>0</v>
      </c>
      <c r="BD29" s="19">
        <v>2</v>
      </c>
      <c r="BE29" s="19">
        <v>0</v>
      </c>
      <c r="BF29" s="19">
        <v>4</v>
      </c>
      <c r="BG29" s="19">
        <v>2</v>
      </c>
      <c r="BH29" s="19">
        <v>0</v>
      </c>
      <c r="BI29" s="19">
        <v>4</v>
      </c>
      <c r="BJ29" s="19">
        <v>0</v>
      </c>
      <c r="BK29" s="19">
        <v>0</v>
      </c>
      <c r="BL29" s="19">
        <v>4</v>
      </c>
      <c r="BM29" s="19">
        <v>2</v>
      </c>
      <c r="BN29" s="19">
        <v>0</v>
      </c>
      <c r="BO29" s="19">
        <v>0</v>
      </c>
      <c r="BP29" s="19">
        <v>0</v>
      </c>
      <c r="BQ29" s="19">
        <v>0</v>
      </c>
      <c r="BR29" s="19">
        <v>2</v>
      </c>
      <c r="BS29" s="19">
        <v>2</v>
      </c>
      <c r="BT29" s="19">
        <v>0</v>
      </c>
      <c r="BU29" s="19">
        <v>0</v>
      </c>
      <c r="BV29" s="19">
        <v>0</v>
      </c>
      <c r="BW29" s="19">
        <v>0</v>
      </c>
      <c r="BX29" s="19">
        <v>4</v>
      </c>
      <c r="BY29" s="19">
        <v>0</v>
      </c>
      <c r="BZ29" s="19">
        <v>0</v>
      </c>
      <c r="CA29" s="19">
        <v>4</v>
      </c>
      <c r="CB29" s="19">
        <v>2</v>
      </c>
      <c r="CC29" s="19">
        <v>0</v>
      </c>
      <c r="CD29" s="19">
        <v>0</v>
      </c>
      <c r="CE29" s="19">
        <v>0</v>
      </c>
      <c r="CF29" s="19">
        <v>0</v>
      </c>
      <c r="CG29" s="19">
        <v>2</v>
      </c>
      <c r="CH29" s="19">
        <v>2</v>
      </c>
      <c r="CI29" s="19">
        <v>0</v>
      </c>
      <c r="CJ29" s="19">
        <v>0</v>
      </c>
      <c r="CK29" s="19">
        <v>0</v>
      </c>
      <c r="CL29" s="19">
        <v>0</v>
      </c>
      <c r="CM29" s="19">
        <v>2</v>
      </c>
      <c r="CN29" s="19">
        <v>0</v>
      </c>
      <c r="CO29" s="19">
        <v>0</v>
      </c>
      <c r="CP29" s="19">
        <v>0</v>
      </c>
      <c r="CQ29" s="19">
        <v>2</v>
      </c>
      <c r="CR29" s="19">
        <v>0</v>
      </c>
      <c r="CS29" s="19">
        <v>0</v>
      </c>
      <c r="CT29" s="19">
        <v>0</v>
      </c>
      <c r="CU29" s="19">
        <v>0</v>
      </c>
      <c r="CV29" s="19">
        <v>0</v>
      </c>
      <c r="CW29" s="19">
        <v>0</v>
      </c>
      <c r="CX29" s="19">
        <v>0</v>
      </c>
      <c r="CY29" s="19">
        <v>0</v>
      </c>
      <c r="CZ29" s="19">
        <v>2</v>
      </c>
      <c r="DA29" s="17"/>
      <c r="DB29" s="17">
        <v>28</v>
      </c>
      <c r="DC29" s="17"/>
      <c r="DD29" s="19" t="s">
        <v>239</v>
      </c>
      <c r="DE29" s="19">
        <v>0</v>
      </c>
      <c r="DF29" s="19">
        <v>0</v>
      </c>
      <c r="DG29" s="19">
        <v>0</v>
      </c>
      <c r="DH29" s="19">
        <v>4</v>
      </c>
      <c r="DI29" s="19">
        <v>4</v>
      </c>
      <c r="DJ29" s="19">
        <v>4</v>
      </c>
      <c r="DK29" s="19">
        <v>8</v>
      </c>
      <c r="DL29" s="19">
        <v>8</v>
      </c>
      <c r="DM29" s="19">
        <v>8</v>
      </c>
      <c r="DN29" s="19">
        <v>12</v>
      </c>
      <c r="DO29" s="19">
        <v>12</v>
      </c>
      <c r="DP29" s="19">
        <v>12</v>
      </c>
      <c r="DQ29" s="19">
        <v>16</v>
      </c>
      <c r="DR29" s="19">
        <v>16</v>
      </c>
      <c r="DS29" s="19">
        <v>16</v>
      </c>
      <c r="DT29" s="19">
        <v>20</v>
      </c>
      <c r="DU29" s="19">
        <v>20</v>
      </c>
      <c r="DV29" s="19">
        <v>20</v>
      </c>
      <c r="DW29" s="19">
        <v>24</v>
      </c>
      <c r="DX29" s="19">
        <v>24</v>
      </c>
      <c r="DY29" s="19">
        <v>24</v>
      </c>
      <c r="DZ29" s="19"/>
      <c r="EA29" s="19"/>
      <c r="EB29" s="26" t="s">
        <v>236</v>
      </c>
      <c r="EC29" s="19">
        <v>0</v>
      </c>
      <c r="ED29" s="19">
        <v>0</v>
      </c>
      <c r="EE29" s="19">
        <v>0</v>
      </c>
      <c r="EF29" s="19">
        <v>0</v>
      </c>
      <c r="EG29" s="19">
        <v>0</v>
      </c>
      <c r="EH29" s="19">
        <v>0</v>
      </c>
      <c r="EI29" s="19">
        <v>0</v>
      </c>
      <c r="EJ29" s="19">
        <v>2</v>
      </c>
      <c r="EK29" s="19">
        <v>0</v>
      </c>
      <c r="EL29" s="19">
        <v>0</v>
      </c>
      <c r="EM29" s="19">
        <v>0</v>
      </c>
      <c r="EN29" s="19">
        <v>0</v>
      </c>
      <c r="EO29" s="19">
        <v>0</v>
      </c>
      <c r="EP29" s="19">
        <v>0</v>
      </c>
      <c r="EQ29" s="19">
        <v>2</v>
      </c>
      <c r="ER29" s="19">
        <v>0</v>
      </c>
      <c r="ES29" s="19">
        <v>2</v>
      </c>
      <c r="ET29" s="19">
        <v>0</v>
      </c>
      <c r="EU29" s="19">
        <v>2</v>
      </c>
      <c r="EV29" s="19">
        <v>0</v>
      </c>
      <c r="EW29" s="19">
        <v>0</v>
      </c>
      <c r="EX29" s="19">
        <v>0</v>
      </c>
      <c r="EY29" s="19">
        <v>2</v>
      </c>
      <c r="EZ29" s="19">
        <v>2</v>
      </c>
      <c r="FA29" s="19">
        <v>0</v>
      </c>
      <c r="FB29" s="19">
        <v>2</v>
      </c>
      <c r="FC29" s="19">
        <v>0</v>
      </c>
      <c r="FD29" s="19">
        <v>0</v>
      </c>
      <c r="FE29" s="19">
        <v>0</v>
      </c>
      <c r="FF29" s="19">
        <v>0</v>
      </c>
      <c r="FG29" s="19">
        <v>0</v>
      </c>
      <c r="FH29" s="19">
        <v>0</v>
      </c>
      <c r="FI29" s="19">
        <v>0</v>
      </c>
      <c r="FJ29" s="19">
        <v>0</v>
      </c>
      <c r="FK29" s="19">
        <v>0</v>
      </c>
      <c r="FL29" s="19">
        <v>2</v>
      </c>
      <c r="FM29" s="19">
        <v>0</v>
      </c>
      <c r="FN29" s="19">
        <v>0</v>
      </c>
      <c r="FO29" s="19">
        <v>0</v>
      </c>
      <c r="FP29" s="19">
        <v>0</v>
      </c>
      <c r="FQ29" s="19">
        <v>0</v>
      </c>
      <c r="FR29" s="19">
        <v>0</v>
      </c>
      <c r="FS29" s="19">
        <v>0</v>
      </c>
      <c r="FT29" s="19">
        <v>0</v>
      </c>
      <c r="FU29" s="19">
        <v>0</v>
      </c>
      <c r="FV29" s="19">
        <v>0</v>
      </c>
      <c r="FW29" s="19">
        <v>0</v>
      </c>
      <c r="FX29" s="19">
        <v>0</v>
      </c>
      <c r="FY29" s="19">
        <v>0</v>
      </c>
      <c r="FZ29" s="19">
        <v>0</v>
      </c>
      <c r="GA29" s="19">
        <v>0</v>
      </c>
      <c r="GC29" s="19"/>
      <c r="GD29" s="19"/>
      <c r="GE29" s="26" t="s">
        <v>236</v>
      </c>
      <c r="GF29" s="19">
        <v>0</v>
      </c>
      <c r="GG29" s="19">
        <v>0</v>
      </c>
      <c r="GH29" s="19">
        <v>0</v>
      </c>
      <c r="GI29" s="19">
        <v>0</v>
      </c>
      <c r="GJ29" s="19">
        <v>0</v>
      </c>
      <c r="GK29" s="19">
        <v>2</v>
      </c>
      <c r="GL29" s="19">
        <v>0</v>
      </c>
      <c r="GM29" s="19">
        <v>4</v>
      </c>
      <c r="GN29" s="19">
        <v>0</v>
      </c>
      <c r="GO29" s="19">
        <v>2</v>
      </c>
      <c r="GP29" s="19">
        <v>0</v>
      </c>
      <c r="GQ29" s="19">
        <v>0</v>
      </c>
      <c r="GR29" s="19">
        <v>0</v>
      </c>
      <c r="GS29" s="19">
        <v>0</v>
      </c>
      <c r="GT29" s="19">
        <v>0</v>
      </c>
      <c r="GU29" s="19">
        <v>0</v>
      </c>
      <c r="GV29" s="19">
        <v>2</v>
      </c>
      <c r="GW29" s="19">
        <v>0</v>
      </c>
      <c r="GX29" s="19">
        <v>0</v>
      </c>
      <c r="GY29" s="19">
        <v>0</v>
      </c>
      <c r="GZ29" s="19">
        <v>0</v>
      </c>
      <c r="HA29" s="19">
        <v>0</v>
      </c>
      <c r="HB29" s="19">
        <v>4</v>
      </c>
      <c r="HC29" s="19">
        <v>0</v>
      </c>
      <c r="HD29" s="19">
        <v>2</v>
      </c>
      <c r="HE29" s="19">
        <v>0</v>
      </c>
      <c r="HF29" s="19">
        <v>0</v>
      </c>
      <c r="HG29" s="19">
        <v>0</v>
      </c>
      <c r="HH29" s="19">
        <v>0</v>
      </c>
      <c r="HI29" s="19">
        <v>0</v>
      </c>
      <c r="HJ29" s="19">
        <v>0</v>
      </c>
      <c r="HK29" s="19">
        <v>0</v>
      </c>
      <c r="HL29" s="19">
        <v>0</v>
      </c>
      <c r="HM29" s="19">
        <v>0</v>
      </c>
      <c r="HN29" s="19">
        <v>0</v>
      </c>
      <c r="HO29" s="19">
        <v>0</v>
      </c>
      <c r="HP29" s="19">
        <v>0</v>
      </c>
      <c r="HQ29" s="19">
        <v>4</v>
      </c>
      <c r="HR29" s="19">
        <v>0</v>
      </c>
      <c r="HS29" s="19">
        <v>2</v>
      </c>
      <c r="HT29" s="19">
        <v>0</v>
      </c>
      <c r="HU29" s="19">
        <v>0</v>
      </c>
      <c r="HV29" s="19">
        <v>0</v>
      </c>
      <c r="HW29" s="19">
        <v>0</v>
      </c>
      <c r="HX29" s="19">
        <v>0</v>
      </c>
      <c r="HY29" s="19">
        <v>0</v>
      </c>
      <c r="HZ29" s="19">
        <v>0</v>
      </c>
      <c r="IA29" s="19">
        <v>0</v>
      </c>
      <c r="IB29" s="19">
        <v>0</v>
      </c>
      <c r="IC29" s="19">
        <v>0</v>
      </c>
      <c r="ID29" s="19">
        <v>0</v>
      </c>
      <c r="IF29" s="20" t="s">
        <v>236</v>
      </c>
      <c r="IG29" s="20">
        <v>0</v>
      </c>
      <c r="IH29" s="20">
        <v>0</v>
      </c>
      <c r="II29" s="20">
        <v>0</v>
      </c>
      <c r="IJ29" s="20">
        <v>0</v>
      </c>
      <c r="IK29" s="20">
        <v>0</v>
      </c>
      <c r="IL29" s="20">
        <v>0</v>
      </c>
      <c r="IM29" s="20">
        <v>0</v>
      </c>
      <c r="IN29" s="20">
        <v>4</v>
      </c>
      <c r="IO29" s="20">
        <v>0</v>
      </c>
      <c r="IP29" s="20">
        <v>0</v>
      </c>
      <c r="IQ29" s="20">
        <v>0</v>
      </c>
      <c r="IR29" s="20">
        <v>2</v>
      </c>
      <c r="IS29" s="20">
        <v>0</v>
      </c>
      <c r="IT29" s="20">
        <v>0</v>
      </c>
      <c r="IU29" s="20">
        <v>0</v>
      </c>
      <c r="IV29" s="20">
        <v>2</v>
      </c>
      <c r="IW29" s="20">
        <v>0</v>
      </c>
      <c r="IX29" s="20">
        <v>2</v>
      </c>
      <c r="IY29" s="20">
        <v>2</v>
      </c>
      <c r="IZ29" s="20">
        <v>0</v>
      </c>
      <c r="JA29" s="20">
        <v>0</v>
      </c>
      <c r="JB29" s="20">
        <v>0</v>
      </c>
      <c r="JC29" s="20">
        <v>4</v>
      </c>
      <c r="JD29" s="20">
        <v>0</v>
      </c>
      <c r="JE29" s="20">
        <v>0</v>
      </c>
      <c r="JF29" s="20">
        <v>2</v>
      </c>
    </row>
    <row r="30" spans="1:266" x14ac:dyDescent="0.25">
      <c r="A30" s="8"/>
      <c r="B30" s="5" t="s">
        <v>61</v>
      </c>
      <c r="C30" s="8"/>
      <c r="D30" s="6" t="s">
        <v>551</v>
      </c>
      <c r="E30" s="8" t="s">
        <v>168</v>
      </c>
      <c r="F30" s="6"/>
      <c r="G30" s="6"/>
      <c r="H30" s="6"/>
      <c r="I30" s="6"/>
      <c r="J30" s="5" t="s">
        <v>62</v>
      </c>
      <c r="K30" s="4"/>
      <c r="L30" s="6" t="str">
        <f>IF(E32=$AK$22,"LPAN40",IF(E32=$AK$23,"LPAN30",IF(E32=$AK$24,"LC40H35MC",0)))</f>
        <v>LPAN40</v>
      </c>
      <c r="M30" s="14">
        <f>INDEX(cenník!$A$2:$I$568,MATCH($L30,cenník!$B$2:$B$557,0),MATCH(M$24,cenník!$A$1:$I$1,0))</f>
        <v>890512</v>
      </c>
      <c r="N30" s="14" t="str">
        <f>INDEX(cenník!$A$2:$I$568,MATCH($L30,cenník!$B$2:$B$557,0),MATCH(N$24,cenník!$A$1:$I$1,0))</f>
        <v>ks</v>
      </c>
      <c r="O30" s="14">
        <f>SUM(Y23:Y38)</f>
        <v>0</v>
      </c>
      <c r="P30" s="21">
        <f>INDEX(cenník!$A$2:$I$568,MATCH($L30,cenník!$B$2:$B$557,0),MATCH(P$24,cenník!$A$1:$I$1,0))</f>
        <v>1.48</v>
      </c>
      <c r="Q30" s="21">
        <f t="shared" si="10"/>
        <v>0</v>
      </c>
      <c r="R30" s="22">
        <f>$E$31</f>
        <v>0</v>
      </c>
      <c r="S30" s="21">
        <f t="shared" si="9"/>
        <v>1.48</v>
      </c>
      <c r="T30" s="21">
        <f t="shared" si="11"/>
        <v>0</v>
      </c>
      <c r="U30" s="21">
        <f>INDEX(cenník!$A$2:$I$568,MATCH($L30,cenník!$B$2:$B$557,0),MATCH(U$24,cenník!$A$1:$I$1,0))*O30</f>
        <v>0</v>
      </c>
      <c r="V30" s="19"/>
      <c r="W30" s="25"/>
      <c r="X30" s="25">
        <f t="shared" si="7"/>
        <v>0</v>
      </c>
      <c r="Y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31,$BB$2:$CA$2,0),MATCH($W$22,$AH$22:$AH$47,0)))*C31</f>
        <v>0</v>
      </c>
      <c r="Z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31,$BB$2:$CA$2,0),MATCH($W$22,$AH$22:$AH$47,0)))*C31</f>
        <v>0</v>
      </c>
      <c r="AA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31,$BB$2:$CA$2,0),MATCH($W$22,$AH$22:$AH$47,0)))*C31</f>
        <v>0</v>
      </c>
      <c r="AB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31,$BB$2:$CA$2,0),MATCH($W$22,$AH$22:$AH$47,0)))*C31</f>
        <v>0</v>
      </c>
      <c r="AC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31,$BB$2:$CA$2,0),MATCH($W$22,$AH$22:$AH$47,0)))*C31</f>
        <v>0</v>
      </c>
      <c r="AD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31,$BB$2:$CA$2,0),MATCH($W$22,$AH$22:$AH$47,0)))*C31</f>
        <v>0</v>
      </c>
      <c r="AE30" s="19">
        <f>INDEX(($AH$53:$AI$62),MATCH(I25,$AG$53:$AG$62,0),MATCH(E28,$AH$52:$AI$52,0))</f>
        <v>0</v>
      </c>
      <c r="AF30" s="19"/>
      <c r="AG30" s="19"/>
      <c r="AH30" s="19" t="s">
        <v>56</v>
      </c>
      <c r="AI30" s="19"/>
      <c r="AJ30" s="19">
        <v>1650</v>
      </c>
      <c r="AK30" s="19" t="s">
        <v>84</v>
      </c>
      <c r="AL30" s="19"/>
      <c r="AM30" s="19">
        <v>33</v>
      </c>
      <c r="AN30" s="19" t="s">
        <v>22</v>
      </c>
      <c r="AO30" s="19"/>
      <c r="AP30" s="19" t="s">
        <v>55</v>
      </c>
      <c r="AQ30" s="19" t="s">
        <v>13</v>
      </c>
      <c r="AS30" s="19">
        <v>33</v>
      </c>
      <c r="AT30" s="19"/>
      <c r="AU30" s="19"/>
      <c r="AV30" s="19" t="s">
        <v>84</v>
      </c>
      <c r="AW30" s="19" t="s">
        <v>84</v>
      </c>
      <c r="AX30" s="19"/>
      <c r="AY30" s="19"/>
      <c r="AZ30" s="19"/>
      <c r="BA30" s="26" t="s">
        <v>237</v>
      </c>
      <c r="BB30" s="19">
        <v>0</v>
      </c>
      <c r="BC30" s="19">
        <v>0</v>
      </c>
      <c r="BD30" s="19">
        <v>0</v>
      </c>
      <c r="BE30" s="19">
        <v>0</v>
      </c>
      <c r="BF30" s="19">
        <v>0</v>
      </c>
      <c r="BG30" s="19">
        <v>0</v>
      </c>
      <c r="BH30" s="19">
        <v>0</v>
      </c>
      <c r="BI30" s="19">
        <v>2</v>
      </c>
      <c r="BJ30" s="19">
        <v>0</v>
      </c>
      <c r="BK30" s="19">
        <v>2</v>
      </c>
      <c r="BL30" s="19">
        <v>2</v>
      </c>
      <c r="BM30" s="19">
        <v>2</v>
      </c>
      <c r="BN30" s="19">
        <v>4</v>
      </c>
      <c r="BO30" s="19">
        <v>0</v>
      </c>
      <c r="BP30" s="19">
        <v>2</v>
      </c>
      <c r="BQ30" s="19">
        <v>4</v>
      </c>
      <c r="BR30" s="19">
        <v>2</v>
      </c>
      <c r="BS30" s="19">
        <v>6</v>
      </c>
      <c r="BT30" s="19">
        <v>4</v>
      </c>
      <c r="BU30" s="19">
        <v>2</v>
      </c>
      <c r="BV30" s="19">
        <v>4</v>
      </c>
      <c r="BW30" s="19">
        <v>6</v>
      </c>
      <c r="BX30" s="19">
        <v>8</v>
      </c>
      <c r="BY30" s="19">
        <v>4</v>
      </c>
      <c r="BZ30" s="19">
        <v>6</v>
      </c>
      <c r="CA30" s="19">
        <v>6</v>
      </c>
      <c r="CB30" s="19">
        <v>6</v>
      </c>
      <c r="CC30" s="19">
        <v>6</v>
      </c>
      <c r="CD30" s="19">
        <v>4</v>
      </c>
      <c r="CE30" s="19">
        <v>6</v>
      </c>
      <c r="CF30" s="19">
        <v>8</v>
      </c>
      <c r="CG30" s="19">
        <v>6</v>
      </c>
      <c r="CH30" s="19">
        <v>12</v>
      </c>
      <c r="CI30" s="19">
        <v>8</v>
      </c>
      <c r="CJ30" s="19">
        <v>22</v>
      </c>
      <c r="CK30" s="19">
        <v>24</v>
      </c>
      <c r="CL30" s="19">
        <v>10</v>
      </c>
      <c r="CM30" s="19">
        <v>0</v>
      </c>
      <c r="CN30" s="19">
        <v>24</v>
      </c>
      <c r="CO30" s="19">
        <v>10</v>
      </c>
      <c r="CP30" s="19">
        <v>0</v>
      </c>
      <c r="CQ30" s="19">
        <v>10</v>
      </c>
      <c r="CR30" s="19">
        <v>10</v>
      </c>
      <c r="CS30" s="19">
        <v>0</v>
      </c>
      <c r="CT30" s="19">
        <v>26</v>
      </c>
      <c r="CU30" s="19">
        <v>12</v>
      </c>
      <c r="CV30" s="19">
        <v>0</v>
      </c>
      <c r="CW30" s="19">
        <v>4</v>
      </c>
      <c r="CX30" s="19">
        <v>12</v>
      </c>
      <c r="CY30" s="19">
        <v>0</v>
      </c>
      <c r="CZ30" s="19">
        <v>12</v>
      </c>
      <c r="DA30" s="17"/>
      <c r="DB30" s="17">
        <v>29</v>
      </c>
      <c r="DC30" s="17"/>
      <c r="DD30" s="26" t="s">
        <v>326</v>
      </c>
      <c r="DE30" s="19">
        <v>0</v>
      </c>
      <c r="DF30" s="19"/>
      <c r="DG30" s="19"/>
      <c r="DH30" s="19"/>
      <c r="DI30" s="19"/>
      <c r="DJ30" s="19"/>
      <c r="DK30" s="19"/>
      <c r="DL30" s="19"/>
      <c r="DM30" s="19"/>
      <c r="DN30" s="19"/>
      <c r="DO30" s="19"/>
      <c r="DP30" s="19"/>
      <c r="DQ30" s="19"/>
      <c r="DR30" s="19"/>
      <c r="DS30" s="19"/>
      <c r="DT30" s="19"/>
      <c r="DU30" s="19"/>
      <c r="DV30" s="19"/>
      <c r="DW30" s="19"/>
      <c r="DX30" s="19"/>
      <c r="DY30" s="19"/>
      <c r="DZ30" s="19"/>
      <c r="EA30" s="19"/>
      <c r="EB30" s="26" t="s">
        <v>237</v>
      </c>
      <c r="EC30" s="19">
        <v>0</v>
      </c>
      <c r="ED30" s="19">
        <v>0</v>
      </c>
      <c r="EE30" s="19">
        <v>0</v>
      </c>
      <c r="EF30" s="19">
        <v>2</v>
      </c>
      <c r="EG30" s="19">
        <v>2</v>
      </c>
      <c r="EH30" s="19">
        <v>0</v>
      </c>
      <c r="EI30" s="19">
        <v>4</v>
      </c>
      <c r="EJ30" s="19">
        <v>0</v>
      </c>
      <c r="EK30" s="19">
        <v>2</v>
      </c>
      <c r="EL30" s="19">
        <v>10</v>
      </c>
      <c r="EM30" s="19">
        <v>0</v>
      </c>
      <c r="EN30" s="19">
        <v>10</v>
      </c>
      <c r="EO30" s="19">
        <v>0</v>
      </c>
      <c r="EP30" s="19">
        <v>6</v>
      </c>
      <c r="EQ30" s="19">
        <v>14</v>
      </c>
      <c r="ER30" s="19">
        <v>4</v>
      </c>
      <c r="ES30" s="19">
        <v>10</v>
      </c>
      <c r="ET30" s="19">
        <v>2</v>
      </c>
      <c r="EU30" s="19">
        <v>8</v>
      </c>
      <c r="EV30" s="19">
        <v>0</v>
      </c>
      <c r="EW30" s="19">
        <v>20</v>
      </c>
      <c r="EX30" s="19">
        <v>0</v>
      </c>
      <c r="EY30" s="19">
        <v>8</v>
      </c>
      <c r="EZ30" s="19">
        <v>24</v>
      </c>
      <c r="FA30" s="19">
        <v>16</v>
      </c>
      <c r="FB30" s="19">
        <v>22</v>
      </c>
      <c r="FC30" s="19">
        <v>14</v>
      </c>
      <c r="FD30" s="19">
        <v>8</v>
      </c>
      <c r="FE30" s="19">
        <v>12</v>
      </c>
      <c r="FF30" s="19">
        <v>32</v>
      </c>
      <c r="FG30" s="19">
        <v>10</v>
      </c>
      <c r="FH30" s="19">
        <v>30</v>
      </c>
      <c r="FI30" s="19">
        <v>6</v>
      </c>
      <c r="FJ30" s="19">
        <v>28</v>
      </c>
      <c r="FK30" s="19">
        <v>4</v>
      </c>
      <c r="FL30" s="19">
        <v>10</v>
      </c>
      <c r="FM30" s="19">
        <v>2</v>
      </c>
      <c r="FN30" s="19">
        <v>2</v>
      </c>
      <c r="FO30" s="19">
        <v>0</v>
      </c>
      <c r="FP30" s="19">
        <v>20</v>
      </c>
      <c r="FQ30" s="19">
        <v>0</v>
      </c>
      <c r="FR30" s="19">
        <v>18</v>
      </c>
      <c r="FS30" s="19">
        <v>0</v>
      </c>
      <c r="FT30" s="19">
        <v>16</v>
      </c>
      <c r="FU30" s="19">
        <v>0</v>
      </c>
      <c r="FV30" s="19">
        <v>14</v>
      </c>
      <c r="FW30" s="19">
        <v>0</v>
      </c>
      <c r="FX30" s="19">
        <v>12</v>
      </c>
      <c r="FY30" s="19">
        <v>32</v>
      </c>
      <c r="FZ30" s="19">
        <v>10</v>
      </c>
      <c r="GA30" s="19">
        <v>30</v>
      </c>
      <c r="GC30" s="19"/>
      <c r="GD30" s="19"/>
      <c r="GE30" s="26" t="s">
        <v>237</v>
      </c>
      <c r="GF30" s="19">
        <v>0</v>
      </c>
      <c r="GG30" s="19">
        <v>0</v>
      </c>
      <c r="GH30" s="19">
        <v>0</v>
      </c>
      <c r="GI30" s="19">
        <v>4</v>
      </c>
      <c r="GJ30" s="19">
        <v>4</v>
      </c>
      <c r="GK30" s="19">
        <v>0</v>
      </c>
      <c r="GL30" s="19">
        <v>0</v>
      </c>
      <c r="GM30" s="19">
        <v>6</v>
      </c>
      <c r="GN30" s="19">
        <v>8</v>
      </c>
      <c r="GO30" s="19">
        <v>10</v>
      </c>
      <c r="GP30" s="19">
        <v>0</v>
      </c>
      <c r="GQ30" s="19">
        <v>0</v>
      </c>
      <c r="GR30" s="19">
        <v>4</v>
      </c>
      <c r="GS30" s="19">
        <v>8</v>
      </c>
      <c r="GT30" s="19">
        <v>8</v>
      </c>
      <c r="GU30" s="19">
        <v>0</v>
      </c>
      <c r="GV30" s="19">
        <v>0</v>
      </c>
      <c r="GW30" s="19">
        <v>8</v>
      </c>
      <c r="GX30" s="19">
        <v>6</v>
      </c>
      <c r="GY30" s="19">
        <v>24</v>
      </c>
      <c r="GZ30" s="19">
        <v>0</v>
      </c>
      <c r="HA30" s="19">
        <v>14</v>
      </c>
      <c r="HB30" s="19">
        <v>8</v>
      </c>
      <c r="HC30" s="19">
        <v>6</v>
      </c>
      <c r="HD30" s="19">
        <v>8</v>
      </c>
      <c r="HE30" s="19">
        <v>0</v>
      </c>
      <c r="HF30" s="19">
        <v>14</v>
      </c>
      <c r="HG30" s="19">
        <v>6</v>
      </c>
      <c r="HH30" s="19">
        <v>6</v>
      </c>
      <c r="HI30" s="19">
        <v>22</v>
      </c>
      <c r="HJ30" s="19">
        <v>0</v>
      </c>
      <c r="HK30" s="19">
        <v>14</v>
      </c>
      <c r="HL30" s="19">
        <v>10</v>
      </c>
      <c r="HM30" s="19">
        <v>4</v>
      </c>
      <c r="HN30" s="19">
        <v>22</v>
      </c>
      <c r="HO30" s="19">
        <v>0</v>
      </c>
      <c r="HP30" s="19">
        <v>12</v>
      </c>
      <c r="HQ30" s="19">
        <v>10</v>
      </c>
      <c r="HR30" s="19">
        <v>4</v>
      </c>
      <c r="HS30" s="19">
        <v>6</v>
      </c>
      <c r="HT30" s="19">
        <v>0</v>
      </c>
      <c r="HU30" s="19">
        <v>12</v>
      </c>
      <c r="HV30" s="19">
        <v>8</v>
      </c>
      <c r="HW30" s="19">
        <v>4</v>
      </c>
      <c r="HX30" s="19">
        <v>20</v>
      </c>
      <c r="HY30" s="19">
        <v>0</v>
      </c>
      <c r="HZ30" s="19">
        <v>12</v>
      </c>
      <c r="IA30" s="19">
        <v>12</v>
      </c>
      <c r="IB30" s="19">
        <v>2</v>
      </c>
      <c r="IC30" s="19">
        <v>20</v>
      </c>
      <c r="ID30" s="19">
        <v>0</v>
      </c>
      <c r="IF30" s="20" t="s">
        <v>237</v>
      </c>
      <c r="IG30" s="20">
        <v>0</v>
      </c>
      <c r="IH30" s="20">
        <v>2</v>
      </c>
      <c r="II30" s="20">
        <v>2</v>
      </c>
      <c r="IJ30" s="20">
        <v>2</v>
      </c>
      <c r="IK30" s="20">
        <v>2</v>
      </c>
      <c r="IL30" s="20">
        <v>8</v>
      </c>
      <c r="IM30" s="20">
        <v>8</v>
      </c>
      <c r="IN30" s="20">
        <v>8</v>
      </c>
      <c r="IO30" s="20">
        <v>4</v>
      </c>
      <c r="IP30" s="20">
        <v>14</v>
      </c>
      <c r="IQ30" s="20">
        <v>10</v>
      </c>
      <c r="IR30" s="20">
        <v>6</v>
      </c>
      <c r="IS30" s="20">
        <v>4</v>
      </c>
      <c r="IT30" s="20">
        <v>16</v>
      </c>
      <c r="IU30" s="20">
        <v>12</v>
      </c>
      <c r="IV30" s="20">
        <v>8</v>
      </c>
      <c r="IW30" s="20">
        <v>6</v>
      </c>
      <c r="IX30" s="20">
        <v>8</v>
      </c>
      <c r="IY30" s="20">
        <v>14</v>
      </c>
      <c r="IZ30" s="20">
        <v>0</v>
      </c>
      <c r="JA30" s="20">
        <v>8</v>
      </c>
      <c r="JB30" s="20">
        <v>20</v>
      </c>
      <c r="JC30" s="20">
        <v>8</v>
      </c>
      <c r="JD30" s="20">
        <v>0</v>
      </c>
      <c r="JE30" s="20">
        <v>10</v>
      </c>
      <c r="JF30" s="20">
        <v>6</v>
      </c>
    </row>
    <row r="31" spans="1:266" x14ac:dyDescent="0.25">
      <c r="A31" s="8"/>
      <c r="B31" s="5" t="s">
        <v>61</v>
      </c>
      <c r="C31" s="8"/>
      <c r="D31" s="6" t="s">
        <v>458</v>
      </c>
      <c r="E31" s="8">
        <v>0</v>
      </c>
      <c r="F31" s="6"/>
      <c r="G31" s="6"/>
      <c r="H31" s="6"/>
      <c r="I31" s="6"/>
      <c r="J31" s="5" t="s">
        <v>95</v>
      </c>
      <c r="K31" s="4"/>
      <c r="L31" s="6" t="str">
        <f>E30</f>
        <v>UBZRPE32</v>
      </c>
      <c r="M31" s="14">
        <f>INDEX(cenník!$A$2:$I$568,MATCH($L31,cenník!$B$2:$B$557,0),MATCH(M$24,cenník!$A$1:$I$1,0))</f>
        <v>890132</v>
      </c>
      <c r="N31" s="14" t="str">
        <f>INDEX(cenník!$A$2:$I$568,MATCH($L31,cenník!$B$2:$B$557,0),MATCH(N$24,cenník!$A$1:$I$1,0))</f>
        <v>ks</v>
      </c>
      <c r="O31" s="14">
        <f>SUM(X22:X37)</f>
        <v>0</v>
      </c>
      <c r="P31" s="21">
        <f>INDEX(cenník!$A$2:$I$568,MATCH($L31,cenník!$B$2:$B$557,0),MATCH(P$24,cenník!$A$1:$I$1,0))</f>
        <v>10.56</v>
      </c>
      <c r="Q31" s="21">
        <f t="shared" si="10"/>
        <v>0</v>
      </c>
      <c r="R31" s="22">
        <f t="shared" si="8"/>
        <v>0</v>
      </c>
      <c r="S31" s="21">
        <f>P31*((100-$E$31)/100)</f>
        <v>10.56</v>
      </c>
      <c r="T31" s="21">
        <f t="shared" si="11"/>
        <v>0</v>
      </c>
      <c r="U31" s="21">
        <f>INDEX(cenník!$A$2:$I$568,MATCH($L31,cenník!$B$2:$B$557,0),MATCH(U$24,cenník!$A$1:$I$1,0))*O31</f>
        <v>0</v>
      </c>
      <c r="V31" s="19"/>
      <c r="W31" s="25"/>
      <c r="X31" s="25">
        <f t="shared" si="7"/>
        <v>0</v>
      </c>
      <c r="Y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32,$BB$2:$CA$2,0),MATCH($W$22,$AH$22:$AH$47,0)))*C32</f>
        <v>0</v>
      </c>
      <c r="Z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32,$BB$2:$CA$2,0),MATCH($W$22,$AH$22:$AH$47,0)))*C32</f>
        <v>0</v>
      </c>
      <c r="AA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32,$BB$2:$CA$2,0),MATCH($W$22,$AH$22:$AH$47,0)))*C32</f>
        <v>0</v>
      </c>
      <c r="AB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32,$BB$2:$CA$2,0),MATCH($W$22,$AH$22:$AH$47,0)))*C32</f>
        <v>0</v>
      </c>
      <c r="AC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32,$BB$2:$CA$2,0),MATCH($W$22,$AH$22:$AH$47,0)))*C32</f>
        <v>0</v>
      </c>
      <c r="AD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32,$BB$2:$CA$2,0),MATCH($W$22,$AH$22:$AH$47,0)))*C32</f>
        <v>0</v>
      </c>
      <c r="AE31" s="19"/>
      <c r="AF31" s="19"/>
      <c r="AG31" s="19"/>
      <c r="AH31" s="19" t="s">
        <v>57</v>
      </c>
      <c r="AI31" s="19"/>
      <c r="AJ31" s="19">
        <v>1700</v>
      </c>
      <c r="AK31" s="19"/>
      <c r="AL31" s="19"/>
      <c r="AM31" s="19">
        <v>34</v>
      </c>
      <c r="AN31" s="19"/>
      <c r="AO31" s="19"/>
      <c r="AP31" s="19" t="s">
        <v>55</v>
      </c>
      <c r="AQ31" s="19" t="s">
        <v>13</v>
      </c>
      <c r="AS31" s="19">
        <v>34</v>
      </c>
      <c r="AT31" s="19" t="s">
        <v>34</v>
      </c>
      <c r="AU31" s="19"/>
      <c r="AV31" s="19" t="s">
        <v>84</v>
      </c>
      <c r="AW31" s="19" t="s">
        <v>84</v>
      </c>
      <c r="AX31" s="19"/>
      <c r="AY31" s="19"/>
      <c r="AZ31" s="19"/>
      <c r="BA31" s="26" t="s">
        <v>238</v>
      </c>
      <c r="BB31" s="19">
        <v>0</v>
      </c>
      <c r="BC31" s="19">
        <v>0</v>
      </c>
      <c r="BD31" s="19">
        <v>0</v>
      </c>
      <c r="BE31" s="19">
        <v>2</v>
      </c>
      <c r="BF31" s="19">
        <v>0</v>
      </c>
      <c r="BG31" s="19">
        <v>2</v>
      </c>
      <c r="BH31" s="19">
        <v>4</v>
      </c>
      <c r="BI31" s="19">
        <v>0</v>
      </c>
      <c r="BJ31" s="19">
        <v>4</v>
      </c>
      <c r="BK31" s="19">
        <v>4</v>
      </c>
      <c r="BL31" s="19">
        <v>2</v>
      </c>
      <c r="BM31" s="19">
        <v>4</v>
      </c>
      <c r="BN31" s="19">
        <v>4</v>
      </c>
      <c r="BO31" s="19">
        <v>6</v>
      </c>
      <c r="BP31" s="19">
        <v>6</v>
      </c>
      <c r="BQ31" s="19">
        <v>6</v>
      </c>
      <c r="BR31" s="19">
        <v>6</v>
      </c>
      <c r="BS31" s="19">
        <v>4</v>
      </c>
      <c r="BT31" s="19">
        <v>8</v>
      </c>
      <c r="BU31" s="19">
        <v>8</v>
      </c>
      <c r="BV31" s="19">
        <v>8</v>
      </c>
      <c r="BW31" s="19">
        <v>8</v>
      </c>
      <c r="BX31" s="19">
        <v>4</v>
      </c>
      <c r="BY31" s="19">
        <v>10</v>
      </c>
      <c r="BZ31" s="19">
        <v>10</v>
      </c>
      <c r="CA31" s="19">
        <v>8</v>
      </c>
      <c r="CB31" s="19">
        <v>10</v>
      </c>
      <c r="CC31" s="19">
        <v>12</v>
      </c>
      <c r="CD31" s="19">
        <v>12</v>
      </c>
      <c r="CE31" s="19">
        <v>12</v>
      </c>
      <c r="CF31" s="19">
        <v>12</v>
      </c>
      <c r="CG31" s="19">
        <v>12</v>
      </c>
      <c r="CH31" s="19">
        <v>8</v>
      </c>
      <c r="CI31" s="19">
        <v>14</v>
      </c>
      <c r="CJ31" s="19">
        <v>0</v>
      </c>
      <c r="CK31" s="19">
        <v>0</v>
      </c>
      <c r="CL31" s="19">
        <v>14</v>
      </c>
      <c r="CM31" s="19">
        <v>22</v>
      </c>
      <c r="CN31" s="19">
        <v>2</v>
      </c>
      <c r="CO31" s="19">
        <v>16</v>
      </c>
      <c r="CP31" s="19">
        <v>26</v>
      </c>
      <c r="CQ31" s="19">
        <v>16</v>
      </c>
      <c r="CR31" s="19">
        <v>18</v>
      </c>
      <c r="CS31" s="19">
        <v>28</v>
      </c>
      <c r="CT31" s="19">
        <v>4</v>
      </c>
      <c r="CU31" s="19">
        <v>18</v>
      </c>
      <c r="CV31" s="19">
        <v>30</v>
      </c>
      <c r="CW31" s="19">
        <v>26</v>
      </c>
      <c r="CX31" s="19">
        <v>20</v>
      </c>
      <c r="CY31" s="19">
        <v>32</v>
      </c>
      <c r="CZ31" s="19">
        <v>20</v>
      </c>
      <c r="DA31" s="17"/>
      <c r="DB31" s="17">
        <v>30</v>
      </c>
      <c r="DC31" s="17"/>
      <c r="DD31" s="26" t="s">
        <v>327</v>
      </c>
      <c r="DE31" s="19">
        <v>0</v>
      </c>
      <c r="DF31" s="19"/>
      <c r="DG31" s="19"/>
      <c r="DH31" s="19"/>
      <c r="DI31" s="19"/>
      <c r="DJ31" s="19"/>
      <c r="DK31" s="19"/>
      <c r="DL31" s="19"/>
      <c r="DM31" s="19"/>
      <c r="DN31" s="19"/>
      <c r="DO31" s="19"/>
      <c r="DP31" s="19"/>
      <c r="DQ31" s="19"/>
      <c r="DR31" s="19"/>
      <c r="DS31" s="19"/>
      <c r="DT31" s="19"/>
      <c r="DU31" s="19"/>
      <c r="DV31" s="19"/>
      <c r="DW31" s="19"/>
      <c r="DX31" s="19"/>
      <c r="DY31" s="19"/>
      <c r="DZ31" s="19"/>
      <c r="EA31" s="19"/>
      <c r="EB31" s="26" t="s">
        <v>238</v>
      </c>
      <c r="EC31" s="19">
        <v>0</v>
      </c>
      <c r="ED31" s="19">
        <v>0</v>
      </c>
      <c r="EE31" s="19">
        <v>0</v>
      </c>
      <c r="EF31" s="19">
        <v>0</v>
      </c>
      <c r="EG31" s="19">
        <v>0</v>
      </c>
      <c r="EH31" s="19">
        <v>4</v>
      </c>
      <c r="EI31" s="19">
        <v>0</v>
      </c>
      <c r="EJ31" s="19">
        <v>6</v>
      </c>
      <c r="EK31" s="19">
        <v>4</v>
      </c>
      <c r="EL31" s="19">
        <v>0</v>
      </c>
      <c r="EM31" s="19">
        <v>8</v>
      </c>
      <c r="EN31" s="19">
        <v>2</v>
      </c>
      <c r="EO31" s="19">
        <v>10</v>
      </c>
      <c r="EP31" s="19">
        <v>8</v>
      </c>
      <c r="EQ31" s="19">
        <v>0</v>
      </c>
      <c r="ER31" s="19">
        <v>12</v>
      </c>
      <c r="ES31" s="19">
        <v>6</v>
      </c>
      <c r="ET31" s="19">
        <v>16</v>
      </c>
      <c r="EU31" s="19">
        <v>10</v>
      </c>
      <c r="EV31" s="19">
        <v>20</v>
      </c>
      <c r="EW31" s="19">
        <v>2</v>
      </c>
      <c r="EX31" s="19">
        <v>22</v>
      </c>
      <c r="EY31" s="19">
        <v>14</v>
      </c>
      <c r="EZ31" s="19">
        <v>0</v>
      </c>
      <c r="FA31" s="19">
        <v>10</v>
      </c>
      <c r="FB31" s="19">
        <v>4</v>
      </c>
      <c r="FC31" s="19">
        <v>14</v>
      </c>
      <c r="FD31" s="19">
        <v>18</v>
      </c>
      <c r="FE31" s="19">
        <v>18</v>
      </c>
      <c r="FF31" s="19">
        <v>0</v>
      </c>
      <c r="FG31" s="19">
        <v>22</v>
      </c>
      <c r="FH31" s="19">
        <v>4</v>
      </c>
      <c r="FI31" s="19">
        <v>28</v>
      </c>
      <c r="FJ31" s="19">
        <v>8</v>
      </c>
      <c r="FK31" s="19">
        <v>32</v>
      </c>
      <c r="FL31" s="19">
        <v>26</v>
      </c>
      <c r="FM31" s="19">
        <v>36</v>
      </c>
      <c r="FN31" s="19">
        <v>36</v>
      </c>
      <c r="FO31" s="19">
        <v>40</v>
      </c>
      <c r="FP31" s="19">
        <v>22</v>
      </c>
      <c r="FQ31" s="19">
        <v>42</v>
      </c>
      <c r="FR31" s="19">
        <v>26</v>
      </c>
      <c r="FS31" s="19">
        <v>44</v>
      </c>
      <c r="FT31" s="19">
        <v>30</v>
      </c>
      <c r="FU31" s="19">
        <v>46</v>
      </c>
      <c r="FV31" s="19">
        <v>34</v>
      </c>
      <c r="FW31" s="19">
        <v>48</v>
      </c>
      <c r="FX31" s="19">
        <v>38</v>
      </c>
      <c r="FY31" s="19">
        <v>20</v>
      </c>
      <c r="FZ31" s="19">
        <v>42</v>
      </c>
      <c r="GA31" s="19">
        <v>24</v>
      </c>
      <c r="GC31" s="19"/>
      <c r="GD31" s="19"/>
      <c r="GE31" s="26" t="s">
        <v>238</v>
      </c>
      <c r="GF31" s="19">
        <v>0</v>
      </c>
      <c r="GG31" s="19">
        <v>0</v>
      </c>
      <c r="GH31" s="19">
        <v>0</v>
      </c>
      <c r="GI31" s="19">
        <v>0</v>
      </c>
      <c r="GJ31" s="19">
        <v>0</v>
      </c>
      <c r="GK31" s="19">
        <v>4</v>
      </c>
      <c r="GL31" s="19">
        <v>6</v>
      </c>
      <c r="GM31" s="19">
        <v>0</v>
      </c>
      <c r="GN31" s="19">
        <v>2</v>
      </c>
      <c r="GO31" s="19">
        <v>0</v>
      </c>
      <c r="GP31" s="19">
        <v>12</v>
      </c>
      <c r="GQ31" s="19">
        <v>12</v>
      </c>
      <c r="GR31" s="19">
        <v>8</v>
      </c>
      <c r="GS31" s="19">
        <v>8</v>
      </c>
      <c r="GT31" s="19">
        <v>8</v>
      </c>
      <c r="GU31" s="19">
        <v>18</v>
      </c>
      <c r="GV31" s="19">
        <v>18</v>
      </c>
      <c r="GW31" s="19">
        <v>12</v>
      </c>
      <c r="GX31" s="19">
        <v>16</v>
      </c>
      <c r="GY31" s="19">
        <v>0</v>
      </c>
      <c r="GZ31" s="19">
        <v>24</v>
      </c>
      <c r="HA31" s="19">
        <v>12</v>
      </c>
      <c r="HB31" s="19">
        <v>16</v>
      </c>
      <c r="HC31" s="19">
        <v>22</v>
      </c>
      <c r="HD31" s="19">
        <v>20</v>
      </c>
      <c r="HE31" s="19">
        <v>30</v>
      </c>
      <c r="HF31" s="19">
        <v>18</v>
      </c>
      <c r="HG31" s="19">
        <v>24</v>
      </c>
      <c r="HH31" s="19">
        <v>28</v>
      </c>
      <c r="HI31" s="19">
        <v>14</v>
      </c>
      <c r="HJ31" s="19">
        <v>36</v>
      </c>
      <c r="HK31" s="19">
        <v>24</v>
      </c>
      <c r="HL31" s="19">
        <v>28</v>
      </c>
      <c r="HM31" s="19">
        <v>36</v>
      </c>
      <c r="HN31" s="19">
        <v>20</v>
      </c>
      <c r="HO31" s="19">
        <v>42</v>
      </c>
      <c r="HP31" s="19">
        <v>32</v>
      </c>
      <c r="HQ31" s="19">
        <v>32</v>
      </c>
      <c r="HR31" s="19">
        <v>42</v>
      </c>
      <c r="HS31" s="19">
        <v>40</v>
      </c>
      <c r="HT31" s="19">
        <v>48</v>
      </c>
      <c r="HU31" s="19">
        <v>38</v>
      </c>
      <c r="HV31" s="19">
        <v>40</v>
      </c>
      <c r="HW31" s="19">
        <v>48</v>
      </c>
      <c r="HX31" s="19">
        <v>34</v>
      </c>
      <c r="HY31" s="19">
        <v>54</v>
      </c>
      <c r="HZ31" s="19">
        <v>44</v>
      </c>
      <c r="IA31" s="19">
        <v>44</v>
      </c>
      <c r="IB31" s="19">
        <v>56</v>
      </c>
      <c r="IC31" s="19">
        <v>40</v>
      </c>
      <c r="ID31" s="19">
        <v>60</v>
      </c>
      <c r="IF31" s="20" t="s">
        <v>238</v>
      </c>
      <c r="IG31" s="20">
        <v>0</v>
      </c>
      <c r="IH31" s="20">
        <v>0</v>
      </c>
      <c r="II31" s="20">
        <v>0</v>
      </c>
      <c r="IJ31" s="20">
        <v>0</v>
      </c>
      <c r="IK31" s="20">
        <v>4</v>
      </c>
      <c r="IL31" s="20">
        <v>0</v>
      </c>
      <c r="IM31" s="20">
        <v>0</v>
      </c>
      <c r="IN31" s="20">
        <v>0</v>
      </c>
      <c r="IO31" s="20">
        <v>8</v>
      </c>
      <c r="IP31" s="20">
        <v>0</v>
      </c>
      <c r="IQ31" s="20">
        <v>4</v>
      </c>
      <c r="IR31" s="20">
        <v>8</v>
      </c>
      <c r="IS31" s="20">
        <v>14</v>
      </c>
      <c r="IT31" s="20">
        <v>4</v>
      </c>
      <c r="IU31" s="20">
        <v>8</v>
      </c>
      <c r="IV31" s="20">
        <v>12</v>
      </c>
      <c r="IW31" s="20">
        <v>18</v>
      </c>
      <c r="IX31" s="20">
        <v>16</v>
      </c>
      <c r="IY31" s="20">
        <v>12</v>
      </c>
      <c r="IZ31" s="20">
        <v>28</v>
      </c>
      <c r="JA31" s="20">
        <v>22</v>
      </c>
      <c r="JB31" s="20">
        <v>12</v>
      </c>
      <c r="JC31" s="20">
        <v>22</v>
      </c>
      <c r="JD31" s="20">
        <v>34</v>
      </c>
      <c r="JE31" s="20">
        <v>26</v>
      </c>
      <c r="JF31" s="20">
        <v>30</v>
      </c>
    </row>
    <row r="32" spans="1:266" x14ac:dyDescent="0.25">
      <c r="A32" s="8"/>
      <c r="B32" s="5" t="s">
        <v>61</v>
      </c>
      <c r="C32" s="8"/>
      <c r="D32" s="6" t="s">
        <v>459</v>
      </c>
      <c r="E32" s="8" t="s">
        <v>469</v>
      </c>
      <c r="F32" s="222" t="str">
        <f>IF(E32="30x32 hliník","možno použiť vo veternej zóne 1 a snehovej zóne 1,2,3 s maximálnou vzdialenosťou podpier 0,8 m podľa noriem PN-EN 1991-1-3 a PN-EN 1991-1-4","")</f>
        <v/>
      </c>
      <c r="G32" s="222"/>
      <c r="H32" s="222"/>
      <c r="I32" s="222"/>
      <c r="J32" s="4"/>
      <c r="K32" s="4"/>
      <c r="L32" s="6" t="s">
        <v>151</v>
      </c>
      <c r="M32" s="14">
        <f>INDEX(cenník!$A$2:$I$568,MATCH($L32,cenník!$B$2:$B$557,0),MATCH(M$24,cenník!$A$1:$I$1,0))</f>
        <v>991020</v>
      </c>
      <c r="N32" s="14" t="str">
        <f>INDEX(cenník!$A$2:$I$568,MATCH($L32,cenník!$B$2:$B$557,0),MATCH(N$24,cenník!$A$1:$I$1,0))</f>
        <v>100ks</v>
      </c>
      <c r="O32" s="14">
        <f>ROUNDUP(((O31)/100),0)</f>
        <v>0</v>
      </c>
      <c r="P32" s="21">
        <f>INDEX(cenník!$A$2:$I$568,MATCH($L32,cenník!$B$2:$B$557,0),MATCH(P$24,cenník!$A$1:$I$1,0))</f>
        <v>24.13</v>
      </c>
      <c r="Q32" s="21">
        <f t="shared" si="10"/>
        <v>0</v>
      </c>
      <c r="R32" s="22">
        <f t="shared" si="8"/>
        <v>0</v>
      </c>
      <c r="S32" s="21">
        <f t="shared" si="9"/>
        <v>24.13</v>
      </c>
      <c r="T32" s="21">
        <f t="shared" si="11"/>
        <v>0</v>
      </c>
      <c r="U32" s="21">
        <f>INDEX(cenník!$A$2:$I$568,MATCH($L32,cenník!$B$2:$B$557,0),MATCH(U$24,cenník!$A$1:$I$1,0))*O32</f>
        <v>0</v>
      </c>
      <c r="V32" s="19"/>
      <c r="W32" s="25"/>
      <c r="X32" s="25">
        <f t="shared" si="7"/>
        <v>0</v>
      </c>
      <c r="Y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33,$BB$2:$CA$2,0),MATCH($W$22,$AH$22:$AH$47,0)))*C33</f>
        <v>0</v>
      </c>
      <c r="Z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33,$BB$2:$CA$2,0),MATCH($W$22,$AH$22:$AH$47,0)))*C33</f>
        <v>0</v>
      </c>
      <c r="AA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33,$BB$2:$CA$2,0),MATCH($W$22,$AH$22:$AH$47,0)))*C33</f>
        <v>0</v>
      </c>
      <c r="AB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33,$BB$2:$CA$2,0),MATCH($W$22,$AH$22:$AH$47,0)))*C33</f>
        <v>0</v>
      </c>
      <c r="AC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33,$BB$2:$CA$2,0),MATCH($W$22,$AH$22:$AH$47,0)))*C33</f>
        <v>0</v>
      </c>
      <c r="AD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33,$BB$2:$CA$2,0),MATCH($W$22,$AH$22:$AH$47,0)))*C33</f>
        <v>0</v>
      </c>
      <c r="AE32" s="19"/>
      <c r="AF32" s="19"/>
      <c r="AG32" s="19"/>
      <c r="AH32" s="19" t="s">
        <v>67</v>
      </c>
      <c r="AI32" s="19"/>
      <c r="AJ32" s="19">
        <v>1750</v>
      </c>
      <c r="AK32" s="19"/>
      <c r="AL32" s="19"/>
      <c r="AM32" s="19">
        <v>35</v>
      </c>
      <c r="AN32" s="19" t="s">
        <v>23</v>
      </c>
      <c r="AO32" s="19" t="s">
        <v>24</v>
      </c>
      <c r="AP32" s="19" t="s">
        <v>55</v>
      </c>
      <c r="AQ32" s="19" t="s">
        <v>13</v>
      </c>
      <c r="AS32" s="19">
        <v>35</v>
      </c>
      <c r="AT32" s="19" t="s">
        <v>35</v>
      </c>
      <c r="AU32" s="19" t="s">
        <v>36</v>
      </c>
      <c r="AV32" s="19" t="s">
        <v>84</v>
      </c>
      <c r="AW32" s="19" t="s">
        <v>84</v>
      </c>
      <c r="AX32" s="19"/>
      <c r="AY32" s="19"/>
      <c r="AZ32" s="19"/>
      <c r="BA32" s="26" t="s">
        <v>239</v>
      </c>
      <c r="BB32" s="19">
        <v>0</v>
      </c>
      <c r="BC32" s="19">
        <v>0</v>
      </c>
      <c r="BD32" s="19">
        <v>0</v>
      </c>
      <c r="BE32" s="19">
        <v>0</v>
      </c>
      <c r="BF32" s="19">
        <v>4</v>
      </c>
      <c r="BG32" s="19">
        <v>4</v>
      </c>
      <c r="BH32" s="19">
        <v>4</v>
      </c>
      <c r="BI32" s="19">
        <v>8</v>
      </c>
      <c r="BJ32" s="19">
        <v>8</v>
      </c>
      <c r="BK32" s="19">
        <v>8</v>
      </c>
      <c r="BL32" s="19">
        <v>12</v>
      </c>
      <c r="BM32" s="19">
        <v>12</v>
      </c>
      <c r="BN32" s="19">
        <v>12</v>
      </c>
      <c r="BO32" s="19">
        <v>16</v>
      </c>
      <c r="BP32" s="19">
        <v>16</v>
      </c>
      <c r="BQ32" s="19">
        <v>16</v>
      </c>
      <c r="BR32" s="19">
        <v>20</v>
      </c>
      <c r="BS32" s="19">
        <v>20</v>
      </c>
      <c r="BT32" s="19">
        <v>20</v>
      </c>
      <c r="BU32" s="19">
        <v>24</v>
      </c>
      <c r="BV32" s="19">
        <v>24</v>
      </c>
      <c r="BW32" s="19">
        <v>24</v>
      </c>
      <c r="BX32" s="19">
        <v>28</v>
      </c>
      <c r="BY32" s="19">
        <v>28</v>
      </c>
      <c r="BZ32" s="19">
        <v>28</v>
      </c>
      <c r="CA32" s="19">
        <v>32</v>
      </c>
      <c r="CB32" s="19">
        <v>32</v>
      </c>
      <c r="CC32" s="19">
        <v>32</v>
      </c>
      <c r="CD32" s="19">
        <v>36</v>
      </c>
      <c r="CE32" s="19">
        <v>36</v>
      </c>
      <c r="CF32" s="19">
        <v>36</v>
      </c>
      <c r="CG32" s="19">
        <v>40</v>
      </c>
      <c r="CH32" s="19">
        <v>40</v>
      </c>
      <c r="CI32" s="19">
        <v>40</v>
      </c>
      <c r="CJ32" s="19">
        <v>44</v>
      </c>
      <c r="CK32" s="19">
        <v>44</v>
      </c>
      <c r="CL32" s="19">
        <v>44</v>
      </c>
      <c r="CM32" s="19">
        <v>48</v>
      </c>
      <c r="CN32" s="19">
        <v>48</v>
      </c>
      <c r="CO32" s="19">
        <v>48</v>
      </c>
      <c r="CP32" s="19">
        <v>48</v>
      </c>
      <c r="CQ32" s="19">
        <v>52</v>
      </c>
      <c r="CR32" s="19">
        <v>52</v>
      </c>
      <c r="CS32" s="19">
        <v>52</v>
      </c>
      <c r="CT32" s="19">
        <v>56</v>
      </c>
      <c r="CU32" s="19">
        <v>56</v>
      </c>
      <c r="CV32" s="19">
        <v>56</v>
      </c>
      <c r="CW32" s="19">
        <v>60</v>
      </c>
      <c r="CX32" s="19">
        <v>60</v>
      </c>
      <c r="CY32" s="19">
        <v>60</v>
      </c>
      <c r="CZ32" s="19">
        <v>64</v>
      </c>
      <c r="DA32" s="17"/>
      <c r="DB32" s="17">
        <v>31</v>
      </c>
      <c r="DC32" s="17"/>
      <c r="DD32" s="26" t="s">
        <v>328</v>
      </c>
      <c r="DE32" s="19">
        <v>0</v>
      </c>
      <c r="DF32" s="19"/>
      <c r="DG32" s="19"/>
      <c r="DH32" s="19"/>
      <c r="DI32" s="19"/>
      <c r="DJ32" s="19"/>
      <c r="DK32" s="19"/>
      <c r="DL32" s="19"/>
      <c r="DM32" s="19"/>
      <c r="DN32" s="19"/>
      <c r="DO32" s="19"/>
      <c r="DP32" s="19"/>
      <c r="DQ32" s="19"/>
      <c r="DR32" s="19"/>
      <c r="DS32" s="19"/>
      <c r="DT32" s="19"/>
      <c r="DU32" s="19"/>
      <c r="DV32" s="19"/>
      <c r="DW32" s="19"/>
      <c r="DX32" s="19"/>
      <c r="DY32" s="19"/>
      <c r="DZ32" s="19"/>
      <c r="EA32" s="19"/>
      <c r="EB32" s="26" t="s">
        <v>239</v>
      </c>
      <c r="EC32" s="19">
        <v>0</v>
      </c>
      <c r="ED32" s="19">
        <v>0</v>
      </c>
      <c r="EE32" s="19">
        <v>4</v>
      </c>
      <c r="EF32" s="19">
        <v>4</v>
      </c>
      <c r="EG32" s="19">
        <v>8</v>
      </c>
      <c r="EH32" s="19">
        <v>8</v>
      </c>
      <c r="EI32" s="19">
        <v>12</v>
      </c>
      <c r="EJ32" s="19">
        <v>12</v>
      </c>
      <c r="EK32" s="19">
        <v>16</v>
      </c>
      <c r="EL32" s="19">
        <v>16</v>
      </c>
      <c r="EM32" s="19">
        <v>20</v>
      </c>
      <c r="EN32" s="19">
        <v>20</v>
      </c>
      <c r="EO32" s="19">
        <v>24</v>
      </c>
      <c r="EP32" s="19">
        <v>24</v>
      </c>
      <c r="EQ32" s="19">
        <v>28</v>
      </c>
      <c r="ER32" s="19">
        <v>28</v>
      </c>
      <c r="ES32" s="19">
        <v>32</v>
      </c>
      <c r="ET32" s="19">
        <v>32</v>
      </c>
      <c r="EU32" s="19">
        <v>36</v>
      </c>
      <c r="EV32" s="19">
        <v>36</v>
      </c>
      <c r="EW32" s="19">
        <v>40</v>
      </c>
      <c r="EX32" s="19">
        <v>40</v>
      </c>
      <c r="EY32" s="19">
        <v>44</v>
      </c>
      <c r="EZ32" s="19">
        <v>48</v>
      </c>
      <c r="FA32" s="19">
        <v>48</v>
      </c>
      <c r="FB32" s="19">
        <v>52</v>
      </c>
      <c r="FC32" s="19">
        <v>52</v>
      </c>
      <c r="FD32" s="19">
        <v>56</v>
      </c>
      <c r="FE32" s="19">
        <v>56</v>
      </c>
      <c r="FF32" s="19">
        <v>60</v>
      </c>
      <c r="FG32" s="19">
        <v>60</v>
      </c>
      <c r="FH32" s="19">
        <v>64</v>
      </c>
      <c r="FI32" s="19">
        <v>64</v>
      </c>
      <c r="FJ32" s="19">
        <v>68</v>
      </c>
      <c r="FK32" s="19">
        <v>68</v>
      </c>
      <c r="FL32" s="19">
        <v>72</v>
      </c>
      <c r="FM32" s="19">
        <v>72</v>
      </c>
      <c r="FN32" s="19">
        <v>76</v>
      </c>
      <c r="FO32" s="19">
        <v>76</v>
      </c>
      <c r="FP32" s="19">
        <v>80</v>
      </c>
      <c r="FQ32" s="19">
        <v>80</v>
      </c>
      <c r="FR32" s="19">
        <v>84</v>
      </c>
      <c r="FS32" s="19">
        <v>84</v>
      </c>
      <c r="FT32" s="19">
        <v>88</v>
      </c>
      <c r="FU32" s="19">
        <v>88</v>
      </c>
      <c r="FV32" s="19">
        <v>92</v>
      </c>
      <c r="FW32" s="19">
        <v>92</v>
      </c>
      <c r="FX32" s="19">
        <v>96</v>
      </c>
      <c r="FY32" s="19">
        <v>100</v>
      </c>
      <c r="FZ32" s="19">
        <v>100</v>
      </c>
      <c r="GA32" s="19">
        <v>104</v>
      </c>
      <c r="GC32" s="19"/>
      <c r="GD32" s="19"/>
      <c r="GE32" s="26" t="s">
        <v>239</v>
      </c>
      <c r="GF32" s="19">
        <v>0</v>
      </c>
      <c r="GG32" s="19">
        <v>0</v>
      </c>
      <c r="GH32" s="19">
        <v>4</v>
      </c>
      <c r="GI32" s="19">
        <v>4</v>
      </c>
      <c r="GJ32" s="19">
        <v>8</v>
      </c>
      <c r="GK32" s="19">
        <v>12</v>
      </c>
      <c r="GL32" s="19">
        <v>12</v>
      </c>
      <c r="GM32" s="19">
        <v>16</v>
      </c>
      <c r="GN32" s="19">
        <v>16</v>
      </c>
      <c r="GO32" s="19">
        <v>20</v>
      </c>
      <c r="GP32" s="19">
        <v>20</v>
      </c>
      <c r="GQ32" s="19">
        <v>24</v>
      </c>
      <c r="GR32" s="19">
        <v>28</v>
      </c>
      <c r="GS32" s="19">
        <v>28</v>
      </c>
      <c r="GT32" s="19">
        <v>32</v>
      </c>
      <c r="GU32" s="19">
        <v>32</v>
      </c>
      <c r="GV32" s="19">
        <v>36</v>
      </c>
      <c r="GW32" s="19">
        <v>40</v>
      </c>
      <c r="GX32" s="19">
        <v>40</v>
      </c>
      <c r="GY32" s="19">
        <v>44</v>
      </c>
      <c r="GZ32" s="19">
        <v>44</v>
      </c>
      <c r="HA32" s="19">
        <v>48</v>
      </c>
      <c r="HB32" s="19">
        <v>52</v>
      </c>
      <c r="HC32" s="19">
        <v>52</v>
      </c>
      <c r="HD32" s="19">
        <v>56</v>
      </c>
      <c r="HE32" s="19">
        <v>56</v>
      </c>
      <c r="HF32" s="19">
        <v>60</v>
      </c>
      <c r="HG32" s="19">
        <v>64</v>
      </c>
      <c r="HH32" s="19">
        <v>64</v>
      </c>
      <c r="HI32" s="19">
        <v>68</v>
      </c>
      <c r="HJ32" s="19">
        <v>68</v>
      </c>
      <c r="HK32" s="19">
        <v>72</v>
      </c>
      <c r="HL32" s="19">
        <v>76</v>
      </c>
      <c r="HM32" s="19">
        <v>76</v>
      </c>
      <c r="HN32" s="19">
        <v>80</v>
      </c>
      <c r="HO32" s="19">
        <v>80</v>
      </c>
      <c r="HP32" s="19">
        <v>84</v>
      </c>
      <c r="HQ32" s="19">
        <v>88</v>
      </c>
      <c r="HR32" s="19">
        <v>88</v>
      </c>
      <c r="HS32" s="19">
        <v>92</v>
      </c>
      <c r="HT32" s="19">
        <v>92</v>
      </c>
      <c r="HU32" s="19">
        <v>96</v>
      </c>
      <c r="HV32" s="19">
        <v>100</v>
      </c>
      <c r="HW32" s="19">
        <v>100</v>
      </c>
      <c r="HX32" s="19">
        <v>104</v>
      </c>
      <c r="HY32" s="19">
        <v>104</v>
      </c>
      <c r="HZ32" s="19">
        <v>108</v>
      </c>
      <c r="IA32" s="19">
        <v>112</v>
      </c>
      <c r="IB32" s="19">
        <v>112</v>
      </c>
      <c r="IC32" s="19">
        <v>116</v>
      </c>
      <c r="ID32" s="19">
        <v>116</v>
      </c>
      <c r="IF32" s="20" t="s">
        <v>239</v>
      </c>
      <c r="IG32" s="20">
        <v>0</v>
      </c>
      <c r="IH32" s="20">
        <v>0</v>
      </c>
      <c r="II32" s="20">
        <v>4</v>
      </c>
      <c r="IJ32" s="20">
        <v>8</v>
      </c>
      <c r="IK32" s="20">
        <v>8</v>
      </c>
      <c r="IL32" s="20">
        <v>12</v>
      </c>
      <c r="IM32" s="20">
        <v>16</v>
      </c>
      <c r="IN32" s="20">
        <v>20</v>
      </c>
      <c r="IO32" s="20">
        <v>20</v>
      </c>
      <c r="IP32" s="20">
        <v>24</v>
      </c>
      <c r="IQ32" s="20">
        <v>28</v>
      </c>
      <c r="IR32" s="20">
        <v>32</v>
      </c>
      <c r="IS32" s="20">
        <v>32</v>
      </c>
      <c r="IT32" s="20">
        <v>36</v>
      </c>
      <c r="IU32" s="20">
        <v>40</v>
      </c>
      <c r="IV32" s="20">
        <v>44</v>
      </c>
      <c r="IW32" s="20">
        <v>44</v>
      </c>
      <c r="IX32" s="20">
        <v>48</v>
      </c>
      <c r="IY32" s="20">
        <v>52</v>
      </c>
      <c r="IZ32" s="20">
        <v>52</v>
      </c>
      <c r="JA32" s="20">
        <v>56</v>
      </c>
      <c r="JB32" s="20">
        <v>60</v>
      </c>
      <c r="JC32" s="20">
        <v>64</v>
      </c>
      <c r="JD32" s="20">
        <v>64</v>
      </c>
      <c r="JE32" s="20">
        <v>68</v>
      </c>
      <c r="JF32" s="20">
        <v>72</v>
      </c>
    </row>
    <row r="33" spans="1:266" x14ac:dyDescent="0.25">
      <c r="A33" s="8"/>
      <c r="B33" s="5" t="s">
        <v>61</v>
      </c>
      <c r="C33" s="8"/>
      <c r="D33" s="6" t="s">
        <v>460</v>
      </c>
      <c r="E33" s="8">
        <v>0</v>
      </c>
      <c r="F33" s="222"/>
      <c r="G33" s="222"/>
      <c r="H33" s="222"/>
      <c r="I33" s="222"/>
      <c r="J33" s="5" t="s">
        <v>461</v>
      </c>
      <c r="K33" s="4"/>
      <c r="L33" s="6" t="s">
        <v>365</v>
      </c>
      <c r="M33" s="14">
        <f>INDEX(cenník!$A$2:$I$568,MATCH($L33,cenník!$B$2:$B$557,0),MATCH(M$24,cenník!$A$1:$I$1,0))</f>
        <v>652300</v>
      </c>
      <c r="N33" s="14" t="str">
        <f>INDEX(cenník!$A$2:$I$568,MATCH($L33,cenník!$B$2:$B$557,0),MATCH(N$24,cenník!$A$1:$I$1,0))</f>
        <v>bal</v>
      </c>
      <c r="O33" s="14">
        <f>O32</f>
        <v>0</v>
      </c>
      <c r="P33" s="21">
        <f>INDEX(cenník!$A$2:$I$568,MATCH($L33,cenník!$B$2:$B$557,0),MATCH(P$24,cenník!$A$1:$I$1,0))</f>
        <v>6.86</v>
      </c>
      <c r="Q33" s="21">
        <f t="shared" ref="Q33" si="15">O33*P33</f>
        <v>0</v>
      </c>
      <c r="R33" s="22">
        <f t="shared" si="8"/>
        <v>0</v>
      </c>
      <c r="S33" s="21">
        <f t="shared" si="9"/>
        <v>6.86</v>
      </c>
      <c r="T33" s="21">
        <f t="shared" ref="T33" si="16">O33*S33</f>
        <v>0</v>
      </c>
      <c r="U33" s="21">
        <f>INDEX(cenník!$A$2:$I$568,MATCH($L33,cenník!$B$2:$B$557,0),MATCH(U$24,cenník!$A$1:$I$1,0))*O33</f>
        <v>0</v>
      </c>
      <c r="V33" s="19"/>
      <c r="W33" s="25"/>
      <c r="X33" s="25">
        <f t="shared" si="7"/>
        <v>0</v>
      </c>
      <c r="Y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34,$BB$2:$CA$2,0),MATCH($W$22,$AH$22:$AH$47,0)))*C34</f>
        <v>0</v>
      </c>
      <c r="Z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34,$BB$2:$CA$2,0),MATCH($W$22,$AH$22:$AH$47,0)))*C34</f>
        <v>0</v>
      </c>
      <c r="AA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34,$BB$2:$CA$2,0),MATCH($W$22,$AH$22:$AH$47,0)))*C34</f>
        <v>0</v>
      </c>
      <c r="AB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34,$BB$2:$CA$2,0),MATCH($W$22,$AH$22:$AH$47,0)))*C34</f>
        <v>0</v>
      </c>
      <c r="AC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34,$BB$2:$CA$2,0),MATCH($W$22,$AH$22:$AH$47,0)))*C34</f>
        <v>0</v>
      </c>
      <c r="AD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34,$BB$2:$CA$2,0),MATCH($W$22,$AH$22:$AH$47,0)))*C34</f>
        <v>0</v>
      </c>
      <c r="AE33" s="19"/>
      <c r="AF33" s="19"/>
      <c r="AG33" s="19"/>
      <c r="AH33" s="19" t="s">
        <v>195</v>
      </c>
      <c r="AI33" s="19">
        <v>2000</v>
      </c>
      <c r="AJ33" s="19">
        <v>1800</v>
      </c>
      <c r="AK33" s="19"/>
      <c r="AL33" s="19"/>
      <c r="AM33" s="19">
        <v>38</v>
      </c>
      <c r="AN33" s="19" t="s">
        <v>25</v>
      </c>
      <c r="AO33" s="19"/>
      <c r="AP33" s="19" t="s">
        <v>55</v>
      </c>
      <c r="AQ33" s="19" t="s">
        <v>13</v>
      </c>
      <c r="AS33" s="19">
        <v>38</v>
      </c>
      <c r="AT33" s="19" t="s">
        <v>37</v>
      </c>
      <c r="AU33" s="19"/>
      <c r="AV33" s="19" t="s">
        <v>84</v>
      </c>
      <c r="AW33" s="19" t="s">
        <v>84</v>
      </c>
      <c r="AX33" s="19"/>
      <c r="AY33" s="19"/>
      <c r="AZ33" s="19"/>
      <c r="BA33" s="26" t="s">
        <v>326</v>
      </c>
      <c r="BB33" s="19">
        <v>0</v>
      </c>
      <c r="BC33" s="19">
        <v>2</v>
      </c>
      <c r="BD33" s="19">
        <v>2</v>
      </c>
      <c r="BE33" s="19">
        <v>0</v>
      </c>
      <c r="BF33" s="19">
        <v>4</v>
      </c>
      <c r="BG33" s="19">
        <v>2</v>
      </c>
      <c r="BH33" s="19">
        <v>0</v>
      </c>
      <c r="BI33" s="19">
        <v>4</v>
      </c>
      <c r="BJ33" s="19">
        <v>2</v>
      </c>
      <c r="BK33" s="19">
        <v>0</v>
      </c>
      <c r="BL33" s="19">
        <v>4</v>
      </c>
      <c r="BM33" s="19">
        <v>2</v>
      </c>
      <c r="BN33" s="19">
        <v>0</v>
      </c>
      <c r="BO33" s="19">
        <v>4</v>
      </c>
      <c r="BP33" s="19">
        <v>2</v>
      </c>
      <c r="BQ33" s="19">
        <v>0</v>
      </c>
      <c r="BR33" s="19">
        <v>4</v>
      </c>
      <c r="BS33" s="19">
        <v>2</v>
      </c>
      <c r="BT33" s="19">
        <v>0</v>
      </c>
      <c r="BU33" s="19">
        <v>4</v>
      </c>
      <c r="BV33" s="19">
        <v>2</v>
      </c>
      <c r="BW33" s="19">
        <v>0</v>
      </c>
      <c r="BX33" s="19">
        <v>4</v>
      </c>
      <c r="BY33" s="19">
        <v>2</v>
      </c>
      <c r="BZ33" s="19">
        <v>0</v>
      </c>
      <c r="CA33" s="19">
        <v>4</v>
      </c>
      <c r="CB33" s="19"/>
      <c r="CC33" s="19"/>
      <c r="CD33" s="19"/>
      <c r="CE33" s="19"/>
      <c r="CF33" s="19"/>
      <c r="CG33" s="19"/>
      <c r="CH33" s="19"/>
      <c r="CI33" s="19"/>
      <c r="CJ33" s="19"/>
      <c r="CK33" s="19"/>
      <c r="CL33" s="19"/>
      <c r="CM33" s="19"/>
      <c r="CN33" s="19"/>
      <c r="CO33" s="19"/>
      <c r="CP33" s="19"/>
      <c r="CQ33" s="19"/>
      <c r="CR33" s="19"/>
      <c r="CS33" s="19"/>
      <c r="CT33" s="19"/>
      <c r="CU33" s="19"/>
      <c r="CV33" s="19"/>
      <c r="CW33" s="19"/>
      <c r="CX33" s="19"/>
      <c r="CY33" s="19"/>
      <c r="CZ33" s="19"/>
      <c r="DA33" s="17"/>
      <c r="DB33" s="17">
        <v>32</v>
      </c>
      <c r="DC33" s="17"/>
      <c r="DD33" s="19"/>
      <c r="DE33" s="19"/>
      <c r="DF33" s="19"/>
      <c r="DG33" s="19"/>
      <c r="DH33" s="19"/>
      <c r="DI33" s="19"/>
      <c r="DJ33" s="19"/>
      <c r="DK33" s="19"/>
      <c r="DL33" s="19"/>
      <c r="DM33" s="19"/>
      <c r="DN33" s="19"/>
      <c r="DO33" s="19"/>
      <c r="DP33" s="19"/>
      <c r="DQ33" s="19"/>
      <c r="DR33" s="19"/>
      <c r="DS33" s="19"/>
      <c r="DT33" s="19"/>
      <c r="DU33" s="19"/>
      <c r="DV33" s="19"/>
      <c r="DW33" s="19"/>
      <c r="DX33" s="19"/>
      <c r="DY33" s="19"/>
      <c r="DZ33" s="19"/>
      <c r="EA33" s="19"/>
      <c r="EB33" s="26" t="s">
        <v>326</v>
      </c>
      <c r="EC33" s="19">
        <v>0</v>
      </c>
      <c r="ED33" s="19">
        <v>0</v>
      </c>
      <c r="EE33" s="19">
        <v>2</v>
      </c>
      <c r="EF33" s="19">
        <v>4</v>
      </c>
      <c r="EG33" s="19">
        <v>2</v>
      </c>
      <c r="EH33" s="19">
        <v>4</v>
      </c>
      <c r="EI33" s="19">
        <v>2</v>
      </c>
      <c r="EJ33" s="19">
        <v>4</v>
      </c>
      <c r="EK33" s="19">
        <v>4</v>
      </c>
      <c r="EL33" s="19">
        <v>4</v>
      </c>
      <c r="EM33" s="19">
        <v>0</v>
      </c>
      <c r="EN33" s="19">
        <v>4</v>
      </c>
      <c r="EO33" s="19">
        <v>0</v>
      </c>
      <c r="EP33" s="19">
        <v>4</v>
      </c>
      <c r="EQ33" s="19">
        <v>0</v>
      </c>
      <c r="ER33" s="19">
        <v>4</v>
      </c>
      <c r="ES33" s="19">
        <v>0</v>
      </c>
      <c r="ET33" s="19">
        <v>2</v>
      </c>
      <c r="EU33" s="19">
        <v>0</v>
      </c>
      <c r="EV33" s="19">
        <v>2</v>
      </c>
      <c r="EW33" s="19">
        <v>0</v>
      </c>
      <c r="EX33" s="19">
        <v>2</v>
      </c>
      <c r="EY33" s="19">
        <v>0</v>
      </c>
      <c r="EZ33" s="19">
        <v>2</v>
      </c>
      <c r="FA33" s="19">
        <v>4</v>
      </c>
      <c r="FB33" s="19">
        <v>2</v>
      </c>
      <c r="FC33" s="19">
        <v>4</v>
      </c>
      <c r="FD33" s="19"/>
      <c r="FE33" s="19"/>
      <c r="FF33" s="19"/>
      <c r="FG33" s="19"/>
      <c r="FH33" s="19"/>
      <c r="FI33" s="19"/>
      <c r="FJ33" s="19"/>
      <c r="FK33" s="19"/>
      <c r="FL33" s="19"/>
      <c r="FM33" s="19"/>
      <c r="FN33" s="19"/>
      <c r="FO33" s="19"/>
      <c r="FP33" s="19"/>
      <c r="FQ33" s="19"/>
      <c r="FR33" s="19"/>
      <c r="FS33" s="19"/>
      <c r="FT33" s="19"/>
      <c r="FU33" s="19"/>
      <c r="FV33" s="19"/>
      <c r="FW33" s="19"/>
      <c r="FX33" s="19"/>
      <c r="FY33" s="19"/>
      <c r="FZ33" s="19"/>
      <c r="GA33" s="19"/>
      <c r="GC33" s="19"/>
      <c r="GD33" s="19"/>
      <c r="GE33" s="26" t="s">
        <v>326</v>
      </c>
      <c r="GF33" s="19">
        <v>0</v>
      </c>
      <c r="GG33" s="19">
        <v>2</v>
      </c>
      <c r="GH33" s="19">
        <v>4</v>
      </c>
      <c r="GI33" s="19">
        <v>0</v>
      </c>
      <c r="GJ33" s="19">
        <v>2</v>
      </c>
      <c r="GK33" s="19">
        <v>4</v>
      </c>
      <c r="GL33" s="19">
        <v>2</v>
      </c>
      <c r="GM33" s="19">
        <v>4</v>
      </c>
      <c r="GN33" s="19">
        <v>0</v>
      </c>
      <c r="GO33" s="19">
        <v>2</v>
      </c>
      <c r="GP33" s="19">
        <v>0</v>
      </c>
      <c r="GQ33" s="19">
        <v>2</v>
      </c>
      <c r="GR33" s="19">
        <v>4</v>
      </c>
      <c r="GS33" s="19">
        <v>0</v>
      </c>
      <c r="GT33" s="19">
        <v>2</v>
      </c>
      <c r="GU33" s="19">
        <v>0</v>
      </c>
      <c r="GV33" s="19">
        <v>2</v>
      </c>
      <c r="GW33" s="19">
        <v>4</v>
      </c>
      <c r="GX33" s="19">
        <v>0</v>
      </c>
      <c r="GY33" s="19">
        <v>2</v>
      </c>
      <c r="GZ33" s="19">
        <v>0</v>
      </c>
      <c r="HA33" s="19">
        <v>2</v>
      </c>
      <c r="HB33" s="19">
        <v>4</v>
      </c>
      <c r="HC33" s="19">
        <v>0</v>
      </c>
      <c r="HD33" s="19">
        <v>2</v>
      </c>
      <c r="HE33" s="19">
        <v>0</v>
      </c>
      <c r="HF33" s="19"/>
      <c r="HG33" s="19"/>
      <c r="HH33" s="19"/>
      <c r="HI33" s="19"/>
      <c r="HJ33" s="19"/>
      <c r="HK33" s="19"/>
      <c r="HL33" s="19"/>
      <c r="HM33" s="19"/>
      <c r="HN33" s="19"/>
      <c r="HO33" s="19"/>
      <c r="HP33" s="19"/>
      <c r="HQ33" s="19"/>
      <c r="HR33" s="19"/>
      <c r="HS33" s="19"/>
      <c r="HT33" s="19"/>
      <c r="HU33" s="19"/>
      <c r="HV33" s="19"/>
      <c r="HW33" s="19"/>
      <c r="HX33" s="19"/>
      <c r="HY33" s="19"/>
      <c r="HZ33" s="19"/>
      <c r="IA33" s="19"/>
      <c r="IB33" s="19"/>
      <c r="IC33" s="19"/>
      <c r="ID33" s="19"/>
      <c r="IF33" s="20" t="s">
        <v>326</v>
      </c>
      <c r="IG33" s="20">
        <v>0</v>
      </c>
      <c r="IH33" s="20">
        <v>0</v>
      </c>
      <c r="II33" s="20">
        <v>2</v>
      </c>
      <c r="IJ33" s="20">
        <v>4</v>
      </c>
      <c r="IK33" s="20">
        <v>0</v>
      </c>
      <c r="IL33" s="20">
        <v>0</v>
      </c>
      <c r="IM33" s="20">
        <v>2</v>
      </c>
      <c r="IN33" s="20">
        <v>4</v>
      </c>
      <c r="IO33" s="20">
        <v>0</v>
      </c>
      <c r="IP33" s="20">
        <v>2</v>
      </c>
      <c r="IQ33" s="20">
        <v>2</v>
      </c>
      <c r="IR33" s="20">
        <v>4</v>
      </c>
      <c r="IS33" s="20">
        <v>0</v>
      </c>
      <c r="IT33" s="20">
        <v>2</v>
      </c>
      <c r="IU33" s="20">
        <v>4</v>
      </c>
      <c r="IV33" s="20">
        <v>4</v>
      </c>
      <c r="IW33" s="20">
        <v>0</v>
      </c>
      <c r="IX33" s="20">
        <v>2</v>
      </c>
      <c r="IY33" s="20">
        <v>4</v>
      </c>
      <c r="IZ33" s="20">
        <v>0</v>
      </c>
      <c r="JA33" s="20">
        <v>0</v>
      </c>
      <c r="JB33" s="20">
        <v>2</v>
      </c>
      <c r="JC33" s="20">
        <v>4</v>
      </c>
      <c r="JD33" s="20">
        <v>0</v>
      </c>
      <c r="JE33" s="20">
        <v>2</v>
      </c>
      <c r="JF33" s="20">
        <v>2</v>
      </c>
    </row>
    <row r="34" spans="1:266" x14ac:dyDescent="0.25">
      <c r="A34" s="8"/>
      <c r="B34" s="5" t="s">
        <v>61</v>
      </c>
      <c r="C34" s="8"/>
      <c r="D34" s="6" t="s">
        <v>474</v>
      </c>
      <c r="E34" s="4"/>
      <c r="F34" s="222"/>
      <c r="G34" s="222"/>
      <c r="H34" s="222"/>
      <c r="I34" s="222"/>
      <c r="J34" s="4"/>
      <c r="K34" s="4"/>
      <c r="L34" s="6" t="s">
        <v>44</v>
      </c>
      <c r="M34" s="14">
        <f>INDEX(cenník!$A$2:$I$568,MATCH($L34,cenník!$B$2:$B$557,0),MATCH(M$24,cenník!$A$1:$I$1,0))</f>
        <v>890009</v>
      </c>
      <c r="N34" s="14" t="str">
        <f>INDEX(cenník!$A$2:$I$568,MATCH($L34,cenník!$B$2:$B$557,0),MATCH(N$24,cenník!$A$1:$I$1,0))</f>
        <v>100ks</v>
      </c>
      <c r="O34" s="14">
        <f>O32</f>
        <v>0</v>
      </c>
      <c r="P34" s="21">
        <f>INDEX(cenník!$A$2:$I$568,MATCH($L34,cenník!$B$2:$B$557,0),MATCH(P$24,cenník!$A$1:$I$1,0))</f>
        <v>15.96</v>
      </c>
      <c r="Q34" s="21">
        <f t="shared" ref="Q34:Q43" si="17">O34*P34</f>
        <v>0</v>
      </c>
      <c r="R34" s="22">
        <f t="shared" si="8"/>
        <v>0</v>
      </c>
      <c r="S34" s="21">
        <f t="shared" si="9"/>
        <v>15.96</v>
      </c>
      <c r="T34" s="21">
        <f t="shared" ref="T34:T43" si="18">O34*S34</f>
        <v>0</v>
      </c>
      <c r="U34" s="21">
        <f>INDEX(cenník!$A$2:$I$568,MATCH($L34,cenník!$B$2:$B$557,0),MATCH(U$24,cenník!$A$1:$I$1,0))*O34</f>
        <v>0</v>
      </c>
      <c r="V34" s="19"/>
      <c r="W34" s="25"/>
      <c r="X34" s="25">
        <f t="shared" si="7"/>
        <v>0</v>
      </c>
      <c r="Y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35,$BB$2:$CA$2,0),MATCH($W$22,$AH$22:$AH$47,0)))*C35</f>
        <v>0</v>
      </c>
      <c r="Z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35,$BB$2:$CA$2,0),MATCH($W$22,$AH$22:$AH$47,0)))*C35</f>
        <v>0</v>
      </c>
      <c r="AA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35,$BB$2:$CA$2,0),MATCH($W$22,$AH$22:$AH$47,0)))*C35</f>
        <v>0</v>
      </c>
      <c r="AB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35,$BB$2:$CA$2,0),MATCH($W$22,$AH$22:$AH$47,0)))*C35</f>
        <v>0</v>
      </c>
      <c r="AC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35,$BB$2:$CA$2,0),MATCH($W$22,$AH$22:$AH$47,0)))*C35</f>
        <v>0</v>
      </c>
      <c r="AD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35,$BB$2:$CA$2,0),MATCH($W$22,$AH$22:$AH$47,0)))*C35</f>
        <v>0</v>
      </c>
      <c r="AE34" s="19"/>
      <c r="AF34" s="19"/>
      <c r="AG34" s="19"/>
      <c r="AH34" s="19" t="s">
        <v>197</v>
      </c>
      <c r="AI34" s="19"/>
      <c r="AJ34" s="19">
        <v>1850</v>
      </c>
      <c r="AK34" s="19"/>
      <c r="AL34" s="19"/>
      <c r="AM34" s="19">
        <v>40</v>
      </c>
      <c r="AN34" s="19" t="s">
        <v>26</v>
      </c>
      <c r="AO34" s="19" t="s">
        <v>27</v>
      </c>
      <c r="AP34" s="19" t="s">
        <v>54</v>
      </c>
      <c r="AQ34" s="19" t="s">
        <v>13</v>
      </c>
      <c r="AS34" s="19">
        <v>40</v>
      </c>
      <c r="AT34" s="19" t="s">
        <v>38</v>
      </c>
      <c r="AU34" s="19" t="s">
        <v>39</v>
      </c>
      <c r="AV34" s="19" t="s">
        <v>84</v>
      </c>
      <c r="AW34" s="19" t="s">
        <v>84</v>
      </c>
      <c r="AX34" s="19"/>
      <c r="AY34" s="19"/>
      <c r="AZ34" s="19"/>
      <c r="BA34" s="26" t="s">
        <v>327</v>
      </c>
      <c r="BB34" s="19">
        <v>0</v>
      </c>
      <c r="BC34" s="19">
        <v>0</v>
      </c>
      <c r="BD34" s="19">
        <v>0</v>
      </c>
      <c r="BE34" s="19">
        <v>2</v>
      </c>
      <c r="BF34" s="19">
        <v>0</v>
      </c>
      <c r="BG34" s="19">
        <v>2</v>
      </c>
      <c r="BH34" s="19">
        <v>4</v>
      </c>
      <c r="BI34" s="19">
        <v>2</v>
      </c>
      <c r="BJ34" s="19">
        <v>4</v>
      </c>
      <c r="BK34" s="19">
        <v>6</v>
      </c>
      <c r="BL34" s="19">
        <v>4</v>
      </c>
      <c r="BM34" s="19">
        <v>6</v>
      </c>
      <c r="BN34" s="19">
        <v>8</v>
      </c>
      <c r="BO34" s="19">
        <v>6</v>
      </c>
      <c r="BP34" s="19">
        <v>8</v>
      </c>
      <c r="BQ34" s="19">
        <v>10</v>
      </c>
      <c r="BR34" s="19">
        <v>8</v>
      </c>
      <c r="BS34" s="19">
        <v>10</v>
      </c>
      <c r="BT34" s="19">
        <v>12</v>
      </c>
      <c r="BU34" s="19">
        <v>10</v>
      </c>
      <c r="BV34" s="19">
        <v>12</v>
      </c>
      <c r="BW34" s="19">
        <v>14</v>
      </c>
      <c r="BX34" s="19">
        <v>12</v>
      </c>
      <c r="BY34" s="19">
        <v>14</v>
      </c>
      <c r="BZ34" s="19">
        <v>16</v>
      </c>
      <c r="CA34" s="19">
        <v>14</v>
      </c>
      <c r="CB34" s="19"/>
      <c r="CC34" s="19"/>
      <c r="CD34" s="19"/>
      <c r="CE34" s="19"/>
      <c r="CF34" s="19"/>
      <c r="CG34" s="19"/>
      <c r="CH34" s="19"/>
      <c r="CI34" s="19"/>
      <c r="CJ34" s="19"/>
      <c r="CK34" s="19"/>
      <c r="CL34" s="19"/>
      <c r="CM34" s="19"/>
      <c r="CN34" s="19"/>
      <c r="CO34" s="19"/>
      <c r="CP34" s="19"/>
      <c r="CQ34" s="19"/>
      <c r="CR34" s="19"/>
      <c r="CS34" s="19"/>
      <c r="CT34" s="19"/>
      <c r="CU34" s="19"/>
      <c r="CV34" s="19"/>
      <c r="CW34" s="19"/>
      <c r="CX34" s="19"/>
      <c r="CY34" s="19"/>
      <c r="CZ34" s="19"/>
      <c r="DA34" s="17"/>
      <c r="DB34" s="17">
        <v>33</v>
      </c>
      <c r="DC34" s="17"/>
      <c r="DD34" s="19" t="s">
        <v>205</v>
      </c>
      <c r="DE34" s="19">
        <v>0</v>
      </c>
      <c r="DF34" s="19">
        <v>1</v>
      </c>
      <c r="DG34" s="19">
        <v>2</v>
      </c>
      <c r="DH34" s="19">
        <v>3</v>
      </c>
      <c r="DI34" s="19">
        <v>4</v>
      </c>
      <c r="DJ34" s="19">
        <v>5</v>
      </c>
      <c r="DK34" s="19">
        <v>6</v>
      </c>
      <c r="DL34" s="19">
        <v>7</v>
      </c>
      <c r="DM34" s="19">
        <v>8</v>
      </c>
      <c r="DN34" s="19">
        <v>9</v>
      </c>
      <c r="DO34" s="19">
        <v>10</v>
      </c>
      <c r="DP34" s="19">
        <v>11</v>
      </c>
      <c r="DQ34" s="19">
        <v>12</v>
      </c>
      <c r="DR34" s="19">
        <v>13</v>
      </c>
      <c r="DS34" s="19">
        <v>14</v>
      </c>
      <c r="DT34" s="19">
        <v>15</v>
      </c>
      <c r="DU34" s="19">
        <v>16</v>
      </c>
      <c r="DV34" s="19">
        <v>17</v>
      </c>
      <c r="DW34" s="19">
        <v>18</v>
      </c>
      <c r="DX34" s="19">
        <v>19</v>
      </c>
      <c r="DY34" s="19">
        <v>20</v>
      </c>
      <c r="DZ34" s="19"/>
      <c r="EA34" s="19"/>
      <c r="EB34" s="26" t="s">
        <v>327</v>
      </c>
      <c r="EC34" s="19">
        <v>0</v>
      </c>
      <c r="ED34" s="19">
        <v>0</v>
      </c>
      <c r="EE34" s="19">
        <v>0</v>
      </c>
      <c r="EF34" s="19">
        <v>0</v>
      </c>
      <c r="EG34" s="19">
        <v>2</v>
      </c>
      <c r="EH34" s="19">
        <v>2</v>
      </c>
      <c r="EI34" s="19">
        <v>4</v>
      </c>
      <c r="EJ34" s="19">
        <v>4</v>
      </c>
      <c r="EK34" s="19">
        <v>4</v>
      </c>
      <c r="EL34" s="19">
        <v>6</v>
      </c>
      <c r="EM34" s="19">
        <v>10</v>
      </c>
      <c r="EN34" s="19">
        <v>8</v>
      </c>
      <c r="EO34" s="19">
        <v>12</v>
      </c>
      <c r="EP34" s="19">
        <v>10</v>
      </c>
      <c r="EQ34" s="19">
        <v>14</v>
      </c>
      <c r="ER34" s="19">
        <v>12</v>
      </c>
      <c r="ES34" s="19">
        <v>16</v>
      </c>
      <c r="ET34" s="19">
        <v>16</v>
      </c>
      <c r="EU34" s="19">
        <v>18</v>
      </c>
      <c r="EV34" s="19">
        <v>18</v>
      </c>
      <c r="EW34" s="19">
        <v>20</v>
      </c>
      <c r="EX34" s="19">
        <v>20</v>
      </c>
      <c r="EY34" s="19">
        <v>22</v>
      </c>
      <c r="EZ34" s="19">
        <v>22</v>
      </c>
      <c r="FA34" s="19">
        <v>22</v>
      </c>
      <c r="FB34" s="19">
        <v>24</v>
      </c>
      <c r="FC34" s="19">
        <v>24</v>
      </c>
      <c r="FD34" s="19"/>
      <c r="FE34" s="19"/>
      <c r="FF34" s="19"/>
      <c r="FG34" s="19"/>
      <c r="FH34" s="19"/>
      <c r="FI34" s="19"/>
      <c r="FJ34" s="19"/>
      <c r="FK34" s="19"/>
      <c r="FL34" s="19"/>
      <c r="FM34" s="19"/>
      <c r="FN34" s="19"/>
      <c r="FO34" s="19"/>
      <c r="FP34" s="19"/>
      <c r="FQ34" s="19"/>
      <c r="FR34" s="19"/>
      <c r="FS34" s="19"/>
      <c r="FT34" s="19"/>
      <c r="FU34" s="19"/>
      <c r="FV34" s="19"/>
      <c r="FW34" s="19"/>
      <c r="FX34" s="19"/>
      <c r="FY34" s="19"/>
      <c r="FZ34" s="19"/>
      <c r="GA34" s="19"/>
      <c r="GC34" s="19"/>
      <c r="GD34" s="19"/>
      <c r="GE34" s="26" t="s">
        <v>327</v>
      </c>
      <c r="GF34" s="19">
        <v>0</v>
      </c>
      <c r="GG34" s="19">
        <v>0</v>
      </c>
      <c r="GH34" s="19">
        <v>0</v>
      </c>
      <c r="GI34" s="19">
        <v>4</v>
      </c>
      <c r="GJ34" s="19">
        <v>4</v>
      </c>
      <c r="GK34" s="19">
        <v>4</v>
      </c>
      <c r="GL34" s="19">
        <v>6</v>
      </c>
      <c r="GM34" s="19">
        <v>6</v>
      </c>
      <c r="GN34" s="19">
        <v>10</v>
      </c>
      <c r="GO34" s="19">
        <v>10</v>
      </c>
      <c r="GP34" s="19">
        <v>12</v>
      </c>
      <c r="GQ34" s="19">
        <v>12</v>
      </c>
      <c r="GR34" s="19">
        <v>12</v>
      </c>
      <c r="GS34" s="19">
        <v>16</v>
      </c>
      <c r="GT34" s="19">
        <v>16</v>
      </c>
      <c r="GU34" s="19">
        <v>18</v>
      </c>
      <c r="GV34" s="19">
        <v>18</v>
      </c>
      <c r="GW34" s="19">
        <v>18</v>
      </c>
      <c r="GX34" s="19">
        <v>22</v>
      </c>
      <c r="GY34" s="19">
        <v>22</v>
      </c>
      <c r="GZ34" s="19">
        <v>24</v>
      </c>
      <c r="HA34" s="19">
        <v>24</v>
      </c>
      <c r="HB34" s="19">
        <v>24</v>
      </c>
      <c r="HC34" s="19">
        <v>28</v>
      </c>
      <c r="HD34" s="19">
        <v>28</v>
      </c>
      <c r="HE34" s="19">
        <v>30</v>
      </c>
      <c r="HF34" s="19"/>
      <c r="HG34" s="19"/>
      <c r="HH34" s="19"/>
      <c r="HI34" s="19"/>
      <c r="HJ34" s="19"/>
      <c r="HK34" s="19"/>
      <c r="HL34" s="19"/>
      <c r="HM34" s="19"/>
      <c r="HN34" s="19"/>
      <c r="HO34" s="19"/>
      <c r="HP34" s="19"/>
      <c r="HQ34" s="19"/>
      <c r="HR34" s="19"/>
      <c r="HS34" s="19"/>
      <c r="HT34" s="19"/>
      <c r="HU34" s="19"/>
      <c r="HV34" s="19"/>
      <c r="HW34" s="19"/>
      <c r="HX34" s="19"/>
      <c r="HY34" s="19"/>
      <c r="HZ34" s="19"/>
      <c r="IA34" s="19"/>
      <c r="IB34" s="19"/>
      <c r="IC34" s="19"/>
      <c r="ID34" s="19"/>
      <c r="IF34" s="20" t="s">
        <v>327</v>
      </c>
      <c r="IG34" s="20">
        <v>0</v>
      </c>
      <c r="IH34" s="20">
        <v>2</v>
      </c>
      <c r="II34" s="20">
        <v>2</v>
      </c>
      <c r="IJ34" s="20">
        <v>2</v>
      </c>
      <c r="IK34" s="20">
        <v>6</v>
      </c>
      <c r="IL34" s="20">
        <v>8</v>
      </c>
      <c r="IM34" s="20">
        <v>8</v>
      </c>
      <c r="IN34" s="20">
        <v>8</v>
      </c>
      <c r="IO34" s="20">
        <v>12</v>
      </c>
      <c r="IP34" s="20">
        <v>12</v>
      </c>
      <c r="IQ34" s="20">
        <v>14</v>
      </c>
      <c r="IR34" s="20">
        <v>14</v>
      </c>
      <c r="IS34" s="20">
        <v>18</v>
      </c>
      <c r="IT34" s="20">
        <v>18</v>
      </c>
      <c r="IU34" s="20">
        <v>18</v>
      </c>
      <c r="IV34" s="20">
        <v>20</v>
      </c>
      <c r="IW34" s="20">
        <v>24</v>
      </c>
      <c r="IX34" s="20">
        <v>24</v>
      </c>
      <c r="IY34" s="20">
        <v>24</v>
      </c>
      <c r="IZ34" s="20">
        <v>28</v>
      </c>
      <c r="JA34" s="20">
        <v>30</v>
      </c>
      <c r="JB34" s="20">
        <v>30</v>
      </c>
      <c r="JC34" s="20">
        <v>30</v>
      </c>
      <c r="JD34" s="20">
        <v>34</v>
      </c>
      <c r="JE34" s="20">
        <v>34</v>
      </c>
      <c r="JF34" s="20">
        <v>36</v>
      </c>
    </row>
    <row r="35" spans="1:266" x14ac:dyDescent="0.25">
      <c r="A35" s="8"/>
      <c r="B35" s="5" t="s">
        <v>61</v>
      </c>
      <c r="C35" s="8"/>
      <c r="D35" s="44" t="s">
        <v>563</v>
      </c>
      <c r="E35" s="4"/>
      <c r="F35" s="222"/>
      <c r="G35" s="222"/>
      <c r="H35" s="222"/>
      <c r="I35" s="222"/>
      <c r="J35" s="4"/>
      <c r="K35" s="4"/>
      <c r="L35" s="6" t="str">
        <f>IF(E28=$AC$1,INDEX(($AN$28:$AO$37,$AN$42:$AO$51,$AN$56:$AO$65),MATCH(I25,$AM$28:$AM$37,0),MATCH(E29,$AN$27:$AO$27,0),MATCH(E32,$AK$22:$AK$24,0)),IF(E28=$AC$2,INDEX(($AT$28:$AU$37,$AT$42:$AU$51,$AT$56:$AU$65),MATCH(I25,$AS$28:$AS$37,0),MATCH(E29,$AT$27:$AU$27,0),MATCH(E32,$AK$22:$AK$24,0)),0))</f>
        <v>BUFK30L</v>
      </c>
      <c r="M35" s="14">
        <f>INDEX(cenník!$A$2:$I$568,MATCH($L35,cenník!$B$2:$B$557,0),MATCH(M$24,cenník!$A$1:$I$1,0))</f>
        <v>8974302</v>
      </c>
      <c r="N35" s="14" t="str">
        <f>INDEX(cenník!$A$2:$I$568,MATCH($L35,cenník!$B$2:$B$557,0),MATCH(N$24,cenník!$A$1:$I$1,0))</f>
        <v>ks</v>
      </c>
      <c r="O35" s="14">
        <f>SUM(IF(A24=0,0,IF((A24&gt;0),C24*4)),IF(A25=0,0,IF((A25&gt;0),C25*4)),IF(A26=0,0,IF((A26&gt;0),C26*4)),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,IF(A39=0,0,IF((A39&gt;0),C39*4)))</f>
        <v>0</v>
      </c>
      <c r="P35" s="21">
        <f>INDEX(cenník!$A$2:$I$568,MATCH($L35,cenník!$B$2:$B$557,0),MATCH(P$24,cenník!$A$1:$I$1,0))</f>
        <v>2.31</v>
      </c>
      <c r="Q35" s="21">
        <f t="shared" si="17"/>
        <v>0</v>
      </c>
      <c r="R35" s="22">
        <f t="shared" si="8"/>
        <v>0</v>
      </c>
      <c r="S35" s="21">
        <f t="shared" si="9"/>
        <v>2.31</v>
      </c>
      <c r="T35" s="21">
        <f t="shared" si="18"/>
        <v>0</v>
      </c>
      <c r="U35" s="21">
        <f>INDEX(cenník!$A$2:$I$568,MATCH($L35,cenník!$B$2:$B$557,0),MATCH(U$24,cenník!$A$1:$I$1,0))*O35</f>
        <v>0</v>
      </c>
      <c r="V35" s="19"/>
      <c r="W35" s="25"/>
      <c r="X35" s="25">
        <f t="shared" si="7"/>
        <v>0</v>
      </c>
      <c r="Y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36,$BB$2:$CA$2,0),MATCH($W$22,$AH$22:$AH$47,0)))*C36</f>
        <v>0</v>
      </c>
      <c r="Z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36,$BB$2:$CA$2,0),MATCH($W$22,$AH$22:$AH$47,0)))*C36</f>
        <v>0</v>
      </c>
      <c r="AA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36,$BB$2:$CA$2,0),MATCH($W$22,$AH$22:$AH$47,0)))*C36</f>
        <v>0</v>
      </c>
      <c r="AB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36,$BB$2:$CA$2,0),MATCH($W$22,$AH$22:$AH$47,0)))*C36</f>
        <v>0</v>
      </c>
      <c r="AC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36,$BB$2:$CA$2,0),MATCH($W$22,$AH$22:$AH$47,0)))*C36</f>
        <v>0</v>
      </c>
      <c r="AD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36,$BB$2:$CA$2,0),MATCH($W$22,$AH$22:$AH$47,0)))*C36</f>
        <v>0</v>
      </c>
      <c r="AE35" s="19"/>
      <c r="AF35" s="19"/>
      <c r="AG35" s="19"/>
      <c r="AH35" s="19" t="s">
        <v>196</v>
      </c>
      <c r="AI35" s="19"/>
      <c r="AJ35" s="19">
        <v>1900</v>
      </c>
      <c r="AK35" s="19"/>
      <c r="AL35" s="19"/>
      <c r="AM35" s="19">
        <v>42</v>
      </c>
      <c r="AN35" s="19" t="s">
        <v>28</v>
      </c>
      <c r="AO35" s="19"/>
      <c r="AP35" s="19" t="s">
        <v>54</v>
      </c>
      <c r="AQ35" s="19" t="s">
        <v>13</v>
      </c>
      <c r="AS35" s="19">
        <v>42</v>
      </c>
      <c r="AT35" s="19" t="s">
        <v>40</v>
      </c>
      <c r="AU35" s="19"/>
      <c r="AV35" s="19" t="s">
        <v>84</v>
      </c>
      <c r="AW35" s="19" t="s">
        <v>84</v>
      </c>
      <c r="AX35" s="19"/>
      <c r="AY35" s="19"/>
      <c r="AZ35" s="19"/>
      <c r="BA35" s="26" t="s">
        <v>328</v>
      </c>
      <c r="BB35" s="19">
        <v>0</v>
      </c>
      <c r="BC35" s="19">
        <v>0</v>
      </c>
      <c r="BD35" s="19">
        <v>0</v>
      </c>
      <c r="BE35" s="19">
        <v>0</v>
      </c>
      <c r="BF35" s="19">
        <v>2</v>
      </c>
      <c r="BG35" s="19">
        <v>2</v>
      </c>
      <c r="BH35" s="19">
        <v>2</v>
      </c>
      <c r="BI35" s="19">
        <v>4</v>
      </c>
      <c r="BJ35" s="19">
        <v>4</v>
      </c>
      <c r="BK35" s="19">
        <v>4</v>
      </c>
      <c r="BL35" s="19">
        <v>6</v>
      </c>
      <c r="BM35" s="19">
        <v>6</v>
      </c>
      <c r="BN35" s="19">
        <v>6</v>
      </c>
      <c r="BO35" s="19">
        <v>8</v>
      </c>
      <c r="BP35" s="19">
        <v>8</v>
      </c>
      <c r="BQ35" s="19">
        <v>8</v>
      </c>
      <c r="BR35" s="19">
        <v>10</v>
      </c>
      <c r="BS35" s="19">
        <v>10</v>
      </c>
      <c r="BT35" s="19">
        <v>10</v>
      </c>
      <c r="BU35" s="19">
        <v>12</v>
      </c>
      <c r="BV35" s="19">
        <v>12</v>
      </c>
      <c r="BW35" s="19">
        <v>12</v>
      </c>
      <c r="BX35" s="19">
        <v>14</v>
      </c>
      <c r="BY35" s="19">
        <v>14</v>
      </c>
      <c r="BZ35" s="19">
        <v>14</v>
      </c>
      <c r="CA35" s="19">
        <v>16</v>
      </c>
      <c r="CB35" s="19"/>
      <c r="CC35" s="19"/>
      <c r="CD35" s="19"/>
      <c r="CE35" s="19"/>
      <c r="CF35" s="19"/>
      <c r="CG35" s="19"/>
      <c r="CH35" s="19"/>
      <c r="CI35" s="19"/>
      <c r="CJ35" s="19"/>
      <c r="CK35" s="19"/>
      <c r="CL35" s="19"/>
      <c r="CM35" s="19"/>
      <c r="CN35" s="19"/>
      <c r="CO35" s="19"/>
      <c r="CP35" s="19"/>
      <c r="CQ35" s="19"/>
      <c r="CR35" s="19"/>
      <c r="CS35" s="19"/>
      <c r="CT35" s="19"/>
      <c r="CU35" s="19"/>
      <c r="CV35" s="19"/>
      <c r="CW35" s="19"/>
      <c r="CX35" s="19"/>
      <c r="CY35" s="19"/>
      <c r="CZ35" s="19"/>
      <c r="DA35" s="17"/>
      <c r="DB35" s="17">
        <v>34</v>
      </c>
      <c r="DC35" s="17"/>
      <c r="DD35" s="19" t="s">
        <v>64</v>
      </c>
      <c r="DE35" s="19">
        <v>0</v>
      </c>
      <c r="DF35" s="19">
        <v>2</v>
      </c>
      <c r="DG35" s="19">
        <v>0</v>
      </c>
      <c r="DH35" s="19">
        <v>4</v>
      </c>
      <c r="DI35" s="19">
        <v>2</v>
      </c>
      <c r="DJ35" s="19">
        <v>0</v>
      </c>
      <c r="DK35" s="19">
        <v>4</v>
      </c>
      <c r="DL35" s="19">
        <v>2</v>
      </c>
      <c r="DM35" s="19">
        <v>0</v>
      </c>
      <c r="DN35" s="19">
        <v>4</v>
      </c>
      <c r="DO35" s="19">
        <v>2</v>
      </c>
      <c r="DP35" s="19">
        <v>0</v>
      </c>
      <c r="DQ35" s="19">
        <v>4</v>
      </c>
      <c r="DR35" s="19">
        <v>2</v>
      </c>
      <c r="DS35" s="19">
        <v>0</v>
      </c>
      <c r="DT35" s="19">
        <v>2</v>
      </c>
      <c r="DU35" s="19">
        <v>0</v>
      </c>
      <c r="DV35" s="19">
        <v>4</v>
      </c>
      <c r="DW35" s="19">
        <v>2</v>
      </c>
      <c r="DX35" s="19">
        <v>0</v>
      </c>
      <c r="DY35" s="19">
        <v>4</v>
      </c>
      <c r="DZ35" s="19"/>
      <c r="EA35" s="19"/>
      <c r="EB35" s="26" t="s">
        <v>328</v>
      </c>
      <c r="EC35" s="19">
        <v>0</v>
      </c>
      <c r="ED35" s="19">
        <v>0</v>
      </c>
      <c r="EE35" s="19">
        <v>0</v>
      </c>
      <c r="EF35" s="19">
        <v>2</v>
      </c>
      <c r="EG35" s="19">
        <v>2</v>
      </c>
      <c r="EH35" s="19">
        <v>4</v>
      </c>
      <c r="EI35" s="19">
        <v>4</v>
      </c>
      <c r="EJ35" s="19">
        <v>6</v>
      </c>
      <c r="EK35" s="19">
        <v>6</v>
      </c>
      <c r="EL35" s="19">
        <v>8</v>
      </c>
      <c r="EM35" s="19">
        <v>8</v>
      </c>
      <c r="EN35" s="19">
        <v>10</v>
      </c>
      <c r="EO35" s="19">
        <v>10</v>
      </c>
      <c r="EP35" s="19">
        <v>12</v>
      </c>
      <c r="EQ35" s="19">
        <v>12</v>
      </c>
      <c r="ER35" s="19">
        <v>14</v>
      </c>
      <c r="ES35" s="19">
        <v>14</v>
      </c>
      <c r="ET35" s="19">
        <v>16</v>
      </c>
      <c r="EU35" s="19">
        <v>16</v>
      </c>
      <c r="EV35" s="19">
        <v>18</v>
      </c>
      <c r="EW35" s="19">
        <v>18</v>
      </c>
      <c r="EX35" s="19">
        <v>20</v>
      </c>
      <c r="EY35" s="19">
        <v>20</v>
      </c>
      <c r="EZ35" s="19">
        <v>22</v>
      </c>
      <c r="FA35" s="19">
        <v>24</v>
      </c>
      <c r="FB35" s="19">
        <v>24</v>
      </c>
      <c r="FC35" s="19">
        <v>26</v>
      </c>
      <c r="FD35" s="19"/>
      <c r="FE35" s="19"/>
      <c r="FF35" s="19"/>
      <c r="FG35" s="19"/>
      <c r="FH35" s="19"/>
      <c r="FI35" s="19"/>
      <c r="FJ35" s="19"/>
      <c r="FK35" s="19"/>
      <c r="FL35" s="19"/>
      <c r="FM35" s="19"/>
      <c r="FN35" s="19"/>
      <c r="FO35" s="19"/>
      <c r="FP35" s="19"/>
      <c r="FQ35" s="19"/>
      <c r="FR35" s="19"/>
      <c r="FS35" s="19"/>
      <c r="FT35" s="19"/>
      <c r="FU35" s="19"/>
      <c r="FV35" s="19"/>
      <c r="FW35" s="19"/>
      <c r="FX35" s="19"/>
      <c r="FY35" s="19"/>
      <c r="FZ35" s="19"/>
      <c r="GA35" s="19"/>
      <c r="GC35" s="19"/>
      <c r="GD35" s="19"/>
      <c r="GE35" s="26" t="s">
        <v>328</v>
      </c>
      <c r="GF35" s="19">
        <v>0</v>
      </c>
      <c r="GG35" s="19">
        <v>0</v>
      </c>
      <c r="GH35" s="19">
        <v>2</v>
      </c>
      <c r="GI35" s="19">
        <v>2</v>
      </c>
      <c r="GJ35" s="19">
        <v>4</v>
      </c>
      <c r="GK35" s="19">
        <v>6</v>
      </c>
      <c r="GL35" s="19">
        <v>6</v>
      </c>
      <c r="GM35" s="19">
        <v>8</v>
      </c>
      <c r="GN35" s="19">
        <v>8</v>
      </c>
      <c r="GO35" s="19">
        <v>10</v>
      </c>
      <c r="GP35" s="19">
        <v>10</v>
      </c>
      <c r="GQ35" s="19">
        <v>12</v>
      </c>
      <c r="GR35" s="19">
        <v>14</v>
      </c>
      <c r="GS35" s="19">
        <v>14</v>
      </c>
      <c r="GT35" s="19">
        <v>16</v>
      </c>
      <c r="GU35" s="19">
        <v>16</v>
      </c>
      <c r="GV35" s="19">
        <v>18</v>
      </c>
      <c r="GW35" s="19">
        <v>20</v>
      </c>
      <c r="GX35" s="19">
        <v>20</v>
      </c>
      <c r="GY35" s="19">
        <v>22</v>
      </c>
      <c r="GZ35" s="19">
        <v>22</v>
      </c>
      <c r="HA35" s="19">
        <v>24</v>
      </c>
      <c r="HB35" s="19">
        <v>26</v>
      </c>
      <c r="HC35" s="19">
        <v>26</v>
      </c>
      <c r="HD35" s="19">
        <v>28</v>
      </c>
      <c r="HE35" s="19">
        <v>28</v>
      </c>
      <c r="HF35" s="19"/>
      <c r="HG35" s="19"/>
      <c r="HH35" s="19"/>
      <c r="HI35" s="19"/>
      <c r="HJ35" s="19"/>
      <c r="HK35" s="19"/>
      <c r="HL35" s="19"/>
      <c r="HM35" s="19"/>
      <c r="HN35" s="19"/>
      <c r="HO35" s="19"/>
      <c r="HP35" s="19"/>
      <c r="HQ35" s="19"/>
      <c r="HR35" s="19"/>
      <c r="HS35" s="19"/>
      <c r="HT35" s="19"/>
      <c r="HU35" s="19"/>
      <c r="HV35" s="19"/>
      <c r="HW35" s="19"/>
      <c r="HX35" s="19"/>
      <c r="HY35" s="19"/>
      <c r="HZ35" s="19"/>
      <c r="IA35" s="19"/>
      <c r="IB35" s="19"/>
      <c r="IC35" s="19"/>
      <c r="ID35" s="19"/>
      <c r="IF35" s="20" t="s">
        <v>328</v>
      </c>
      <c r="IG35" s="20">
        <v>0</v>
      </c>
      <c r="IH35" s="20">
        <v>0</v>
      </c>
      <c r="II35" s="20">
        <v>2</v>
      </c>
      <c r="IJ35" s="20">
        <v>4</v>
      </c>
      <c r="IK35" s="20">
        <v>4</v>
      </c>
      <c r="IL35" s="20">
        <v>6</v>
      </c>
      <c r="IM35" s="20">
        <v>8</v>
      </c>
      <c r="IN35" s="20">
        <v>10</v>
      </c>
      <c r="IO35" s="20">
        <v>10</v>
      </c>
      <c r="IP35" s="20">
        <v>12</v>
      </c>
      <c r="IQ35" s="20">
        <v>14</v>
      </c>
      <c r="IR35" s="20">
        <v>16</v>
      </c>
      <c r="IS35" s="20">
        <v>16</v>
      </c>
      <c r="IT35" s="20">
        <v>18</v>
      </c>
      <c r="IU35" s="20">
        <v>20</v>
      </c>
      <c r="IV35" s="20">
        <v>22</v>
      </c>
      <c r="IW35" s="20">
        <v>22</v>
      </c>
      <c r="IX35" s="20">
        <v>24</v>
      </c>
      <c r="IY35" s="20">
        <v>26</v>
      </c>
      <c r="IZ35" s="20">
        <v>26</v>
      </c>
      <c r="JA35" s="20">
        <v>28</v>
      </c>
      <c r="JB35" s="20">
        <v>30</v>
      </c>
      <c r="JC35" s="20">
        <v>32</v>
      </c>
      <c r="JD35" s="20">
        <v>32</v>
      </c>
      <c r="JE35" s="20">
        <v>34</v>
      </c>
      <c r="JF35" s="20">
        <v>36</v>
      </c>
    </row>
    <row r="36" spans="1:266" x14ac:dyDescent="0.25">
      <c r="A36" s="8"/>
      <c r="B36" s="5" t="s">
        <v>61</v>
      </c>
      <c r="C36" s="8"/>
      <c r="D36" s="4"/>
      <c r="E36" s="4"/>
      <c r="F36" s="222"/>
      <c r="G36" s="222"/>
      <c r="H36" s="222"/>
      <c r="I36" s="222"/>
      <c r="J36" s="4"/>
      <c r="K36" s="4"/>
      <c r="L36" s="6" t="str">
        <f>IF(E28=$AC$1,INDEX(($AN$38:$AO$38,$AN$52:$AO$52,$AN$66:$AO$66),1,MATCH($E$29,$AN$27:$AO$27,0),MATCH($E$32,$AK$22:$AK$24,0)),IF(E28=$AC$2,INDEX(($AT$38:$AU$38,$AT$52:$AU$52,$AT$66:$AU$66),1,MATCH($E$29,$AT$27:$AU$27,0),MATCH($E$32,$AK$22:$AK$24,0)),0))</f>
        <v>PUFKL</v>
      </c>
      <c r="M36" s="14">
        <f>INDEX(cenník!$A$2:$I$568,MATCH($L36,cenník!$B$2:$B$557,0),MATCH(M$24,cenník!$A$1:$I$1,0))</f>
        <v>890302</v>
      </c>
      <c r="N36" s="14" t="str">
        <f>INDEX(cenník!$A$2:$I$568,MATCH($L36,cenník!$B$2:$B$557,0),MATCH(N$24,cenník!$A$1:$I$1,0))</f>
        <v>ks</v>
      </c>
      <c r="O36" s="14">
        <f>SUM(IF(A24=0,0,IF(A24&gt;0,(A24-1)*2*C24)),IF(A25=0,0,IF(A25&gt;0,(A25-1)*2*C25)),IF(A26=0,0,IF(A26&gt;0,(A26-1)*2*C26)),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)</f>
        <v>0</v>
      </c>
      <c r="P36" s="21">
        <f>INDEX(cenník!$A$2:$I$568,MATCH($L36,cenník!$B$2:$B$557,0),MATCH(P$24,cenník!$A$1:$I$1,0))</f>
        <v>2.42</v>
      </c>
      <c r="Q36" s="21">
        <f t="shared" si="17"/>
        <v>0</v>
      </c>
      <c r="R36" s="22">
        <f t="shared" si="8"/>
        <v>0</v>
      </c>
      <c r="S36" s="21">
        <f t="shared" si="9"/>
        <v>2.42</v>
      </c>
      <c r="T36" s="21">
        <f t="shared" si="18"/>
        <v>0</v>
      </c>
      <c r="U36" s="21">
        <f>INDEX(cenník!$A$2:$I$568,MATCH($L36,cenník!$B$2:$B$557,0),MATCH(U$24,cenník!$A$1:$I$1,0))*O36</f>
        <v>0</v>
      </c>
      <c r="V36" s="19"/>
      <c r="W36" s="25"/>
      <c r="X36" s="25">
        <f t="shared" si="7"/>
        <v>0</v>
      </c>
      <c r="Y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37,$BB$2:$CA$2,0),MATCH($W$22,$AH$22:$AH$47,0)))*C37</f>
        <v>0</v>
      </c>
      <c r="Z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37,$BB$2:$CA$2,0),MATCH($W$22,$AH$22:$AH$47,0)))*C37</f>
        <v>0</v>
      </c>
      <c r="AA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37,$BB$2:$CA$2,0),MATCH($W$22,$AH$22:$AH$47,0)))*C37</f>
        <v>0</v>
      </c>
      <c r="AB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37,$BB$2:$CA$2,0),MATCH($W$22,$AH$22:$AH$47,0)))*C37</f>
        <v>0</v>
      </c>
      <c r="AC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37,$BB$2:$CA$2,0),MATCH($W$22,$AH$22:$AH$47,0)))*C37</f>
        <v>0</v>
      </c>
      <c r="AD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37,$BB$2:$CA$2,0),MATCH($W$22,$AH$22:$AH$47,0)))*C37</f>
        <v>0</v>
      </c>
      <c r="AE36" s="19"/>
      <c r="AF36" s="19"/>
      <c r="AG36" s="19"/>
      <c r="AH36" s="19" t="s">
        <v>198</v>
      </c>
      <c r="AI36" s="19"/>
      <c r="AJ36" s="19">
        <v>1950</v>
      </c>
      <c r="AK36" s="19"/>
      <c r="AL36" s="19"/>
      <c r="AM36" s="19">
        <v>45</v>
      </c>
      <c r="AN36" s="19" t="s">
        <v>29</v>
      </c>
      <c r="AO36" s="19"/>
      <c r="AP36" s="19" t="s">
        <v>82</v>
      </c>
      <c r="AQ36" s="19" t="s">
        <v>13</v>
      </c>
      <c r="AS36" s="19">
        <v>45</v>
      </c>
      <c r="AT36" s="19" t="s">
        <v>41</v>
      </c>
      <c r="AU36" s="19"/>
      <c r="AV36" s="19" t="s">
        <v>84</v>
      </c>
      <c r="AW36" s="19" t="s">
        <v>84</v>
      </c>
      <c r="AX36" s="19"/>
      <c r="AY36" s="19"/>
      <c r="AZ36" s="19"/>
      <c r="BA36" s="19"/>
      <c r="BB36" s="19"/>
      <c r="BC36" s="19"/>
      <c r="BD36" s="19"/>
      <c r="BE36" s="19"/>
      <c r="BF36" s="19"/>
      <c r="BG36" s="19"/>
      <c r="BH36" s="19"/>
      <c r="BI36" s="19"/>
      <c r="BJ36" s="19"/>
      <c r="BK36" s="19"/>
      <c r="BL36" s="19"/>
      <c r="BM36" s="19"/>
      <c r="BN36" s="19"/>
      <c r="BO36" s="19"/>
      <c r="BP36" s="19"/>
      <c r="BQ36" s="19"/>
      <c r="BR36" s="19"/>
      <c r="BS36" s="19"/>
      <c r="BT36" s="19"/>
      <c r="BU36" s="19"/>
      <c r="BV36" s="19"/>
      <c r="BW36" s="19"/>
      <c r="BX36" s="19"/>
      <c r="BY36" s="19"/>
      <c r="BZ36" s="19"/>
      <c r="CA36" s="19"/>
      <c r="CB36" s="19"/>
      <c r="CC36" s="19"/>
      <c r="CD36" s="19"/>
      <c r="CE36" s="19"/>
      <c r="CF36" s="19"/>
      <c r="CG36" s="19"/>
      <c r="CH36" s="19"/>
      <c r="CI36" s="19"/>
      <c r="CJ36" s="19"/>
      <c r="CK36" s="19"/>
      <c r="CL36" s="19"/>
      <c r="CM36" s="19"/>
      <c r="CN36" s="19"/>
      <c r="CO36" s="19"/>
      <c r="CP36" s="19"/>
      <c r="CQ36" s="19"/>
      <c r="CR36" s="19"/>
      <c r="CS36" s="19"/>
      <c r="CT36" s="19"/>
      <c r="CU36" s="19"/>
      <c r="CV36" s="19"/>
      <c r="CW36" s="19"/>
      <c r="CX36" s="19"/>
      <c r="CY36" s="19"/>
      <c r="CZ36" s="19"/>
      <c r="DA36" s="17"/>
      <c r="DB36" s="17">
        <v>35</v>
      </c>
      <c r="DC36" s="17"/>
      <c r="DD36" s="19" t="s">
        <v>18</v>
      </c>
      <c r="DE36" s="19">
        <v>0</v>
      </c>
      <c r="DF36" s="19">
        <v>0</v>
      </c>
      <c r="DG36" s="19">
        <v>2</v>
      </c>
      <c r="DH36" s="19">
        <v>0</v>
      </c>
      <c r="DI36" s="19">
        <v>2</v>
      </c>
      <c r="DJ36" s="19">
        <v>4</v>
      </c>
      <c r="DK36" s="19">
        <v>2</v>
      </c>
      <c r="DL36" s="19">
        <v>4</v>
      </c>
      <c r="DM36" s="19">
        <v>6</v>
      </c>
      <c r="DN36" s="19">
        <v>4</v>
      </c>
      <c r="DO36" s="19">
        <v>6</v>
      </c>
      <c r="DP36" s="19">
        <v>8</v>
      </c>
      <c r="DQ36" s="19">
        <v>6</v>
      </c>
      <c r="DR36" s="19">
        <v>8</v>
      </c>
      <c r="DS36" s="19">
        <v>10</v>
      </c>
      <c r="DT36" s="19">
        <v>10</v>
      </c>
      <c r="DU36" s="19">
        <v>12</v>
      </c>
      <c r="DV36" s="19">
        <v>10</v>
      </c>
      <c r="DW36" s="19">
        <v>12</v>
      </c>
      <c r="DX36" s="19">
        <v>14</v>
      </c>
      <c r="DY36" s="19">
        <v>12</v>
      </c>
      <c r="DZ36" s="19"/>
      <c r="EA36" s="19"/>
      <c r="EB36" s="19"/>
      <c r="EC36" s="19"/>
      <c r="ED36" s="19"/>
      <c r="EE36" s="19"/>
      <c r="EF36" s="19"/>
      <c r="EG36" s="19"/>
      <c r="EH36" s="19"/>
      <c r="EI36" s="19"/>
      <c r="EJ36" s="19"/>
      <c r="EK36" s="19"/>
      <c r="EL36" s="19"/>
      <c r="EM36" s="19"/>
      <c r="EN36" s="19"/>
      <c r="EO36" s="19"/>
      <c r="EP36" s="19"/>
      <c r="EQ36" s="19"/>
      <c r="ER36" s="19"/>
      <c r="ES36" s="19"/>
      <c r="ET36" s="19"/>
      <c r="EU36" s="19"/>
      <c r="EV36" s="19"/>
      <c r="EW36" s="19"/>
      <c r="EX36" s="19"/>
      <c r="EY36" s="19"/>
      <c r="EZ36" s="19"/>
      <c r="FA36" s="19"/>
      <c r="FB36" s="19"/>
      <c r="FC36" s="19"/>
      <c r="FD36" s="19"/>
      <c r="FE36" s="19"/>
      <c r="FF36" s="19"/>
      <c r="FG36" s="19"/>
      <c r="FH36" s="19"/>
      <c r="FI36" s="19"/>
      <c r="FJ36" s="19"/>
      <c r="FK36" s="19"/>
      <c r="FL36" s="19"/>
      <c r="FM36" s="19"/>
      <c r="FN36" s="19"/>
      <c r="FO36" s="19"/>
      <c r="FP36" s="19"/>
      <c r="FQ36" s="19"/>
      <c r="FR36" s="19"/>
      <c r="FS36" s="19"/>
      <c r="FT36" s="19"/>
      <c r="FU36" s="19"/>
      <c r="FV36" s="19"/>
      <c r="FW36" s="19"/>
      <c r="FX36" s="19"/>
      <c r="FY36" s="19"/>
      <c r="FZ36" s="19"/>
      <c r="GA36" s="19"/>
      <c r="GC36" s="19"/>
      <c r="GD36" s="19"/>
      <c r="GE36" s="19"/>
      <c r="GF36" s="19"/>
      <c r="GG36" s="19"/>
      <c r="GH36" s="19"/>
      <c r="GI36" s="19"/>
      <c r="GJ36" s="19"/>
      <c r="GK36" s="19"/>
      <c r="GL36" s="19"/>
      <c r="GM36" s="19"/>
      <c r="GN36" s="19"/>
      <c r="GO36" s="19"/>
      <c r="GP36" s="19"/>
      <c r="GQ36" s="19"/>
      <c r="GR36" s="19"/>
      <c r="GS36" s="19"/>
      <c r="GT36" s="19"/>
      <c r="GU36" s="19"/>
      <c r="GV36" s="19"/>
      <c r="GW36" s="19"/>
      <c r="GX36" s="19"/>
      <c r="GY36" s="19"/>
      <c r="GZ36" s="19"/>
      <c r="HA36" s="19"/>
      <c r="HB36" s="19"/>
      <c r="HC36" s="19"/>
      <c r="HD36" s="19"/>
      <c r="HE36" s="19"/>
      <c r="HF36" s="19"/>
      <c r="HG36" s="19"/>
      <c r="HH36" s="19"/>
      <c r="HI36" s="19"/>
      <c r="HJ36" s="19"/>
      <c r="HK36" s="19"/>
      <c r="HL36" s="19"/>
      <c r="HM36" s="19"/>
      <c r="HN36" s="19"/>
      <c r="HO36" s="19"/>
      <c r="HP36" s="19"/>
      <c r="HQ36" s="19"/>
      <c r="HR36" s="19"/>
      <c r="HS36" s="19"/>
      <c r="HT36" s="19"/>
      <c r="HU36" s="19"/>
      <c r="HV36" s="19"/>
      <c r="HW36" s="19"/>
      <c r="HX36" s="19"/>
      <c r="HY36" s="19"/>
      <c r="HZ36" s="19"/>
      <c r="IA36" s="19"/>
      <c r="IB36" s="19"/>
      <c r="IC36" s="19"/>
      <c r="ID36" s="19"/>
    </row>
    <row r="37" spans="1:266" x14ac:dyDescent="0.25">
      <c r="A37" s="8"/>
      <c r="B37" s="5" t="s">
        <v>61</v>
      </c>
      <c r="C37" s="8"/>
      <c r="D37" s="4"/>
      <c r="E37" s="4"/>
      <c r="F37" s="4"/>
      <c r="G37" s="4"/>
      <c r="H37" s="4"/>
      <c r="I37" s="4"/>
      <c r="J37" s="4"/>
      <c r="K37" s="4"/>
      <c r="L37" s="6" t="str">
        <f>IF(E28=$AC$1,INDEX(($AP$28:$AP$37,$AP$42:$AP$51,$AP$56:$AP$65),MATCH(I25,$AM$28:$AM$37,0),1,MATCH(E32,$AK$22:$AK$24,0)),IF(E28=$AC$2,INDEX(($AV$28:$AV$37,$AV$42:$AV$51,$AV$56:$AV$65),MATCH(I25,$AS$28:$AS$37,0),1,MATCH(E32,$AK$22:$AK$24,0)),0))</f>
        <v>SAM8X25E</v>
      </c>
      <c r="M37" s="14">
        <f>INDEX(cenník!$A$2:$I$568,MATCH($L37,cenník!$B$2:$B$557,0),MATCH(M$24,cenník!$A$1:$I$1,0))</f>
        <v>898525</v>
      </c>
      <c r="N37" s="14" t="str">
        <f>INDEX(cenník!$A$2:$I$568,MATCH($L37,cenník!$B$2:$B$557,0),MATCH(N$24,cenník!$A$1:$I$1,0))</f>
        <v>ks</v>
      </c>
      <c r="O37" s="14">
        <f>IF(AE30="suma",SUM(O35:O36),IF(AE30="len buff",O35,IF(AE30=0,0,0)))</f>
        <v>0</v>
      </c>
      <c r="P37" s="21">
        <f>INDEX(cenník!$A$2:$I$568,MATCH($L37,cenník!$B$2:$B$557,0),MATCH(P$24,cenník!$A$1:$I$1,0))</f>
        <v>0.16</v>
      </c>
      <c r="Q37" s="21">
        <f t="shared" si="17"/>
        <v>0</v>
      </c>
      <c r="R37" s="22">
        <f t="shared" si="8"/>
        <v>0</v>
      </c>
      <c r="S37" s="21">
        <f t="shared" si="9"/>
        <v>0.16</v>
      </c>
      <c r="T37" s="21">
        <f t="shared" si="18"/>
        <v>0</v>
      </c>
      <c r="U37" s="21">
        <f>INDEX(cenník!$A$2:$I$568,MATCH($L37,cenník!$B$2:$B$557,0),MATCH(U$24,cenník!$A$1:$I$1,0))*O37</f>
        <v>0</v>
      </c>
      <c r="V37" s="19"/>
      <c r="W37" s="25"/>
      <c r="X37" s="25">
        <f t="shared" si="7"/>
        <v>0</v>
      </c>
      <c r="Y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38,$BB$2:$CA$2,0),MATCH($W$22,$AH$22:$AH$47,0)))*C38</f>
        <v>0</v>
      </c>
      <c r="Z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38,$BB$2:$CA$2,0),MATCH($W$22,$AH$22:$AH$47,0)))*C38</f>
        <v>0</v>
      </c>
      <c r="AA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38,$BB$2:$CA$2,0),MATCH($W$22,$AH$22:$AH$47,0)))*C38</f>
        <v>0</v>
      </c>
      <c r="AB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38,$BB$2:$CA$2,0),MATCH($W$22,$AH$22:$AH$47,0)))*C38</f>
        <v>0</v>
      </c>
      <c r="AC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38,$BB$2:$CA$2,0),MATCH($W$22,$AH$22:$AH$47,0)))*C38</f>
        <v>0</v>
      </c>
      <c r="AD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38,$BB$2:$CA$2,0),MATCH($W$22,$AH$22:$AH$47,0)))*C38</f>
        <v>0</v>
      </c>
      <c r="AE37" s="19"/>
      <c r="AF37" s="19"/>
      <c r="AG37" s="19"/>
      <c r="AH37" s="19" t="s">
        <v>58</v>
      </c>
      <c r="AI37" s="19"/>
      <c r="AJ37" s="19">
        <v>2000</v>
      </c>
      <c r="AK37" s="19"/>
      <c r="AL37" s="19"/>
      <c r="AM37" s="19">
        <v>50</v>
      </c>
      <c r="AN37" s="19" t="s">
        <v>30</v>
      </c>
      <c r="AO37" s="19" t="s">
        <v>31</v>
      </c>
      <c r="AP37" s="19" t="s">
        <v>83</v>
      </c>
      <c r="AQ37" s="19" t="s">
        <v>13</v>
      </c>
      <c r="AS37" s="19">
        <v>50</v>
      </c>
      <c r="AT37" s="19" t="s">
        <v>42</v>
      </c>
      <c r="AU37" s="19"/>
      <c r="AV37" s="19" t="s">
        <v>84</v>
      </c>
      <c r="AW37" s="19" t="s">
        <v>84</v>
      </c>
      <c r="AX37" s="19"/>
      <c r="AY37" s="19"/>
      <c r="AZ37" s="19"/>
      <c r="BA37" s="19" t="s">
        <v>199</v>
      </c>
      <c r="BB37" s="19"/>
      <c r="BC37" s="19"/>
      <c r="BD37" s="19"/>
      <c r="BE37" s="19"/>
      <c r="BF37" s="19"/>
      <c r="BG37" s="19"/>
      <c r="BH37" s="19"/>
      <c r="BI37" s="19"/>
      <c r="BJ37" s="19"/>
      <c r="BK37" s="19"/>
      <c r="BL37" s="19"/>
      <c r="BM37" s="19"/>
      <c r="BN37" s="19"/>
      <c r="BO37" s="19"/>
      <c r="BP37" s="19"/>
      <c r="BQ37" s="19"/>
      <c r="BR37" s="19"/>
      <c r="BS37" s="19"/>
      <c r="BT37" s="19"/>
      <c r="BU37" s="19"/>
      <c r="BV37" s="19"/>
      <c r="BW37" s="19"/>
      <c r="BX37" s="19"/>
      <c r="BY37" s="19"/>
      <c r="BZ37" s="19"/>
      <c r="CA37" s="19"/>
      <c r="CB37" s="19"/>
      <c r="CC37" s="19"/>
      <c r="CD37" s="19"/>
      <c r="CE37" s="19"/>
      <c r="CF37" s="19"/>
      <c r="CG37" s="19"/>
      <c r="CH37" s="19"/>
      <c r="CI37" s="19"/>
      <c r="CJ37" s="19"/>
      <c r="CK37" s="19"/>
      <c r="CL37" s="19"/>
      <c r="CM37" s="19"/>
      <c r="CN37" s="19"/>
      <c r="CO37" s="19"/>
      <c r="CP37" s="19"/>
      <c r="CQ37" s="19"/>
      <c r="CR37" s="19"/>
      <c r="CS37" s="19"/>
      <c r="CT37" s="19"/>
      <c r="CU37" s="19"/>
      <c r="CV37" s="19"/>
      <c r="CW37" s="19"/>
      <c r="CX37" s="19"/>
      <c r="CY37" s="19"/>
      <c r="CZ37" s="19"/>
      <c r="DA37" s="17"/>
      <c r="DB37" s="17">
        <v>36</v>
      </c>
      <c r="DC37" s="17"/>
      <c r="DD37" s="19" t="s">
        <v>179</v>
      </c>
      <c r="DE37" s="19">
        <v>0</v>
      </c>
      <c r="DF37" s="19">
        <v>0</v>
      </c>
      <c r="DG37" s="19">
        <v>0</v>
      </c>
      <c r="DH37" s="19">
        <v>4</v>
      </c>
      <c r="DI37" s="19">
        <v>4</v>
      </c>
      <c r="DJ37" s="19">
        <v>4</v>
      </c>
      <c r="DK37" s="19">
        <v>8</v>
      </c>
      <c r="DL37" s="19">
        <v>8</v>
      </c>
      <c r="DM37" s="19">
        <v>8</v>
      </c>
      <c r="DN37" s="19">
        <v>12</v>
      </c>
      <c r="DO37" s="19">
        <v>12</v>
      </c>
      <c r="DP37" s="19">
        <v>12</v>
      </c>
      <c r="DQ37" s="19">
        <v>16</v>
      </c>
      <c r="DR37" s="19">
        <v>16</v>
      </c>
      <c r="DS37" s="19">
        <v>16</v>
      </c>
      <c r="DT37" s="19">
        <v>20</v>
      </c>
      <c r="DU37" s="19">
        <v>20</v>
      </c>
      <c r="DV37" s="19">
        <v>24</v>
      </c>
      <c r="DW37" s="19">
        <v>24</v>
      </c>
      <c r="DX37" s="19">
        <v>24</v>
      </c>
      <c r="DY37" s="19">
        <v>28</v>
      </c>
      <c r="DZ37" s="19"/>
      <c r="EA37" s="19"/>
      <c r="EB37" s="19" t="s">
        <v>67</v>
      </c>
      <c r="EC37" s="19"/>
      <c r="ED37" s="19"/>
      <c r="EE37" s="19"/>
      <c r="EF37" s="19"/>
      <c r="EG37" s="19"/>
      <c r="EH37" s="19"/>
      <c r="EI37" s="19"/>
      <c r="EJ37" s="19"/>
      <c r="EK37" s="19"/>
      <c r="EL37" s="19"/>
      <c r="EM37" s="19"/>
      <c r="EN37" s="19"/>
      <c r="EO37" s="19"/>
      <c r="EP37" s="19"/>
      <c r="EQ37" s="19"/>
      <c r="ER37" s="19"/>
      <c r="ES37" s="19"/>
      <c r="ET37" s="19"/>
      <c r="EU37" s="19"/>
      <c r="EV37" s="19"/>
      <c r="EW37" s="19"/>
      <c r="EX37" s="19"/>
      <c r="EY37" s="19"/>
      <c r="EZ37" s="19"/>
      <c r="FA37" s="19"/>
      <c r="FB37" s="19"/>
      <c r="FC37" s="19"/>
      <c r="FD37" s="19"/>
      <c r="FE37" s="19"/>
      <c r="FF37" s="19"/>
      <c r="FG37" s="19"/>
      <c r="FH37" s="19"/>
      <c r="FI37" s="19"/>
      <c r="FJ37" s="19"/>
      <c r="FK37" s="19"/>
      <c r="FL37" s="19"/>
      <c r="FM37" s="19"/>
      <c r="FN37" s="19"/>
      <c r="FO37" s="19"/>
      <c r="FP37" s="19"/>
      <c r="FQ37" s="19"/>
      <c r="FR37" s="19"/>
      <c r="FS37" s="19"/>
      <c r="FT37" s="19"/>
      <c r="FU37" s="19"/>
      <c r="FV37" s="19"/>
      <c r="FW37" s="19"/>
      <c r="FX37" s="19"/>
      <c r="FY37" s="19"/>
      <c r="FZ37" s="19"/>
      <c r="GA37" s="19"/>
      <c r="GC37" s="19"/>
      <c r="GD37" s="19"/>
      <c r="GE37" s="19" t="s">
        <v>58</v>
      </c>
      <c r="GF37" s="19"/>
      <c r="GG37" s="19"/>
      <c r="GH37" s="19"/>
      <c r="GI37" s="19"/>
      <c r="GJ37" s="19"/>
      <c r="GK37" s="19"/>
      <c r="GL37" s="19"/>
      <c r="GM37" s="19"/>
      <c r="GN37" s="19"/>
      <c r="GO37" s="19"/>
      <c r="GP37" s="19"/>
      <c r="GQ37" s="19"/>
      <c r="GR37" s="19"/>
      <c r="GS37" s="19"/>
      <c r="GT37" s="19"/>
      <c r="GU37" s="19"/>
      <c r="GV37" s="19"/>
      <c r="GW37" s="19"/>
      <c r="GX37" s="19"/>
      <c r="GY37" s="19"/>
      <c r="GZ37" s="19"/>
      <c r="HA37" s="19"/>
      <c r="HB37" s="19"/>
      <c r="HC37" s="19"/>
      <c r="HD37" s="19"/>
      <c r="HE37" s="19"/>
      <c r="HF37" s="19"/>
      <c r="HG37" s="19"/>
      <c r="HH37" s="19"/>
      <c r="HI37" s="19"/>
      <c r="HJ37" s="19"/>
      <c r="HK37" s="19"/>
      <c r="HL37" s="19"/>
      <c r="HM37" s="19"/>
      <c r="HN37" s="19"/>
      <c r="HO37" s="19"/>
      <c r="HP37" s="19"/>
      <c r="HQ37" s="19"/>
      <c r="HR37" s="19"/>
      <c r="HS37" s="19"/>
      <c r="HT37" s="19"/>
      <c r="HU37" s="19"/>
      <c r="HV37" s="19"/>
      <c r="HW37" s="19"/>
      <c r="HX37" s="19"/>
      <c r="HY37" s="19"/>
      <c r="HZ37" s="19"/>
      <c r="IA37" s="19"/>
      <c r="IB37" s="19"/>
      <c r="IC37" s="19"/>
      <c r="ID37" s="19"/>
      <c r="IF37" s="20" t="s">
        <v>386</v>
      </c>
    </row>
    <row r="38" spans="1:266" x14ac:dyDescent="0.25">
      <c r="A38" s="8"/>
      <c r="B38" s="5" t="s">
        <v>61</v>
      </c>
      <c r="C38" s="8"/>
      <c r="D38" s="4"/>
      <c r="E38" s="4"/>
      <c r="F38" s="4"/>
      <c r="G38" s="4"/>
      <c r="H38" s="4"/>
      <c r="I38" s="4"/>
      <c r="J38" s="4"/>
      <c r="K38" s="4"/>
      <c r="L38" s="6" t="str">
        <f>IF(E28=$AC$1,INDEX(($AQ$28:$AQ$37,$AQ$42:$AQ$51,$AQ$56:$AQ$65),MATCH(I25,$AM$28:$AM$37,0),1,MATCH(E32,$AK$22:$AK$24,0)),IF(E28=$AC$2,INDEX(($AW$28:$AW$37,$AW$42:$AW$51,$AW$56:$AW$65),MATCH(I25,$AS$28:$AS$37,0),1,MATCH(E32,$AK$22:$AK$24,0)),0))</f>
        <v>NKWSM8A</v>
      </c>
      <c r="M38" s="14">
        <f>INDEX(cenník!$A$2:$I$568,MATCH($L38,cenník!$B$2:$B$557,0),MATCH(M$24,cenník!$A$1:$I$1,0))</f>
        <v>600909</v>
      </c>
      <c r="N38" s="14" t="str">
        <f>INDEX(cenník!$A$2:$I$568,MATCH($L38,cenník!$B$2:$B$557,0),MATCH(N$24,cenník!$A$1:$I$1,0))</f>
        <v>ks</v>
      </c>
      <c r="O38" s="14">
        <f>O37</f>
        <v>0</v>
      </c>
      <c r="P38" s="21">
        <f>INDEX(cenník!$A$2:$I$568,MATCH($L38,cenník!$B$2:$B$557,0),MATCH(P$24,cenník!$A$1:$I$1,0))</f>
        <v>0.21</v>
      </c>
      <c r="Q38" s="21">
        <f t="shared" si="17"/>
        <v>0</v>
      </c>
      <c r="R38" s="22">
        <f t="shared" si="8"/>
        <v>0</v>
      </c>
      <c r="S38" s="21">
        <f t="shared" si="9"/>
        <v>0.21</v>
      </c>
      <c r="T38" s="21">
        <f t="shared" si="18"/>
        <v>0</v>
      </c>
      <c r="U38" s="21">
        <f>INDEX(cenník!$A$2:$I$568,MATCH($L38,cenník!$B$2:$B$557,0),MATCH(U$24,cenník!$A$1:$I$1,0))*O38</f>
        <v>0</v>
      </c>
      <c r="V38" s="19"/>
      <c r="W38" s="25"/>
      <c r="X38" s="25"/>
      <c r="Y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39,$BB$2:$CA$2,0),MATCH($W$22,$AH$22:$AH$47,0)))*C39</f>
        <v>0</v>
      </c>
      <c r="Z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$25,$BA$3:$BA$17,0),MATCH(A39,$BB$2:$CA$2,0),MATCH($W$22,$AH$22:$AH$47,0)))*C39</f>
        <v>0</v>
      </c>
      <c r="AA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$26,$BA$3:$BA$17,0),MATCH(A39,$BB$2:$CA$2,0),MATCH($W$22,$AH$22:$AH$47,0)))*C39</f>
        <v>0</v>
      </c>
      <c r="AB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39,$BB$2:$CA$2,0),MATCH($W$22,$AH$22:$AH$47,0)))*C39</f>
        <v>0</v>
      </c>
      <c r="AC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39,$BB$2:$CA$2,0),MATCH($W$22,$AH$22:$AH$47,0)))*C39</f>
        <v>0</v>
      </c>
      <c r="AD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39,$BB$2:$CA$2,0),MATCH($W$22,$AH$22:$AH$47,0)))*C39</f>
        <v>0</v>
      </c>
      <c r="AE38" s="19"/>
      <c r="AF38" s="19"/>
      <c r="AG38" s="19"/>
      <c r="AH38" s="19" t="s">
        <v>71</v>
      </c>
      <c r="AI38" s="19"/>
      <c r="AJ38" s="19">
        <v>2050</v>
      </c>
      <c r="AK38" s="19"/>
      <c r="AL38" s="19"/>
      <c r="AM38" s="19"/>
      <c r="AN38" s="19" t="s">
        <v>12</v>
      </c>
      <c r="AO38" s="19" t="s">
        <v>47</v>
      </c>
      <c r="AP38" s="19"/>
      <c r="AQ38" s="19"/>
      <c r="AS38" s="19"/>
      <c r="AT38" s="19" t="s">
        <v>6</v>
      </c>
      <c r="AU38" s="19" t="s">
        <v>48</v>
      </c>
      <c r="AV38" s="19"/>
      <c r="AW38" s="19"/>
      <c r="AX38" s="19"/>
      <c r="AY38" s="19"/>
      <c r="AZ38" s="19"/>
      <c r="BA38" s="19"/>
      <c r="BB38" s="19">
        <v>0</v>
      </c>
      <c r="BC38" s="19">
        <v>1</v>
      </c>
      <c r="BD38" s="19">
        <v>2</v>
      </c>
      <c r="BE38" s="19">
        <v>3</v>
      </c>
      <c r="BF38" s="19">
        <v>4</v>
      </c>
      <c r="BG38" s="19">
        <v>5</v>
      </c>
      <c r="BH38" s="19">
        <v>6</v>
      </c>
      <c r="BI38" s="19">
        <v>7</v>
      </c>
      <c r="BJ38" s="19">
        <v>8</v>
      </c>
      <c r="BK38" s="19">
        <v>9</v>
      </c>
      <c r="BL38" s="19">
        <v>10</v>
      </c>
      <c r="BM38" s="19">
        <v>11</v>
      </c>
      <c r="BN38" s="19">
        <v>12</v>
      </c>
      <c r="BO38" s="19">
        <v>13</v>
      </c>
      <c r="BP38" s="19">
        <v>14</v>
      </c>
      <c r="BQ38" s="19">
        <v>15</v>
      </c>
      <c r="BR38" s="19">
        <v>16</v>
      </c>
      <c r="BS38" s="19">
        <v>17</v>
      </c>
      <c r="BT38" s="19">
        <v>18</v>
      </c>
      <c r="BU38" s="19">
        <v>19</v>
      </c>
      <c r="BV38" s="19">
        <v>20</v>
      </c>
      <c r="BW38" s="19">
        <v>21</v>
      </c>
      <c r="BX38" s="19">
        <v>22</v>
      </c>
      <c r="BY38" s="19">
        <v>23</v>
      </c>
      <c r="BZ38" s="19">
        <v>24</v>
      </c>
      <c r="CA38" s="19">
        <v>25</v>
      </c>
      <c r="CB38" s="19">
        <v>26</v>
      </c>
      <c r="CC38" s="19">
        <v>27</v>
      </c>
      <c r="CD38" s="19">
        <v>28</v>
      </c>
      <c r="CE38" s="19">
        <v>29</v>
      </c>
      <c r="CF38" s="19">
        <v>30</v>
      </c>
      <c r="CG38" s="19">
        <v>31</v>
      </c>
      <c r="CH38" s="19">
        <v>32</v>
      </c>
      <c r="CI38" s="19">
        <v>33</v>
      </c>
      <c r="CJ38" s="19">
        <v>34</v>
      </c>
      <c r="CK38" s="19">
        <v>35</v>
      </c>
      <c r="CL38" s="19">
        <v>36</v>
      </c>
      <c r="CM38" s="19">
        <v>37</v>
      </c>
      <c r="CN38" s="19">
        <v>38</v>
      </c>
      <c r="CO38" s="19">
        <v>39</v>
      </c>
      <c r="CP38" s="19">
        <v>40</v>
      </c>
      <c r="CQ38" s="19">
        <v>41</v>
      </c>
      <c r="CR38" s="19">
        <v>42</v>
      </c>
      <c r="CS38" s="19">
        <v>43</v>
      </c>
      <c r="CT38" s="19">
        <v>44</v>
      </c>
      <c r="CU38" s="19">
        <v>45</v>
      </c>
      <c r="CV38" s="19">
        <v>46</v>
      </c>
      <c r="CW38" s="19">
        <v>47</v>
      </c>
      <c r="CX38" s="19">
        <v>48</v>
      </c>
      <c r="CY38" s="19">
        <v>49</v>
      </c>
      <c r="CZ38" s="19">
        <v>50</v>
      </c>
      <c r="DA38" s="17"/>
      <c r="DB38" s="17">
        <v>37</v>
      </c>
      <c r="DC38" s="17"/>
      <c r="DD38" s="19" t="s">
        <v>236</v>
      </c>
      <c r="DE38" s="19">
        <v>0</v>
      </c>
      <c r="DF38" s="19">
        <v>2</v>
      </c>
      <c r="DG38" s="19">
        <v>0</v>
      </c>
      <c r="DH38" s="19">
        <v>4</v>
      </c>
      <c r="DI38" s="19">
        <v>2</v>
      </c>
      <c r="DJ38" s="19">
        <v>0</v>
      </c>
      <c r="DK38" s="19">
        <v>4</v>
      </c>
      <c r="DL38" s="19">
        <v>2</v>
      </c>
      <c r="DM38" s="19">
        <v>0</v>
      </c>
      <c r="DN38" s="19">
        <v>4</v>
      </c>
      <c r="DO38" s="19">
        <v>2</v>
      </c>
      <c r="DP38" s="19">
        <v>0</v>
      </c>
      <c r="DQ38" s="19">
        <v>4</v>
      </c>
      <c r="DR38" s="19">
        <v>2</v>
      </c>
      <c r="DS38" s="19">
        <v>0</v>
      </c>
      <c r="DT38" s="19">
        <v>2</v>
      </c>
      <c r="DU38" s="19">
        <v>0</v>
      </c>
      <c r="DV38" s="19">
        <v>4</v>
      </c>
      <c r="DW38" s="19">
        <v>2</v>
      </c>
      <c r="DX38" s="19">
        <v>0</v>
      </c>
      <c r="DY38" s="19">
        <v>4</v>
      </c>
      <c r="DZ38" s="19"/>
      <c r="EA38" s="19"/>
      <c r="EB38" s="19"/>
      <c r="EC38" s="19">
        <v>0</v>
      </c>
      <c r="ED38" s="19">
        <v>1</v>
      </c>
      <c r="EE38" s="19">
        <v>2</v>
      </c>
      <c r="EF38" s="19">
        <v>3</v>
      </c>
      <c r="EG38" s="19">
        <v>4</v>
      </c>
      <c r="EH38" s="19">
        <v>5</v>
      </c>
      <c r="EI38" s="19">
        <v>6</v>
      </c>
      <c r="EJ38" s="19">
        <v>7</v>
      </c>
      <c r="EK38" s="19">
        <v>8</v>
      </c>
      <c r="EL38" s="19">
        <v>9</v>
      </c>
      <c r="EM38" s="19">
        <v>10</v>
      </c>
      <c r="EN38" s="19">
        <v>11</v>
      </c>
      <c r="EO38" s="19">
        <v>12</v>
      </c>
      <c r="EP38" s="19">
        <v>13</v>
      </c>
      <c r="EQ38" s="19">
        <v>14</v>
      </c>
      <c r="ER38" s="19">
        <v>15</v>
      </c>
      <c r="ES38" s="19">
        <v>16</v>
      </c>
      <c r="ET38" s="19">
        <v>17</v>
      </c>
      <c r="EU38" s="19">
        <v>18</v>
      </c>
      <c r="EV38" s="19">
        <v>19</v>
      </c>
      <c r="EW38" s="19">
        <v>20</v>
      </c>
      <c r="EX38" s="19">
        <v>21</v>
      </c>
      <c r="EY38" s="19">
        <v>22</v>
      </c>
      <c r="EZ38" s="19">
        <v>23</v>
      </c>
      <c r="FA38" s="19">
        <v>24</v>
      </c>
      <c r="FB38" s="19">
        <v>25</v>
      </c>
      <c r="FC38" s="19">
        <v>26</v>
      </c>
      <c r="FD38" s="19">
        <v>27</v>
      </c>
      <c r="FE38" s="19">
        <v>28</v>
      </c>
      <c r="FF38" s="19">
        <v>29</v>
      </c>
      <c r="FG38" s="19">
        <v>30</v>
      </c>
      <c r="FH38" s="19">
        <v>31</v>
      </c>
      <c r="FI38" s="19">
        <v>32</v>
      </c>
      <c r="FJ38" s="19">
        <v>33</v>
      </c>
      <c r="FK38" s="19">
        <v>34</v>
      </c>
      <c r="FL38" s="19">
        <v>35</v>
      </c>
      <c r="FM38" s="19">
        <v>36</v>
      </c>
      <c r="FN38" s="19">
        <v>37</v>
      </c>
      <c r="FO38" s="19">
        <v>38</v>
      </c>
      <c r="FP38" s="19">
        <v>39</v>
      </c>
      <c r="FQ38" s="19">
        <v>40</v>
      </c>
      <c r="FR38" s="19">
        <v>41</v>
      </c>
      <c r="FS38" s="19">
        <v>42</v>
      </c>
      <c r="FT38" s="19">
        <v>43</v>
      </c>
      <c r="FU38" s="19">
        <v>44</v>
      </c>
      <c r="FV38" s="19">
        <v>45</v>
      </c>
      <c r="FW38" s="19">
        <v>46</v>
      </c>
      <c r="FX38" s="19">
        <v>47</v>
      </c>
      <c r="FY38" s="19">
        <v>48</v>
      </c>
      <c r="FZ38" s="19">
        <v>49</v>
      </c>
      <c r="GA38" s="19">
        <v>50</v>
      </c>
      <c r="GC38" s="19"/>
      <c r="GD38" s="19"/>
      <c r="GE38" s="19"/>
      <c r="GF38" s="19">
        <v>0</v>
      </c>
      <c r="GG38" s="19">
        <v>1</v>
      </c>
      <c r="GH38" s="19">
        <v>2</v>
      </c>
      <c r="GI38" s="19">
        <v>3</v>
      </c>
      <c r="GJ38" s="19">
        <v>4</v>
      </c>
      <c r="GK38" s="19">
        <v>5</v>
      </c>
      <c r="GL38" s="19">
        <v>6</v>
      </c>
      <c r="GM38" s="19">
        <v>7</v>
      </c>
      <c r="GN38" s="19">
        <v>8</v>
      </c>
      <c r="GO38" s="19">
        <v>9</v>
      </c>
      <c r="GP38" s="19">
        <v>10</v>
      </c>
      <c r="GQ38" s="19">
        <v>11</v>
      </c>
      <c r="GR38" s="19">
        <v>12</v>
      </c>
      <c r="GS38" s="19">
        <v>13</v>
      </c>
      <c r="GT38" s="19">
        <v>14</v>
      </c>
      <c r="GU38" s="19">
        <v>15</v>
      </c>
      <c r="GV38" s="19">
        <v>16</v>
      </c>
      <c r="GW38" s="19">
        <v>17</v>
      </c>
      <c r="GX38" s="19">
        <v>18</v>
      </c>
      <c r="GY38" s="19">
        <v>19</v>
      </c>
      <c r="GZ38" s="19">
        <v>20</v>
      </c>
      <c r="HA38" s="19">
        <v>21</v>
      </c>
      <c r="HB38" s="19">
        <v>22</v>
      </c>
      <c r="HC38" s="19">
        <v>23</v>
      </c>
      <c r="HD38" s="19">
        <v>24</v>
      </c>
      <c r="HE38" s="19">
        <v>25</v>
      </c>
      <c r="HF38" s="19">
        <v>26</v>
      </c>
      <c r="HG38" s="19">
        <v>27</v>
      </c>
      <c r="HH38" s="19">
        <v>28</v>
      </c>
      <c r="HI38" s="19">
        <v>29</v>
      </c>
      <c r="HJ38" s="19">
        <v>30</v>
      </c>
      <c r="HK38" s="19">
        <v>31</v>
      </c>
      <c r="HL38" s="19">
        <v>32</v>
      </c>
      <c r="HM38" s="19">
        <v>33</v>
      </c>
      <c r="HN38" s="19">
        <v>34</v>
      </c>
      <c r="HO38" s="19">
        <v>35</v>
      </c>
      <c r="HP38" s="19">
        <v>36</v>
      </c>
      <c r="HQ38" s="19">
        <v>37</v>
      </c>
      <c r="HR38" s="19">
        <v>38</v>
      </c>
      <c r="HS38" s="19">
        <v>39</v>
      </c>
      <c r="HT38" s="19">
        <v>40</v>
      </c>
      <c r="HU38" s="19">
        <v>41</v>
      </c>
      <c r="HV38" s="19">
        <v>42</v>
      </c>
      <c r="HW38" s="19">
        <v>43</v>
      </c>
      <c r="HX38" s="19">
        <v>44</v>
      </c>
      <c r="HY38" s="19">
        <v>45</v>
      </c>
      <c r="HZ38" s="19">
        <v>46</v>
      </c>
      <c r="IA38" s="19">
        <v>47</v>
      </c>
      <c r="IB38" s="19">
        <v>48</v>
      </c>
      <c r="IC38" s="19">
        <v>49</v>
      </c>
      <c r="ID38" s="19">
        <v>50</v>
      </c>
      <c r="IG38" s="20">
        <v>0</v>
      </c>
      <c r="IH38" s="20">
        <v>1</v>
      </c>
      <c r="II38" s="20">
        <v>2</v>
      </c>
      <c r="IJ38" s="20">
        <v>3</v>
      </c>
      <c r="IK38" s="20">
        <v>4</v>
      </c>
      <c r="IL38" s="20">
        <v>5</v>
      </c>
      <c r="IM38" s="20">
        <v>6</v>
      </c>
      <c r="IN38" s="20">
        <v>7</v>
      </c>
      <c r="IO38" s="20">
        <v>8</v>
      </c>
      <c r="IP38" s="20">
        <v>9</v>
      </c>
      <c r="IQ38" s="20">
        <v>10</v>
      </c>
      <c r="IR38" s="20">
        <v>11</v>
      </c>
      <c r="IS38" s="20">
        <v>12</v>
      </c>
      <c r="IT38" s="20">
        <v>13</v>
      </c>
      <c r="IU38" s="20">
        <v>14</v>
      </c>
      <c r="IV38" s="20">
        <v>15</v>
      </c>
      <c r="IW38" s="20">
        <v>16</v>
      </c>
      <c r="IX38" s="20">
        <v>17</v>
      </c>
      <c r="IY38" s="20">
        <v>18</v>
      </c>
      <c r="IZ38" s="20">
        <v>19</v>
      </c>
      <c r="JA38" s="20">
        <v>20</v>
      </c>
      <c r="JB38" s="20">
        <v>21</v>
      </c>
      <c r="JC38" s="20">
        <v>22</v>
      </c>
      <c r="JD38" s="20">
        <v>23</v>
      </c>
      <c r="JE38" s="20">
        <v>24</v>
      </c>
      <c r="JF38" s="20">
        <v>25</v>
      </c>
    </row>
    <row r="39" spans="1:266" x14ac:dyDescent="0.25">
      <c r="A39" s="8"/>
      <c r="B39" s="5" t="s">
        <v>61</v>
      </c>
      <c r="C39" s="8"/>
      <c r="D39" s="4"/>
      <c r="E39" s="4"/>
      <c r="F39" s="4"/>
      <c r="G39" s="4"/>
      <c r="H39" s="4"/>
      <c r="I39" s="4"/>
      <c r="J39" s="4"/>
      <c r="K39" s="4"/>
      <c r="L39" s="6" t="str">
        <f>IF(L36="PUFK","PUPK",IF(L36="PUFKL","PUPK","PUP"))</f>
        <v>PUPK</v>
      </c>
      <c r="M39" s="14">
        <f>INDEX(cenník!$A$2:$I$568,MATCH($L39,cenník!$B$2:$B$557,0),MATCH(M$24,cenník!$A$1:$I$1,0))</f>
        <v>897304</v>
      </c>
      <c r="N39" s="14" t="str">
        <f>INDEX(cenník!$A$2:$I$568,MATCH($L39,cenník!$B$2:$B$557,0),MATCH(N$24,cenník!$A$1:$I$1,0))</f>
        <v>ks</v>
      </c>
      <c r="O39" s="14">
        <f>SUM((IF(MOD(A24,2)=0,A24/2,IF(MOD(A24,2)=1,FLOOR(A24/2,1)+1,0))*C24),(IF(MOD(A25,2)=0,A25/2,IF(MOD(A25,2)=1,FLOOR(A25/2,1)+1,0))*C25),(IF(MOD(A26,2)=0,A26/2,IF(MOD(A26,2)=1,FLOOR(A26/2,1)+1,0))*C26),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)</f>
        <v>0</v>
      </c>
      <c r="P39" s="21">
        <f>INDEX(cenník!$A$2:$I$568,MATCH($L39,cenník!$B$2:$B$557,0),MATCH(P$24,cenník!$A$1:$I$1,0))</f>
        <v>0.83</v>
      </c>
      <c r="Q39" s="21">
        <f t="shared" si="17"/>
        <v>0</v>
      </c>
      <c r="R39" s="22">
        <f t="shared" si="8"/>
        <v>0</v>
      </c>
      <c r="S39" s="21">
        <f t="shared" si="9"/>
        <v>0.83</v>
      </c>
      <c r="T39" s="21">
        <f t="shared" si="18"/>
        <v>0</v>
      </c>
      <c r="U39" s="21">
        <f>INDEX(cenník!$A$2:$I$568,MATCH($L39,cenník!$B$2:$B$557,0),MATCH(U$24,cenník!$A$1:$I$1,0))*O39</f>
        <v>0</v>
      </c>
      <c r="V39" s="19"/>
      <c r="W39" s="25"/>
      <c r="X39" s="25"/>
      <c r="Y39" s="25"/>
      <c r="Z39" s="25"/>
      <c r="AA39" s="25"/>
      <c r="AB39" s="25"/>
      <c r="AC39" s="25"/>
      <c r="AD39" s="25"/>
      <c r="AE39" s="19"/>
      <c r="AF39" s="19"/>
      <c r="AG39" s="19"/>
      <c r="AH39" s="19" t="s">
        <v>72</v>
      </c>
      <c r="AI39" s="19"/>
      <c r="AJ39" s="19">
        <v>2100</v>
      </c>
      <c r="AK39" s="19"/>
      <c r="AL39" s="19"/>
      <c r="AM39" s="19"/>
      <c r="AN39" s="19"/>
      <c r="AO39" s="19"/>
      <c r="AP39" s="19"/>
      <c r="AQ39" s="19"/>
      <c r="AS39" s="19"/>
      <c r="AT39" s="19"/>
      <c r="AU39" s="19"/>
      <c r="AV39" s="19"/>
      <c r="AW39" s="19"/>
      <c r="AX39" s="19"/>
      <c r="AY39" s="19"/>
      <c r="AZ39" s="19"/>
      <c r="BA39" s="19" t="s">
        <v>63</v>
      </c>
      <c r="BB39" s="19">
        <v>0</v>
      </c>
      <c r="BC39" s="19">
        <v>0</v>
      </c>
      <c r="BD39" s="19">
        <v>4</v>
      </c>
      <c r="BE39" s="19">
        <v>6</v>
      </c>
      <c r="BF39" s="19">
        <v>0</v>
      </c>
      <c r="BG39" s="19">
        <v>0</v>
      </c>
      <c r="BH39" s="19">
        <v>0</v>
      </c>
      <c r="BI39" s="19">
        <v>0</v>
      </c>
      <c r="BJ39" s="19">
        <v>0</v>
      </c>
      <c r="BK39" s="19">
        <v>0</v>
      </c>
      <c r="BL39" s="19">
        <v>0</v>
      </c>
      <c r="BM39" s="19">
        <v>0</v>
      </c>
      <c r="BN39" s="19">
        <v>0</v>
      </c>
      <c r="BO39" s="19">
        <v>0</v>
      </c>
      <c r="BP39" s="19">
        <v>0</v>
      </c>
      <c r="BQ39" s="19">
        <v>0</v>
      </c>
      <c r="BR39" s="19">
        <v>0</v>
      </c>
      <c r="BS39" s="19">
        <v>0</v>
      </c>
      <c r="BT39" s="19">
        <v>0</v>
      </c>
      <c r="BU39" s="19">
        <v>0</v>
      </c>
      <c r="BV39" s="19">
        <v>0</v>
      </c>
      <c r="BW39" s="19">
        <v>0</v>
      </c>
      <c r="BX39" s="19">
        <v>0</v>
      </c>
      <c r="BY39" s="19">
        <v>0</v>
      </c>
      <c r="BZ39" s="19">
        <v>0</v>
      </c>
      <c r="CA39" s="19">
        <v>0</v>
      </c>
      <c r="CB39" s="19">
        <v>0</v>
      </c>
      <c r="CC39" s="19">
        <v>0</v>
      </c>
      <c r="CD39" s="19">
        <v>0</v>
      </c>
      <c r="CE39" s="19">
        <v>0</v>
      </c>
      <c r="CF39" s="19">
        <v>0</v>
      </c>
      <c r="CG39" s="19">
        <v>0</v>
      </c>
      <c r="CH39" s="19">
        <v>0</v>
      </c>
      <c r="CI39" s="19">
        <v>0</v>
      </c>
      <c r="CJ39" s="19">
        <v>0</v>
      </c>
      <c r="CK39" s="19">
        <v>0</v>
      </c>
      <c r="CL39" s="19">
        <v>0</v>
      </c>
      <c r="CM39" s="19">
        <v>0</v>
      </c>
      <c r="CN39" s="19">
        <v>0</v>
      </c>
      <c r="CO39" s="19">
        <v>0</v>
      </c>
      <c r="CP39" s="19">
        <v>0</v>
      </c>
      <c r="CQ39" s="19">
        <v>0</v>
      </c>
      <c r="CR39" s="19">
        <v>0</v>
      </c>
      <c r="CS39" s="19">
        <v>0</v>
      </c>
      <c r="CT39" s="19">
        <v>0</v>
      </c>
      <c r="CU39" s="19">
        <v>0</v>
      </c>
      <c r="CV39" s="19">
        <v>0</v>
      </c>
      <c r="CW39" s="19">
        <v>0</v>
      </c>
      <c r="CX39" s="19">
        <v>0</v>
      </c>
      <c r="CY39" s="19">
        <v>0</v>
      </c>
      <c r="CZ39" s="19">
        <v>0</v>
      </c>
      <c r="DA39" s="17"/>
      <c r="DB39" s="17">
        <v>38</v>
      </c>
      <c r="DC39" s="17"/>
      <c r="DD39" s="19" t="s">
        <v>238</v>
      </c>
      <c r="DE39" s="19">
        <v>0</v>
      </c>
      <c r="DF39" s="19">
        <v>0</v>
      </c>
      <c r="DG39" s="19">
        <v>2</v>
      </c>
      <c r="DH39" s="19">
        <v>0</v>
      </c>
      <c r="DI39" s="19">
        <v>2</v>
      </c>
      <c r="DJ39" s="19">
        <v>4</v>
      </c>
      <c r="DK39" s="19">
        <v>2</v>
      </c>
      <c r="DL39" s="19">
        <v>4</v>
      </c>
      <c r="DM39" s="19">
        <v>6</v>
      </c>
      <c r="DN39" s="19">
        <v>4</v>
      </c>
      <c r="DO39" s="19">
        <v>6</v>
      </c>
      <c r="DP39" s="19">
        <v>8</v>
      </c>
      <c r="DQ39" s="19">
        <v>6</v>
      </c>
      <c r="DR39" s="19">
        <v>8</v>
      </c>
      <c r="DS39" s="19">
        <v>10</v>
      </c>
      <c r="DT39" s="19">
        <v>10</v>
      </c>
      <c r="DU39" s="19">
        <v>12</v>
      </c>
      <c r="DV39" s="19">
        <v>10</v>
      </c>
      <c r="DW39" s="19">
        <v>12</v>
      </c>
      <c r="DX39" s="19">
        <v>14</v>
      </c>
      <c r="DY39" s="19">
        <v>12</v>
      </c>
      <c r="DZ39" s="19"/>
      <c r="EA39" s="19"/>
      <c r="EB39" s="19" t="s">
        <v>63</v>
      </c>
      <c r="EC39" s="19">
        <v>0</v>
      </c>
      <c r="ED39" s="19">
        <v>0</v>
      </c>
      <c r="EE39" s="19">
        <v>0</v>
      </c>
      <c r="EF39" s="19">
        <v>0</v>
      </c>
      <c r="EG39" s="19">
        <v>0</v>
      </c>
      <c r="EH39" s="19">
        <v>0</v>
      </c>
      <c r="EI39" s="19">
        <v>0</v>
      </c>
      <c r="EJ39" s="19">
        <v>0</v>
      </c>
      <c r="EK39" s="19">
        <v>0</v>
      </c>
      <c r="EL39" s="19">
        <v>0</v>
      </c>
      <c r="EM39" s="19">
        <v>0</v>
      </c>
      <c r="EN39" s="19">
        <v>0</v>
      </c>
      <c r="EO39" s="19">
        <v>0</v>
      </c>
      <c r="EP39" s="19">
        <v>0</v>
      </c>
      <c r="EQ39" s="19">
        <v>0</v>
      </c>
      <c r="ER39" s="19">
        <v>0</v>
      </c>
      <c r="ES39" s="19">
        <v>0</v>
      </c>
      <c r="ET39" s="19">
        <v>0</v>
      </c>
      <c r="EU39" s="19">
        <v>0</v>
      </c>
      <c r="EV39" s="19">
        <v>0</v>
      </c>
      <c r="EW39" s="19">
        <v>0</v>
      </c>
      <c r="EX39" s="19">
        <v>0</v>
      </c>
      <c r="EY39" s="19">
        <v>0</v>
      </c>
      <c r="EZ39" s="19">
        <v>0</v>
      </c>
      <c r="FA39" s="19">
        <v>0</v>
      </c>
      <c r="FB39" s="19">
        <v>0</v>
      </c>
      <c r="FC39" s="19">
        <v>0</v>
      </c>
      <c r="FD39" s="19">
        <v>0</v>
      </c>
      <c r="FE39" s="19">
        <v>0</v>
      </c>
      <c r="FF39" s="19">
        <v>0</v>
      </c>
      <c r="FG39" s="19">
        <v>0</v>
      </c>
      <c r="FH39" s="19">
        <v>0</v>
      </c>
      <c r="FI39" s="19">
        <v>0</v>
      </c>
      <c r="FJ39" s="19">
        <v>0</v>
      </c>
      <c r="FK39" s="19">
        <v>0</v>
      </c>
      <c r="FL39" s="19">
        <v>0</v>
      </c>
      <c r="FM39" s="19">
        <v>0</v>
      </c>
      <c r="FN39" s="19">
        <v>0</v>
      </c>
      <c r="FO39" s="19">
        <v>0</v>
      </c>
      <c r="FP39" s="19">
        <v>0</v>
      </c>
      <c r="FQ39" s="19">
        <v>0</v>
      </c>
      <c r="FR39" s="19">
        <v>0</v>
      </c>
      <c r="FS39" s="19">
        <v>0</v>
      </c>
      <c r="FT39" s="19">
        <v>0</v>
      </c>
      <c r="FU39" s="19">
        <v>0</v>
      </c>
      <c r="FV39" s="19">
        <v>0</v>
      </c>
      <c r="FW39" s="19">
        <v>0</v>
      </c>
      <c r="FX39" s="19">
        <v>0</v>
      </c>
      <c r="FY39" s="19">
        <v>0</v>
      </c>
      <c r="FZ39" s="19">
        <v>0</v>
      </c>
      <c r="GA39" s="19">
        <v>0</v>
      </c>
      <c r="GC39" s="19"/>
      <c r="GD39" s="19"/>
      <c r="GE39" s="19" t="s">
        <v>63</v>
      </c>
      <c r="GF39" s="19">
        <v>0</v>
      </c>
      <c r="GG39" s="19">
        <v>0</v>
      </c>
      <c r="GH39" s="19">
        <v>0</v>
      </c>
      <c r="GI39" s="19">
        <v>0</v>
      </c>
      <c r="GJ39" s="19">
        <v>0</v>
      </c>
      <c r="GK39" s="19">
        <v>0</v>
      </c>
      <c r="GL39" s="19">
        <v>0</v>
      </c>
      <c r="GM39" s="19">
        <v>2</v>
      </c>
      <c r="GN39" s="19">
        <v>0</v>
      </c>
      <c r="GO39" s="19">
        <v>0</v>
      </c>
      <c r="GP39" s="19">
        <v>0</v>
      </c>
      <c r="GQ39" s="19">
        <v>0</v>
      </c>
      <c r="GR39" s="19">
        <v>0</v>
      </c>
      <c r="GS39" s="19">
        <v>0</v>
      </c>
      <c r="GT39" s="19">
        <v>0</v>
      </c>
      <c r="GU39" s="19">
        <v>0</v>
      </c>
      <c r="GV39" s="19">
        <v>0</v>
      </c>
      <c r="GW39" s="19">
        <v>0</v>
      </c>
      <c r="GX39" s="19">
        <v>0</v>
      </c>
      <c r="GY39" s="19">
        <v>0</v>
      </c>
      <c r="GZ39" s="19">
        <v>0</v>
      </c>
      <c r="HA39" s="19">
        <v>0</v>
      </c>
      <c r="HB39" s="19">
        <v>0</v>
      </c>
      <c r="HC39" s="19">
        <v>0</v>
      </c>
      <c r="HD39" s="19">
        <v>0</v>
      </c>
      <c r="HE39" s="19">
        <v>0</v>
      </c>
      <c r="HF39" s="19">
        <v>0</v>
      </c>
      <c r="HG39" s="19">
        <v>0</v>
      </c>
      <c r="HH39" s="19">
        <v>0</v>
      </c>
      <c r="HI39" s="19">
        <v>0</v>
      </c>
      <c r="HJ39" s="19">
        <v>0</v>
      </c>
      <c r="HK39" s="19">
        <v>0</v>
      </c>
      <c r="HL39" s="19">
        <v>0</v>
      </c>
      <c r="HM39" s="19">
        <v>0</v>
      </c>
      <c r="HN39" s="19">
        <v>0</v>
      </c>
      <c r="HO39" s="19">
        <v>0</v>
      </c>
      <c r="HP39" s="19">
        <v>0</v>
      </c>
      <c r="HQ39" s="19">
        <v>0</v>
      </c>
      <c r="HR39" s="19">
        <v>0</v>
      </c>
      <c r="HS39" s="19">
        <v>0</v>
      </c>
      <c r="HT39" s="19">
        <v>0</v>
      </c>
      <c r="HU39" s="19">
        <v>0</v>
      </c>
      <c r="HV39" s="19">
        <v>0</v>
      </c>
      <c r="HW39" s="19">
        <v>0</v>
      </c>
      <c r="HX39" s="19">
        <v>0</v>
      </c>
      <c r="HY39" s="19">
        <v>0</v>
      </c>
      <c r="HZ39" s="19">
        <v>0</v>
      </c>
      <c r="IA39" s="19">
        <v>0</v>
      </c>
      <c r="IB39" s="19">
        <v>0</v>
      </c>
      <c r="IC39" s="19">
        <v>0</v>
      </c>
      <c r="ID39" s="19">
        <v>0</v>
      </c>
      <c r="IF39" s="20" t="s">
        <v>63</v>
      </c>
      <c r="IG39" s="20">
        <v>0</v>
      </c>
      <c r="IH39" s="20">
        <v>0</v>
      </c>
      <c r="II39" s="20">
        <v>0</v>
      </c>
      <c r="IJ39" s="20">
        <v>0</v>
      </c>
      <c r="IK39" s="20">
        <v>2</v>
      </c>
      <c r="IL39" s="20">
        <v>0</v>
      </c>
      <c r="IM39" s="20">
        <v>0</v>
      </c>
      <c r="IN39" s="20">
        <v>2</v>
      </c>
      <c r="IO39" s="20">
        <v>0</v>
      </c>
      <c r="IP39" s="20">
        <v>0</v>
      </c>
      <c r="IQ39" s="20">
        <v>0</v>
      </c>
      <c r="IR39" s="20">
        <v>0</v>
      </c>
      <c r="IS39" s="20">
        <v>0</v>
      </c>
      <c r="IT39" s="20">
        <v>0</v>
      </c>
      <c r="IU39" s="20">
        <v>0</v>
      </c>
      <c r="IV39" s="20">
        <v>0</v>
      </c>
      <c r="IW39" s="20">
        <v>0</v>
      </c>
      <c r="IX39" s="20">
        <v>0</v>
      </c>
      <c r="IY39" s="20">
        <v>0</v>
      </c>
      <c r="IZ39" s="20">
        <v>0</v>
      </c>
      <c r="JA39" s="20">
        <v>0</v>
      </c>
      <c r="JB39" s="20">
        <v>0</v>
      </c>
      <c r="JC39" s="20">
        <v>0</v>
      </c>
      <c r="JD39" s="20">
        <v>0</v>
      </c>
      <c r="JE39" s="20">
        <v>0</v>
      </c>
      <c r="JF39" s="20">
        <v>0</v>
      </c>
    </row>
    <row r="40" spans="1:266" x14ac:dyDescent="0.25">
      <c r="A40" s="4"/>
      <c r="B40" s="6"/>
      <c r="C40" s="4"/>
      <c r="D40" s="4"/>
      <c r="E40" s="4"/>
      <c r="F40" s="4"/>
      <c r="G40" s="4"/>
      <c r="H40" s="4"/>
      <c r="I40" s="4"/>
      <c r="J40" s="4"/>
      <c r="K40" s="4"/>
      <c r="L40" s="6" t="s">
        <v>233</v>
      </c>
      <c r="M40" s="14">
        <f>INDEX(cenník!$A$2:$I$568,MATCH($L40,cenník!$B$2:$B$557,0),MATCH(M$24,cenník!$A$1:$I$1,0))</f>
        <v>808251</v>
      </c>
      <c r="N40" s="14" t="str">
        <f>INDEX(cenník!$A$2:$I$568,MATCH($L40,cenník!$B$2:$B$557,0),MATCH(N$24,cenník!$A$1:$I$1,0))</f>
        <v>ks</v>
      </c>
      <c r="O40" s="14">
        <f>IF(E32=$AK$24,0,E33)</f>
        <v>0</v>
      </c>
      <c r="P40" s="21">
        <f>INDEX(cenník!$A$2:$I$568,MATCH($L40,cenník!$B$2:$B$557,0),MATCH(P$24,cenník!$A$1:$I$1,0))</f>
        <v>0.21</v>
      </c>
      <c r="Q40" s="21">
        <f t="shared" si="17"/>
        <v>0</v>
      </c>
      <c r="R40" s="22">
        <f t="shared" si="8"/>
        <v>0</v>
      </c>
      <c r="S40" s="21">
        <f t="shared" si="9"/>
        <v>0.21</v>
      </c>
      <c r="T40" s="21">
        <f t="shared" si="18"/>
        <v>0</v>
      </c>
      <c r="U40" s="21">
        <f>INDEX(cenník!$A$2:$I$568,MATCH($L40,cenník!$B$2:$B$557,0),MATCH(U$24,cenník!$A$1:$I$1,0))*O40</f>
        <v>0</v>
      </c>
      <c r="V40" s="19"/>
      <c r="AE40" s="19"/>
      <c r="AF40" s="19"/>
      <c r="AG40" s="19"/>
      <c r="AH40" s="19" t="s">
        <v>203</v>
      </c>
      <c r="AI40" s="19"/>
      <c r="AJ40" s="19">
        <v>2150</v>
      </c>
      <c r="AK40" s="19"/>
      <c r="AL40" s="19"/>
      <c r="AN40" s="19"/>
      <c r="AO40" s="19"/>
      <c r="AP40" s="19"/>
      <c r="AQ40" s="19"/>
      <c r="AS40" s="19"/>
      <c r="AT40" s="19"/>
      <c r="AU40" s="19"/>
      <c r="AV40" s="19"/>
      <c r="AW40" s="19"/>
      <c r="AX40" s="19"/>
      <c r="AY40" s="19"/>
      <c r="AZ40" s="19"/>
      <c r="BA40" s="19" t="s">
        <v>11</v>
      </c>
      <c r="BB40" s="19">
        <v>0</v>
      </c>
      <c r="BC40" s="19">
        <v>2</v>
      </c>
      <c r="BD40" s="19">
        <v>0</v>
      </c>
      <c r="BE40" s="19">
        <v>0</v>
      </c>
      <c r="BF40" s="19">
        <v>2</v>
      </c>
      <c r="BG40" s="19">
        <v>0</v>
      </c>
      <c r="BH40" s="19">
        <v>4</v>
      </c>
      <c r="BI40" s="19">
        <v>2</v>
      </c>
      <c r="BJ40" s="19">
        <v>0</v>
      </c>
      <c r="BK40" s="19">
        <v>4</v>
      </c>
      <c r="BL40" s="19">
        <v>2</v>
      </c>
      <c r="BM40" s="19">
        <v>0</v>
      </c>
      <c r="BN40" s="19">
        <v>4</v>
      </c>
      <c r="BO40" s="19">
        <v>2</v>
      </c>
      <c r="BP40" s="19">
        <v>0</v>
      </c>
      <c r="BQ40" s="19">
        <v>0</v>
      </c>
      <c r="BR40" s="19">
        <v>2</v>
      </c>
      <c r="BS40" s="19">
        <v>0</v>
      </c>
      <c r="BT40" s="19">
        <v>4</v>
      </c>
      <c r="BU40" s="19">
        <v>0</v>
      </c>
      <c r="BV40" s="19">
        <v>0</v>
      </c>
      <c r="BW40" s="19">
        <v>2</v>
      </c>
      <c r="BX40" s="19">
        <v>0</v>
      </c>
      <c r="BY40" s="19">
        <v>0</v>
      </c>
      <c r="BZ40" s="19">
        <v>0</v>
      </c>
      <c r="CA40" s="19">
        <v>0</v>
      </c>
      <c r="CB40" s="19">
        <v>0</v>
      </c>
      <c r="CC40" s="19">
        <v>4</v>
      </c>
      <c r="CD40" s="19">
        <v>0</v>
      </c>
      <c r="CE40" s="19">
        <v>0</v>
      </c>
      <c r="CF40" s="19">
        <v>0</v>
      </c>
      <c r="CG40" s="19">
        <v>0</v>
      </c>
      <c r="CH40" s="19">
        <v>0</v>
      </c>
      <c r="CI40" s="19">
        <v>2</v>
      </c>
      <c r="CJ40" s="19">
        <v>0</v>
      </c>
      <c r="CK40" s="19">
        <v>0</v>
      </c>
      <c r="CL40" s="19">
        <v>0</v>
      </c>
      <c r="CM40" s="19">
        <v>0</v>
      </c>
      <c r="CN40" s="19">
        <v>0</v>
      </c>
      <c r="CO40" s="19">
        <v>0</v>
      </c>
      <c r="CP40" s="19">
        <v>0</v>
      </c>
      <c r="CQ40" s="19">
        <v>0</v>
      </c>
      <c r="CR40" s="19">
        <v>4</v>
      </c>
      <c r="CS40" s="19">
        <v>0</v>
      </c>
      <c r="CT40" s="19">
        <v>0</v>
      </c>
      <c r="CU40" s="19">
        <v>0</v>
      </c>
      <c r="CV40" s="19">
        <v>0</v>
      </c>
      <c r="CW40" s="19">
        <v>0</v>
      </c>
      <c r="CX40" s="19">
        <v>0</v>
      </c>
      <c r="CY40" s="19">
        <v>0</v>
      </c>
      <c r="CZ40" s="19">
        <v>0</v>
      </c>
      <c r="DA40" s="17"/>
      <c r="DB40" s="17">
        <v>39</v>
      </c>
      <c r="DC40" s="17"/>
      <c r="DD40" s="19" t="s">
        <v>239</v>
      </c>
      <c r="DE40" s="19">
        <v>0</v>
      </c>
      <c r="DF40" s="19">
        <v>0</v>
      </c>
      <c r="DG40" s="19">
        <v>0</v>
      </c>
      <c r="DH40" s="19">
        <v>4</v>
      </c>
      <c r="DI40" s="19">
        <v>4</v>
      </c>
      <c r="DJ40" s="19">
        <v>4</v>
      </c>
      <c r="DK40" s="19">
        <v>8</v>
      </c>
      <c r="DL40" s="19">
        <v>8</v>
      </c>
      <c r="DM40" s="19">
        <v>8</v>
      </c>
      <c r="DN40" s="19">
        <v>12</v>
      </c>
      <c r="DO40" s="19">
        <v>12</v>
      </c>
      <c r="DP40" s="19">
        <v>12</v>
      </c>
      <c r="DQ40" s="19">
        <v>16</v>
      </c>
      <c r="DR40" s="19">
        <v>16</v>
      </c>
      <c r="DS40" s="19">
        <v>16</v>
      </c>
      <c r="DT40" s="19">
        <v>20</v>
      </c>
      <c r="DU40" s="19">
        <v>20</v>
      </c>
      <c r="DV40" s="19">
        <v>24</v>
      </c>
      <c r="DW40" s="19">
        <v>24</v>
      </c>
      <c r="DX40" s="19">
        <v>24</v>
      </c>
      <c r="DY40" s="19">
        <v>28</v>
      </c>
      <c r="DZ40" s="19"/>
      <c r="EA40" s="19"/>
      <c r="EB40" s="19" t="s">
        <v>11</v>
      </c>
      <c r="EC40" s="19">
        <v>0</v>
      </c>
      <c r="ED40" s="19">
        <v>2</v>
      </c>
      <c r="EE40" s="19">
        <v>4</v>
      </c>
      <c r="EF40" s="19">
        <v>2</v>
      </c>
      <c r="EG40" s="19">
        <v>4</v>
      </c>
      <c r="EH40" s="19">
        <v>0</v>
      </c>
      <c r="EI40" s="19">
        <v>2</v>
      </c>
      <c r="EJ40" s="19">
        <v>0</v>
      </c>
      <c r="EK40" s="19">
        <v>0</v>
      </c>
      <c r="EL40" s="19">
        <v>0</v>
      </c>
      <c r="EM40" s="19">
        <v>2</v>
      </c>
      <c r="EN40" s="19">
        <v>0</v>
      </c>
      <c r="EO40" s="19">
        <v>2</v>
      </c>
      <c r="EP40" s="19">
        <v>0</v>
      </c>
      <c r="EQ40" s="19">
        <v>2</v>
      </c>
      <c r="ER40" s="19">
        <v>4</v>
      </c>
      <c r="ES40" s="19">
        <v>0</v>
      </c>
      <c r="ET40" s="19">
        <v>4</v>
      </c>
      <c r="EU40" s="19">
        <v>0</v>
      </c>
      <c r="EV40" s="19">
        <v>0</v>
      </c>
      <c r="EW40" s="19">
        <v>0</v>
      </c>
      <c r="EX40" s="19">
        <v>0</v>
      </c>
      <c r="EY40" s="19">
        <v>0</v>
      </c>
      <c r="EZ40" s="19">
        <v>0</v>
      </c>
      <c r="FA40" s="19">
        <v>0</v>
      </c>
      <c r="FB40" s="19">
        <v>0</v>
      </c>
      <c r="FC40" s="19">
        <v>0</v>
      </c>
      <c r="FD40" s="19">
        <v>0</v>
      </c>
      <c r="FE40" s="19">
        <v>2</v>
      </c>
      <c r="FF40" s="19">
        <v>0</v>
      </c>
      <c r="FG40" s="19">
        <v>0</v>
      </c>
      <c r="FH40" s="19">
        <v>0</v>
      </c>
      <c r="FI40" s="19">
        <v>4</v>
      </c>
      <c r="FJ40" s="19">
        <v>0</v>
      </c>
      <c r="FK40" s="19">
        <v>0</v>
      </c>
      <c r="FL40" s="19">
        <v>0</v>
      </c>
      <c r="FM40" s="19">
        <v>0</v>
      </c>
      <c r="FN40" s="19">
        <v>0</v>
      </c>
      <c r="FO40" s="19">
        <v>0</v>
      </c>
      <c r="FP40" s="19">
        <v>0</v>
      </c>
      <c r="FQ40" s="19">
        <v>0</v>
      </c>
      <c r="FR40" s="19">
        <v>0</v>
      </c>
      <c r="FS40" s="19">
        <v>0</v>
      </c>
      <c r="FT40" s="19">
        <v>0</v>
      </c>
      <c r="FU40" s="19">
        <v>0</v>
      </c>
      <c r="FV40" s="19">
        <v>0</v>
      </c>
      <c r="FW40" s="19">
        <v>0</v>
      </c>
      <c r="FX40" s="19">
        <v>4</v>
      </c>
      <c r="FY40" s="19">
        <v>0</v>
      </c>
      <c r="FZ40" s="19">
        <v>0</v>
      </c>
      <c r="GA40" s="19">
        <v>0</v>
      </c>
      <c r="GC40" s="19"/>
      <c r="GD40" s="19"/>
      <c r="GE40" s="19" t="s">
        <v>11</v>
      </c>
      <c r="GF40" s="19">
        <v>0</v>
      </c>
      <c r="GG40" s="19">
        <v>2</v>
      </c>
      <c r="GH40" s="19">
        <v>4</v>
      </c>
      <c r="GI40" s="19">
        <v>0</v>
      </c>
      <c r="GJ40" s="19">
        <v>2</v>
      </c>
      <c r="GK40" s="19">
        <v>4</v>
      </c>
      <c r="GL40" s="19">
        <v>0</v>
      </c>
      <c r="GM40" s="19">
        <v>0</v>
      </c>
      <c r="GN40" s="19">
        <v>0</v>
      </c>
      <c r="GO40" s="19">
        <v>0</v>
      </c>
      <c r="GP40" s="19">
        <v>0</v>
      </c>
      <c r="GQ40" s="19">
        <v>0</v>
      </c>
      <c r="GR40" s="19">
        <v>0</v>
      </c>
      <c r="GS40" s="19">
        <v>0</v>
      </c>
      <c r="GT40" s="19">
        <v>0</v>
      </c>
      <c r="GU40" s="19">
        <v>0</v>
      </c>
      <c r="GV40" s="19">
        <v>0</v>
      </c>
      <c r="GW40" s="19">
        <v>0</v>
      </c>
      <c r="GX40" s="19">
        <v>2</v>
      </c>
      <c r="GY40" s="19">
        <v>0</v>
      </c>
      <c r="GZ40" s="19">
        <v>2</v>
      </c>
      <c r="HA40" s="19">
        <v>0</v>
      </c>
      <c r="HB40" s="19">
        <v>0</v>
      </c>
      <c r="HC40" s="19">
        <v>2</v>
      </c>
      <c r="HD40" s="19">
        <v>0</v>
      </c>
      <c r="HE40" s="19">
        <v>0</v>
      </c>
      <c r="HF40" s="19">
        <v>0</v>
      </c>
      <c r="HG40" s="19">
        <v>0</v>
      </c>
      <c r="HH40" s="19">
        <v>0</v>
      </c>
      <c r="HI40" s="19">
        <v>0</v>
      </c>
      <c r="HJ40" s="19">
        <v>0</v>
      </c>
      <c r="HK40" s="19">
        <v>0</v>
      </c>
      <c r="HL40" s="19">
        <v>0</v>
      </c>
      <c r="HM40" s="19">
        <v>0</v>
      </c>
      <c r="HN40" s="19">
        <v>0</v>
      </c>
      <c r="HO40" s="19">
        <v>0</v>
      </c>
      <c r="HP40" s="19">
        <v>0</v>
      </c>
      <c r="HQ40" s="19">
        <v>0</v>
      </c>
      <c r="HR40" s="19">
        <v>0</v>
      </c>
      <c r="HS40" s="19">
        <v>0</v>
      </c>
      <c r="HT40" s="19">
        <v>0</v>
      </c>
      <c r="HU40" s="19">
        <v>0</v>
      </c>
      <c r="HV40" s="19">
        <v>0</v>
      </c>
      <c r="HW40" s="19">
        <v>0</v>
      </c>
      <c r="HX40" s="19">
        <v>0</v>
      </c>
      <c r="HY40" s="19">
        <v>0</v>
      </c>
      <c r="HZ40" s="19">
        <v>0</v>
      </c>
      <c r="IA40" s="19">
        <v>0</v>
      </c>
      <c r="IB40" s="19">
        <v>0</v>
      </c>
      <c r="IC40" s="19">
        <v>0</v>
      </c>
      <c r="ID40" s="19">
        <v>0</v>
      </c>
      <c r="IF40" s="20" t="s">
        <v>11</v>
      </c>
      <c r="IG40" s="20">
        <v>0</v>
      </c>
      <c r="IH40" s="20">
        <v>0</v>
      </c>
      <c r="II40" s="20">
        <v>2</v>
      </c>
      <c r="IJ40" s="20">
        <v>0</v>
      </c>
      <c r="IK40" s="20">
        <v>0</v>
      </c>
      <c r="IL40" s="20">
        <v>0</v>
      </c>
      <c r="IM40" s="20">
        <v>2</v>
      </c>
      <c r="IN40" s="20">
        <v>0</v>
      </c>
      <c r="IO40" s="20">
        <v>4</v>
      </c>
      <c r="IP40" s="20">
        <v>0</v>
      </c>
      <c r="IQ40" s="20">
        <v>0</v>
      </c>
      <c r="IR40" s="20">
        <v>0</v>
      </c>
      <c r="IS40" s="20">
        <v>0</v>
      </c>
      <c r="IT40" s="20">
        <v>0</v>
      </c>
      <c r="IU40" s="20">
        <v>0</v>
      </c>
      <c r="IV40" s="20">
        <v>0</v>
      </c>
      <c r="IW40" s="20">
        <v>0</v>
      </c>
      <c r="IX40" s="20">
        <v>0</v>
      </c>
      <c r="IY40" s="20">
        <v>0</v>
      </c>
      <c r="IZ40" s="20">
        <v>0</v>
      </c>
      <c r="JA40" s="20">
        <v>0</v>
      </c>
      <c r="JB40" s="20">
        <v>0</v>
      </c>
      <c r="JC40" s="20">
        <v>0</v>
      </c>
      <c r="JD40" s="20">
        <v>0</v>
      </c>
      <c r="JE40" s="20">
        <v>0</v>
      </c>
      <c r="JF40" s="20">
        <v>0</v>
      </c>
    </row>
    <row r="41" spans="1:266" x14ac:dyDescent="0.25">
      <c r="A41" s="4"/>
      <c r="B41" s="6"/>
      <c r="C41" s="4"/>
      <c r="D41" s="4"/>
      <c r="E41" s="4"/>
      <c r="F41" s="4"/>
      <c r="G41" s="4"/>
      <c r="H41" s="4"/>
      <c r="I41" s="4"/>
      <c r="J41" s="4"/>
      <c r="K41" s="4"/>
      <c r="L41" s="6" t="s">
        <v>45</v>
      </c>
      <c r="M41" s="14">
        <f>INDEX(cenník!$A$2:$I$568,MATCH($L41,cenník!$B$2:$B$557,0),MATCH(M$24,cenník!$A$1:$I$1,0))</f>
        <v>890008</v>
      </c>
      <c r="N41" s="14" t="str">
        <f>INDEX(cenník!$A$2:$I$568,MATCH($L41,cenník!$B$2:$B$557,0),MATCH(N$24,cenník!$A$1:$I$1,0))</f>
        <v>100ks</v>
      </c>
      <c r="O41" s="14">
        <f>ROUNDUP((O40/100),0)</f>
        <v>0</v>
      </c>
      <c r="P41" s="21">
        <f>INDEX(cenník!$A$2:$I$568,MATCH($L41,cenník!$B$2:$B$557,0),MATCH(P$24,cenník!$A$1:$I$1,0))</f>
        <v>9.75</v>
      </c>
      <c r="Q41" s="21">
        <f t="shared" si="17"/>
        <v>0</v>
      </c>
      <c r="R41" s="22">
        <f t="shared" si="8"/>
        <v>0</v>
      </c>
      <c r="S41" s="21">
        <f t="shared" si="9"/>
        <v>9.75</v>
      </c>
      <c r="T41" s="21">
        <f t="shared" si="18"/>
        <v>0</v>
      </c>
      <c r="U41" s="21">
        <f>INDEX(cenník!$A$2:$I$568,MATCH($L41,cenník!$B$2:$B$557,0),MATCH(U$24,cenník!$A$1:$I$1,0))*O41</f>
        <v>0</v>
      </c>
      <c r="V41" s="19"/>
      <c r="AE41" s="19"/>
      <c r="AF41" s="19"/>
      <c r="AG41" s="19"/>
      <c r="AH41" s="19" t="s">
        <v>204</v>
      </c>
      <c r="AI41" s="19"/>
      <c r="AJ41" s="19">
        <v>2200</v>
      </c>
      <c r="AK41" s="19"/>
      <c r="AL41" s="19"/>
      <c r="AM41" s="19" t="s">
        <v>470</v>
      </c>
      <c r="AN41" s="19" t="s">
        <v>466</v>
      </c>
      <c r="AO41" s="19" t="s">
        <v>467</v>
      </c>
      <c r="AP41" s="19"/>
      <c r="AQ41" s="19"/>
      <c r="AS41" s="19" t="s">
        <v>470</v>
      </c>
      <c r="AT41" s="19" t="s">
        <v>466</v>
      </c>
      <c r="AU41" s="19" t="s">
        <v>467</v>
      </c>
      <c r="AV41" s="19"/>
      <c r="AW41" s="19"/>
      <c r="AX41" s="19"/>
      <c r="AY41" s="19"/>
      <c r="AZ41" s="19"/>
      <c r="BA41" s="19" t="s">
        <v>64</v>
      </c>
      <c r="BB41" s="19">
        <v>0</v>
      </c>
      <c r="BC41" s="19">
        <v>0</v>
      </c>
      <c r="BD41" s="19">
        <v>0</v>
      </c>
      <c r="BE41" s="19">
        <v>0</v>
      </c>
      <c r="BF41" s="19">
        <v>0</v>
      </c>
      <c r="BG41" s="19">
        <v>0</v>
      </c>
      <c r="BH41" s="19">
        <v>0</v>
      </c>
      <c r="BI41" s="19">
        <v>0</v>
      </c>
      <c r="BJ41" s="19">
        <v>0</v>
      </c>
      <c r="BK41" s="19">
        <v>0</v>
      </c>
      <c r="BL41" s="19">
        <v>0</v>
      </c>
      <c r="BM41" s="19">
        <v>0</v>
      </c>
      <c r="BN41" s="19">
        <v>0</v>
      </c>
      <c r="BO41" s="19">
        <v>0</v>
      </c>
      <c r="BP41" s="19">
        <v>0</v>
      </c>
      <c r="BQ41" s="19">
        <v>4</v>
      </c>
      <c r="BR41" s="19">
        <v>0</v>
      </c>
      <c r="BS41" s="19">
        <v>0</v>
      </c>
      <c r="BT41" s="19">
        <v>0</v>
      </c>
      <c r="BU41" s="19">
        <v>2</v>
      </c>
      <c r="BV41" s="19">
        <v>0</v>
      </c>
      <c r="BW41" s="19">
        <v>2</v>
      </c>
      <c r="BX41" s="19">
        <v>2</v>
      </c>
      <c r="BY41" s="19">
        <v>0</v>
      </c>
      <c r="BZ41" s="19">
        <v>4</v>
      </c>
      <c r="CA41" s="19">
        <v>2</v>
      </c>
      <c r="CB41" s="19">
        <v>0</v>
      </c>
      <c r="CC41" s="19">
        <v>0</v>
      </c>
      <c r="CD41" s="19">
        <v>0</v>
      </c>
      <c r="CE41" s="19">
        <v>0</v>
      </c>
      <c r="CF41" s="19">
        <v>2</v>
      </c>
      <c r="CG41" s="19">
        <v>0</v>
      </c>
      <c r="CH41" s="19">
        <v>0</v>
      </c>
      <c r="CI41" s="19">
        <v>0</v>
      </c>
      <c r="CJ41" s="19">
        <v>2</v>
      </c>
      <c r="CK41" s="19">
        <v>0</v>
      </c>
      <c r="CL41" s="19">
        <v>2</v>
      </c>
      <c r="CM41" s="19">
        <v>2</v>
      </c>
      <c r="CN41" s="19">
        <v>0</v>
      </c>
      <c r="CO41" s="19">
        <v>0</v>
      </c>
      <c r="CP41" s="19">
        <v>0</v>
      </c>
      <c r="CQ41" s="19">
        <v>0</v>
      </c>
      <c r="CR41" s="19">
        <v>0</v>
      </c>
      <c r="CS41" s="19">
        <v>0</v>
      </c>
      <c r="CT41" s="19">
        <v>0</v>
      </c>
      <c r="CU41" s="19">
        <v>2</v>
      </c>
      <c r="CV41" s="19">
        <v>0</v>
      </c>
      <c r="CW41" s="19">
        <v>0</v>
      </c>
      <c r="CX41" s="19">
        <v>0</v>
      </c>
      <c r="CY41" s="19">
        <v>0</v>
      </c>
      <c r="CZ41" s="19">
        <v>0</v>
      </c>
      <c r="DA41" s="17"/>
      <c r="DB41" s="17">
        <v>40</v>
      </c>
      <c r="DC41" s="17"/>
      <c r="DD41" s="26" t="s">
        <v>326</v>
      </c>
      <c r="DE41" s="19">
        <v>0</v>
      </c>
      <c r="DF41" s="19"/>
      <c r="DG41" s="19"/>
      <c r="DH41" s="19"/>
      <c r="DI41" s="19"/>
      <c r="DJ41" s="19"/>
      <c r="DK41" s="19"/>
      <c r="DL41" s="19"/>
      <c r="DM41" s="19"/>
      <c r="DN41" s="19"/>
      <c r="DO41" s="19"/>
      <c r="DP41" s="19"/>
      <c r="DQ41" s="19"/>
      <c r="DR41" s="19"/>
      <c r="DS41" s="19"/>
      <c r="DT41" s="19"/>
      <c r="DU41" s="19"/>
      <c r="DV41" s="19"/>
      <c r="DW41" s="19"/>
      <c r="DX41" s="19"/>
      <c r="DY41" s="19"/>
      <c r="DZ41" s="19"/>
      <c r="EA41" s="19"/>
      <c r="EB41" s="19" t="s">
        <v>64</v>
      </c>
      <c r="EC41" s="19">
        <v>0</v>
      </c>
      <c r="ED41" s="19">
        <v>0</v>
      </c>
      <c r="EE41" s="19">
        <v>0</v>
      </c>
      <c r="EF41" s="19">
        <v>0</v>
      </c>
      <c r="EG41" s="19">
        <v>0</v>
      </c>
      <c r="EH41" s="19">
        <v>0</v>
      </c>
      <c r="EI41" s="19">
        <v>2</v>
      </c>
      <c r="EJ41" s="19">
        <v>0</v>
      </c>
      <c r="EK41" s="19">
        <v>4</v>
      </c>
      <c r="EL41" s="19">
        <v>0</v>
      </c>
      <c r="EM41" s="19">
        <v>0</v>
      </c>
      <c r="EN41" s="19">
        <v>0</v>
      </c>
      <c r="EO41" s="19">
        <v>0</v>
      </c>
      <c r="EP41" s="19">
        <v>0</v>
      </c>
      <c r="EQ41" s="19">
        <v>0</v>
      </c>
      <c r="ER41" s="19">
        <v>0</v>
      </c>
      <c r="ES41" s="19">
        <v>0</v>
      </c>
      <c r="ET41" s="19">
        <v>0</v>
      </c>
      <c r="EU41" s="19">
        <v>0</v>
      </c>
      <c r="EV41" s="19">
        <v>2</v>
      </c>
      <c r="EW41" s="19">
        <v>0</v>
      </c>
      <c r="EX41" s="19">
        <v>2</v>
      </c>
      <c r="EY41" s="19">
        <v>0</v>
      </c>
      <c r="EZ41" s="19">
        <v>0</v>
      </c>
      <c r="FA41" s="19">
        <v>0</v>
      </c>
      <c r="FB41" s="19">
        <v>0</v>
      </c>
      <c r="FC41" s="19">
        <v>0</v>
      </c>
      <c r="FD41" s="19">
        <v>0</v>
      </c>
      <c r="FE41" s="19">
        <v>0</v>
      </c>
      <c r="FF41" s="19">
        <v>0</v>
      </c>
      <c r="FG41" s="19">
        <v>2</v>
      </c>
      <c r="FH41" s="19">
        <v>0</v>
      </c>
      <c r="FI41" s="19">
        <v>0</v>
      </c>
      <c r="FJ41" s="19">
        <v>0</v>
      </c>
      <c r="FK41" s="19">
        <v>0</v>
      </c>
      <c r="FL41" s="19">
        <v>0</v>
      </c>
      <c r="FM41" s="19">
        <v>0</v>
      </c>
      <c r="FN41" s="19">
        <v>0</v>
      </c>
      <c r="FO41" s="19">
        <v>0</v>
      </c>
      <c r="FP41" s="19">
        <v>0</v>
      </c>
      <c r="FQ41" s="19">
        <v>0</v>
      </c>
      <c r="FR41" s="19">
        <v>0</v>
      </c>
      <c r="FS41" s="19">
        <v>0</v>
      </c>
      <c r="FT41" s="19">
        <v>2</v>
      </c>
      <c r="FU41" s="19">
        <v>0</v>
      </c>
      <c r="FV41" s="19">
        <v>2</v>
      </c>
      <c r="FW41" s="19">
        <v>0</v>
      </c>
      <c r="FX41" s="19">
        <v>0</v>
      </c>
      <c r="FY41" s="19">
        <v>0</v>
      </c>
      <c r="FZ41" s="19">
        <v>0</v>
      </c>
      <c r="GA41" s="19">
        <v>0</v>
      </c>
      <c r="GC41" s="19"/>
      <c r="GD41" s="19"/>
      <c r="GE41" s="19" t="s">
        <v>64</v>
      </c>
      <c r="GF41" s="19">
        <v>0</v>
      </c>
      <c r="GG41" s="19">
        <v>0</v>
      </c>
      <c r="GH41" s="19">
        <v>0</v>
      </c>
      <c r="GI41" s="19">
        <v>0</v>
      </c>
      <c r="GJ41" s="19">
        <v>0</v>
      </c>
      <c r="GK41" s="19">
        <v>0</v>
      </c>
      <c r="GL41" s="19">
        <v>0</v>
      </c>
      <c r="GM41" s="19">
        <v>0</v>
      </c>
      <c r="GN41" s="19">
        <v>0</v>
      </c>
      <c r="GO41" s="19">
        <v>2</v>
      </c>
      <c r="GP41" s="19">
        <v>4</v>
      </c>
      <c r="GQ41" s="19">
        <v>0</v>
      </c>
      <c r="GR41" s="19">
        <v>2</v>
      </c>
      <c r="GS41" s="19">
        <v>0</v>
      </c>
      <c r="GT41" s="19">
        <v>2</v>
      </c>
      <c r="GU41" s="19">
        <v>2</v>
      </c>
      <c r="GV41" s="19">
        <v>0</v>
      </c>
      <c r="GW41" s="19">
        <v>0</v>
      </c>
      <c r="GX41" s="19">
        <v>0</v>
      </c>
      <c r="GY41" s="19">
        <v>0</v>
      </c>
      <c r="GZ41" s="19">
        <v>0</v>
      </c>
      <c r="HA41" s="19">
        <v>0</v>
      </c>
      <c r="HB41" s="19">
        <v>2</v>
      </c>
      <c r="HC41" s="19">
        <v>0</v>
      </c>
      <c r="HD41" s="19">
        <v>0</v>
      </c>
      <c r="HE41" s="19">
        <v>0</v>
      </c>
      <c r="HF41" s="19">
        <v>0</v>
      </c>
      <c r="HG41" s="19">
        <v>0</v>
      </c>
      <c r="HH41" s="19">
        <v>0</v>
      </c>
      <c r="HI41" s="19">
        <v>0</v>
      </c>
      <c r="HJ41" s="19">
        <v>0</v>
      </c>
      <c r="HK41" s="19">
        <v>0</v>
      </c>
      <c r="HL41" s="19">
        <v>0</v>
      </c>
      <c r="HM41" s="19">
        <v>0</v>
      </c>
      <c r="HN41" s="19">
        <v>0</v>
      </c>
      <c r="HO41" s="19">
        <v>0</v>
      </c>
      <c r="HP41" s="19">
        <v>0</v>
      </c>
      <c r="HQ41" s="19">
        <v>2</v>
      </c>
      <c r="HR41" s="19">
        <v>0</v>
      </c>
      <c r="HS41" s="19">
        <v>0</v>
      </c>
      <c r="HT41" s="19">
        <v>0</v>
      </c>
      <c r="HU41" s="19">
        <v>0</v>
      </c>
      <c r="HV41" s="19">
        <v>0</v>
      </c>
      <c r="HW41" s="19">
        <v>0</v>
      </c>
      <c r="HX41" s="19">
        <v>0</v>
      </c>
      <c r="HY41" s="19">
        <v>0</v>
      </c>
      <c r="HZ41" s="19">
        <v>0</v>
      </c>
      <c r="IA41" s="19">
        <v>0</v>
      </c>
      <c r="IB41" s="19">
        <v>0</v>
      </c>
      <c r="IC41" s="19">
        <v>2</v>
      </c>
      <c r="ID41" s="19">
        <v>0</v>
      </c>
      <c r="IF41" s="20" t="s">
        <v>64</v>
      </c>
      <c r="IG41" s="20">
        <v>0</v>
      </c>
      <c r="IH41" s="20">
        <v>0</v>
      </c>
      <c r="II41" s="20">
        <v>0</v>
      </c>
      <c r="IJ41" s="20">
        <v>4</v>
      </c>
      <c r="IK41" s="20">
        <v>2</v>
      </c>
      <c r="IL41" s="20">
        <v>0</v>
      </c>
      <c r="IM41" s="20">
        <v>0</v>
      </c>
      <c r="IN41" s="20">
        <v>0</v>
      </c>
      <c r="IO41" s="20">
        <v>0</v>
      </c>
      <c r="IP41" s="20">
        <v>0</v>
      </c>
      <c r="IQ41" s="20">
        <v>2</v>
      </c>
      <c r="IR41" s="20">
        <v>2</v>
      </c>
      <c r="IS41" s="20">
        <v>0</v>
      </c>
      <c r="IT41" s="20">
        <v>0</v>
      </c>
      <c r="IU41" s="20">
        <v>0</v>
      </c>
      <c r="IV41" s="20">
        <v>2</v>
      </c>
      <c r="IW41" s="20">
        <v>0</v>
      </c>
      <c r="IX41" s="20">
        <v>0</v>
      </c>
      <c r="IY41" s="20">
        <v>2</v>
      </c>
      <c r="IZ41" s="20">
        <v>0</v>
      </c>
      <c r="JA41" s="20">
        <v>0</v>
      </c>
      <c r="JB41" s="20">
        <v>0</v>
      </c>
      <c r="JC41" s="20">
        <v>2</v>
      </c>
      <c r="JD41" s="20">
        <v>2</v>
      </c>
      <c r="JE41" s="20">
        <v>0</v>
      </c>
      <c r="JF41" s="20">
        <v>0</v>
      </c>
    </row>
    <row r="42" spans="1:266" x14ac:dyDescent="0.25">
      <c r="A42" s="4"/>
      <c r="B42" s="6"/>
      <c r="C42" s="4"/>
      <c r="D42" s="4"/>
      <c r="E42" s="4"/>
      <c r="F42" s="4"/>
      <c r="G42" s="4"/>
      <c r="H42" s="4"/>
      <c r="I42" s="4"/>
      <c r="J42" s="4"/>
      <c r="K42" s="4"/>
      <c r="L42" s="6" t="str">
        <f>IF(E32=$AK$22,"NOWPAL40x40SR","-------")</f>
        <v>NOWPAL40x40SR</v>
      </c>
      <c r="M42" s="14">
        <f>INDEX(cenník!$A$2:$I$568,MATCH($L42,cenník!$B$2:$B$557,0),MATCH(M$24,cenník!$A$1:$I$1,0))</f>
        <v>890404</v>
      </c>
      <c r="N42" s="14" t="str">
        <f>INDEX(cenník!$A$2:$I$568,MATCH($L42,cenník!$B$2:$B$557,0),MATCH(N$24,cenník!$A$1:$I$1,0))</f>
        <v>ks</v>
      </c>
      <c r="O42" s="14">
        <f>IF(L42="NOWPAL40X40SR",SUM(C24:C39)*4,0)</f>
        <v>0</v>
      </c>
      <c r="P42" s="21">
        <f>INDEX(cenník!$A$2:$I$568,MATCH($L42,cenník!$B$2:$B$557,0),MATCH(P$24,cenník!$A$1:$I$1,0))</f>
        <v>0.26</v>
      </c>
      <c r="Q42" s="21">
        <f t="shared" si="17"/>
        <v>0</v>
      </c>
      <c r="R42" s="22">
        <f t="shared" si="8"/>
        <v>0</v>
      </c>
      <c r="S42" s="21">
        <f t="shared" si="9"/>
        <v>0.26</v>
      </c>
      <c r="T42" s="21">
        <f t="shared" si="18"/>
        <v>0</v>
      </c>
      <c r="U42" s="21">
        <f>INDEX(cenník!$A$2:$I$568,MATCH($L42,cenník!$B$2:$B$557,0),MATCH(U$24,cenník!$A$1:$I$1,0))*O42</f>
        <v>0</v>
      </c>
      <c r="V42" s="19"/>
      <c r="AE42" s="19"/>
      <c r="AF42" s="19"/>
      <c r="AG42" s="19"/>
      <c r="AH42" s="19" t="s">
        <v>232</v>
      </c>
      <c r="AI42" s="19"/>
      <c r="AJ42" s="19">
        <v>2250</v>
      </c>
      <c r="AK42" s="19"/>
      <c r="AL42" s="19"/>
      <c r="AM42" s="19">
        <v>30</v>
      </c>
      <c r="AN42" s="19" t="s">
        <v>200</v>
      </c>
      <c r="AO42" s="19" t="s">
        <v>201</v>
      </c>
      <c r="AP42" s="19" t="s">
        <v>202</v>
      </c>
      <c r="AQ42" s="19" t="s">
        <v>13</v>
      </c>
      <c r="AS42" s="19">
        <v>30</v>
      </c>
      <c r="AT42" s="19" t="s">
        <v>983</v>
      </c>
      <c r="AU42" s="19" t="s">
        <v>984</v>
      </c>
      <c r="AV42" s="19" t="s">
        <v>202</v>
      </c>
      <c r="AW42" s="19" t="s">
        <v>13</v>
      </c>
      <c r="AX42" s="19"/>
      <c r="AY42" s="19"/>
      <c r="AZ42" s="19"/>
      <c r="BA42" s="19" t="s">
        <v>14</v>
      </c>
      <c r="BB42" s="19">
        <v>0</v>
      </c>
      <c r="BC42" s="19">
        <v>0</v>
      </c>
      <c r="BD42" s="19">
        <v>0</v>
      </c>
      <c r="BE42" s="19">
        <v>0</v>
      </c>
      <c r="BF42" s="19">
        <v>2</v>
      </c>
      <c r="BG42" s="19">
        <v>4</v>
      </c>
      <c r="BH42" s="19">
        <v>2</v>
      </c>
      <c r="BI42" s="19">
        <v>4</v>
      </c>
      <c r="BJ42" s="19">
        <v>6</v>
      </c>
      <c r="BK42" s="19">
        <v>4</v>
      </c>
      <c r="BL42" s="19">
        <v>6</v>
      </c>
      <c r="BM42" s="19">
        <v>8</v>
      </c>
      <c r="BN42" s="19">
        <v>6</v>
      </c>
      <c r="BO42" s="19">
        <v>8</v>
      </c>
      <c r="BP42" s="19">
        <v>8</v>
      </c>
      <c r="BQ42" s="19">
        <v>8</v>
      </c>
      <c r="BR42" s="19">
        <v>6</v>
      </c>
      <c r="BS42" s="19">
        <v>8</v>
      </c>
      <c r="BT42" s="19">
        <v>4</v>
      </c>
      <c r="BU42" s="19">
        <v>6</v>
      </c>
      <c r="BV42" s="19">
        <v>6</v>
      </c>
      <c r="BW42" s="19">
        <v>4</v>
      </c>
      <c r="BX42" s="19">
        <v>8</v>
      </c>
      <c r="BY42" s="19">
        <v>6</v>
      </c>
      <c r="BZ42" s="19">
        <v>4</v>
      </c>
      <c r="CA42" s="19">
        <v>4</v>
      </c>
      <c r="CB42" s="19">
        <v>4</v>
      </c>
      <c r="CC42" s="19">
        <v>4</v>
      </c>
      <c r="CD42" s="19">
        <v>18</v>
      </c>
      <c r="CE42" s="19">
        <v>2</v>
      </c>
      <c r="CF42" s="19">
        <v>16</v>
      </c>
      <c r="CG42" s="19">
        <v>16</v>
      </c>
      <c r="CH42" s="19">
        <v>2</v>
      </c>
      <c r="CI42" s="19">
        <v>14</v>
      </c>
      <c r="CJ42" s="19">
        <v>0</v>
      </c>
      <c r="CK42" s="19">
        <v>0</v>
      </c>
      <c r="CL42" s="19">
        <v>14</v>
      </c>
      <c r="CM42" s="19">
        <v>4</v>
      </c>
      <c r="CN42" s="19">
        <v>0</v>
      </c>
      <c r="CO42" s="19">
        <v>28</v>
      </c>
      <c r="CP42" s="19">
        <v>12</v>
      </c>
      <c r="CQ42" s="19">
        <v>0</v>
      </c>
      <c r="CR42" s="19">
        <v>0</v>
      </c>
      <c r="CS42" s="19">
        <v>12</v>
      </c>
      <c r="CT42" s="19">
        <v>0</v>
      </c>
      <c r="CU42" s="19">
        <v>10</v>
      </c>
      <c r="CV42" s="19">
        <v>10</v>
      </c>
      <c r="CW42" s="19">
        <v>0</v>
      </c>
      <c r="CX42" s="19">
        <v>24</v>
      </c>
      <c r="CY42" s="19">
        <v>8</v>
      </c>
      <c r="CZ42" s="19">
        <v>0</v>
      </c>
      <c r="DA42" s="17"/>
      <c r="DB42" s="17">
        <v>41</v>
      </c>
      <c r="DC42" s="17"/>
      <c r="DD42" s="26" t="s">
        <v>327</v>
      </c>
      <c r="DE42" s="19">
        <v>0</v>
      </c>
      <c r="DF42" s="19"/>
      <c r="DG42" s="19"/>
      <c r="DH42" s="19"/>
      <c r="DI42" s="19"/>
      <c r="DJ42" s="19"/>
      <c r="DK42" s="19"/>
      <c r="DL42" s="19"/>
      <c r="DM42" s="19"/>
      <c r="DN42" s="19"/>
      <c r="DO42" s="19"/>
      <c r="DP42" s="19"/>
      <c r="DQ42" s="19"/>
      <c r="DR42" s="19"/>
      <c r="DS42" s="19"/>
      <c r="DT42" s="19"/>
      <c r="DU42" s="19"/>
      <c r="DV42" s="19"/>
      <c r="DW42" s="19"/>
      <c r="DX42" s="19"/>
      <c r="DY42" s="19"/>
      <c r="DZ42" s="19"/>
      <c r="EA42" s="19"/>
      <c r="EB42" s="19" t="s">
        <v>14</v>
      </c>
      <c r="EC42" s="19">
        <v>0</v>
      </c>
      <c r="ED42" s="19">
        <v>0</v>
      </c>
      <c r="EE42" s="19">
        <v>0</v>
      </c>
      <c r="EF42" s="19">
        <v>0</v>
      </c>
      <c r="EG42" s="19">
        <v>2</v>
      </c>
      <c r="EH42" s="19">
        <v>6</v>
      </c>
      <c r="EI42" s="19">
        <v>2</v>
      </c>
      <c r="EJ42" s="19">
        <v>8</v>
      </c>
      <c r="EK42" s="19">
        <v>0</v>
      </c>
      <c r="EL42" s="19">
        <v>6</v>
      </c>
      <c r="EM42" s="19">
        <v>10</v>
      </c>
      <c r="EN42" s="19">
        <v>2</v>
      </c>
      <c r="EO42" s="19">
        <v>8</v>
      </c>
      <c r="EP42" s="19">
        <v>0</v>
      </c>
      <c r="EQ42" s="19">
        <v>2</v>
      </c>
      <c r="ER42" s="19">
        <v>6</v>
      </c>
      <c r="ES42" s="19">
        <v>14</v>
      </c>
      <c r="ET42" s="19">
        <v>6</v>
      </c>
      <c r="EU42" s="19">
        <v>10</v>
      </c>
      <c r="EV42" s="19">
        <v>16</v>
      </c>
      <c r="EW42" s="19">
        <v>8</v>
      </c>
      <c r="EX42" s="19">
        <v>12</v>
      </c>
      <c r="EY42" s="19">
        <v>4</v>
      </c>
      <c r="EZ42" s="19">
        <v>24</v>
      </c>
      <c r="FA42" s="19">
        <v>0</v>
      </c>
      <c r="FB42" s="19">
        <v>20</v>
      </c>
      <c r="FC42" s="19">
        <v>0</v>
      </c>
      <c r="FD42" s="19">
        <v>16</v>
      </c>
      <c r="FE42" s="19">
        <v>20</v>
      </c>
      <c r="FF42" s="19">
        <v>12</v>
      </c>
      <c r="FG42" s="19">
        <v>18</v>
      </c>
      <c r="FH42" s="19">
        <v>10</v>
      </c>
      <c r="FI42" s="19">
        <v>4</v>
      </c>
      <c r="FJ42" s="19">
        <v>6</v>
      </c>
      <c r="FK42" s="19">
        <v>26</v>
      </c>
      <c r="FL42" s="19">
        <v>2</v>
      </c>
      <c r="FM42" s="19">
        <v>22</v>
      </c>
      <c r="FN42" s="19">
        <v>0</v>
      </c>
      <c r="FO42" s="19">
        <v>18</v>
      </c>
      <c r="FP42" s="19">
        <v>0</v>
      </c>
      <c r="FQ42" s="19">
        <v>14</v>
      </c>
      <c r="FR42" s="19">
        <v>34</v>
      </c>
      <c r="FS42" s="19">
        <v>10</v>
      </c>
      <c r="FT42" s="19">
        <v>16</v>
      </c>
      <c r="FU42" s="19">
        <v>8</v>
      </c>
      <c r="FV42" s="19">
        <v>12</v>
      </c>
      <c r="FW42" s="19">
        <v>4</v>
      </c>
      <c r="FX42" s="19">
        <v>2</v>
      </c>
      <c r="FY42" s="19">
        <v>0</v>
      </c>
      <c r="FZ42" s="19">
        <v>20</v>
      </c>
      <c r="GA42" s="19">
        <v>0</v>
      </c>
      <c r="GC42" s="19"/>
      <c r="GD42" s="19"/>
      <c r="GE42" s="19" t="s">
        <v>14</v>
      </c>
      <c r="GF42" s="19">
        <v>0</v>
      </c>
      <c r="GG42" s="19">
        <v>0</v>
      </c>
      <c r="GH42" s="19">
        <v>0</v>
      </c>
      <c r="GI42" s="19">
        <v>4</v>
      </c>
      <c r="GJ42" s="19">
        <v>4</v>
      </c>
      <c r="GK42" s="19">
        <v>4</v>
      </c>
      <c r="GL42" s="19">
        <v>8</v>
      </c>
      <c r="GM42" s="19">
        <v>2</v>
      </c>
      <c r="GN42" s="19">
        <v>2</v>
      </c>
      <c r="GO42" s="19">
        <v>4</v>
      </c>
      <c r="GP42" s="19">
        <v>6</v>
      </c>
      <c r="GQ42" s="19">
        <v>8</v>
      </c>
      <c r="GR42" s="19">
        <v>10</v>
      </c>
      <c r="GS42" s="19">
        <v>0</v>
      </c>
      <c r="GT42" s="19">
        <v>0</v>
      </c>
      <c r="GU42" s="19">
        <v>18</v>
      </c>
      <c r="GV42" s="19">
        <v>4</v>
      </c>
      <c r="GW42" s="19">
        <v>22</v>
      </c>
      <c r="GX42" s="19">
        <v>22</v>
      </c>
      <c r="GY42" s="19">
        <v>12</v>
      </c>
      <c r="GZ42" s="19">
        <v>12</v>
      </c>
      <c r="HA42" s="19">
        <v>0</v>
      </c>
      <c r="HB42" s="19">
        <v>8</v>
      </c>
      <c r="HC42" s="19">
        <v>18</v>
      </c>
      <c r="HD42" s="19">
        <v>8</v>
      </c>
      <c r="HE42" s="19">
        <v>24</v>
      </c>
      <c r="HF42" s="19">
        <v>0</v>
      </c>
      <c r="HG42" s="19">
        <v>14</v>
      </c>
      <c r="HH42" s="19">
        <v>30</v>
      </c>
      <c r="HI42" s="19">
        <v>4</v>
      </c>
      <c r="HJ42" s="19">
        <v>20</v>
      </c>
      <c r="HK42" s="19">
        <v>0</v>
      </c>
      <c r="HL42" s="19">
        <v>10</v>
      </c>
      <c r="HM42" s="19">
        <v>26</v>
      </c>
      <c r="HN42" s="19">
        <v>0</v>
      </c>
      <c r="HO42" s="19">
        <v>16</v>
      </c>
      <c r="HP42" s="19">
        <v>32</v>
      </c>
      <c r="HQ42" s="19">
        <v>0</v>
      </c>
      <c r="HR42" s="19">
        <v>22</v>
      </c>
      <c r="HS42" s="19">
        <v>0</v>
      </c>
      <c r="HT42" s="19">
        <v>12</v>
      </c>
      <c r="HU42" s="19">
        <v>28</v>
      </c>
      <c r="HV42" s="19">
        <v>2</v>
      </c>
      <c r="HW42" s="19">
        <v>18</v>
      </c>
      <c r="HX42" s="19">
        <v>0</v>
      </c>
      <c r="HY42" s="19">
        <v>8</v>
      </c>
      <c r="HZ42" s="19">
        <v>24</v>
      </c>
      <c r="IA42" s="19">
        <v>0</v>
      </c>
      <c r="IB42" s="19">
        <v>14</v>
      </c>
      <c r="IC42" s="19">
        <v>16</v>
      </c>
      <c r="ID42" s="19">
        <v>4</v>
      </c>
      <c r="IF42" s="20" t="s">
        <v>14</v>
      </c>
      <c r="IG42" s="20">
        <v>0</v>
      </c>
      <c r="IH42" s="20">
        <v>2</v>
      </c>
      <c r="II42" s="20">
        <v>2</v>
      </c>
      <c r="IJ42" s="20">
        <v>2</v>
      </c>
      <c r="IK42" s="20">
        <v>0</v>
      </c>
      <c r="IL42" s="20">
        <v>8</v>
      </c>
      <c r="IM42" s="20">
        <v>4</v>
      </c>
      <c r="IN42" s="20">
        <v>4</v>
      </c>
      <c r="IO42" s="20">
        <v>10</v>
      </c>
      <c r="IP42" s="20">
        <v>8</v>
      </c>
      <c r="IQ42" s="20">
        <v>4</v>
      </c>
      <c r="IR42" s="20">
        <v>16</v>
      </c>
      <c r="IS42" s="20">
        <v>0</v>
      </c>
      <c r="IT42" s="20">
        <v>8</v>
      </c>
      <c r="IU42" s="20">
        <v>18</v>
      </c>
      <c r="IV42" s="20">
        <v>14</v>
      </c>
      <c r="IW42" s="20">
        <v>0</v>
      </c>
      <c r="IX42" s="20">
        <v>6</v>
      </c>
      <c r="IY42" s="20">
        <v>2</v>
      </c>
      <c r="IZ42" s="20">
        <v>28</v>
      </c>
      <c r="JA42" s="20">
        <v>0</v>
      </c>
      <c r="JB42" s="20">
        <v>6</v>
      </c>
      <c r="JC42" s="20">
        <v>8</v>
      </c>
      <c r="JD42" s="20">
        <v>12</v>
      </c>
      <c r="JE42" s="20">
        <v>0</v>
      </c>
      <c r="JF42" s="20">
        <v>4</v>
      </c>
    </row>
    <row r="43" spans="1:266" x14ac:dyDescent="0.25">
      <c r="A43" s="4"/>
      <c r="B43" s="6"/>
      <c r="C43" s="4"/>
      <c r="D43" s="4"/>
      <c r="E43" s="4"/>
      <c r="F43" s="4"/>
      <c r="G43" s="4"/>
      <c r="H43" s="4"/>
      <c r="I43" s="4"/>
      <c r="J43" s="4"/>
      <c r="K43" s="4"/>
      <c r="L43" s="6" t="s">
        <v>244</v>
      </c>
      <c r="M43" s="14">
        <f>INDEX(cenník!$A$2:$I$568,MATCH($L43,cenník!$B$2:$B$557,0),MATCH(M$24,cenník!$A$1:$I$1,0))</f>
        <v>166794</v>
      </c>
      <c r="N43" s="14" t="str">
        <f>INDEX(cenník!$A$2:$I$568,MATCH($L43,cenník!$B$2:$B$557,0),MATCH(N$24,cenník!$A$1:$I$1,0))</f>
        <v>100ks</v>
      </c>
      <c r="O43" s="14">
        <f>ROUNDUP((O37/100),0)</f>
        <v>0</v>
      </c>
      <c r="P43" s="21">
        <f>INDEX(cenník!$A$2:$I$568,MATCH($L43,cenník!$B$2:$B$557,0),MATCH(P$24,cenník!$A$1:$I$1,0))</f>
        <v>1.38</v>
      </c>
      <c r="Q43" s="21">
        <f t="shared" si="17"/>
        <v>0</v>
      </c>
      <c r="R43" s="22">
        <f t="shared" si="8"/>
        <v>0</v>
      </c>
      <c r="S43" s="21">
        <f t="shared" si="9"/>
        <v>1.38</v>
      </c>
      <c r="T43" s="21">
        <f t="shared" si="18"/>
        <v>0</v>
      </c>
      <c r="U43" s="21">
        <f>INDEX(cenník!$A$2:$I$568,MATCH($L43,cenník!$B$2:$B$557,0),MATCH(U$24,cenník!$A$1:$I$1,0))*O43</f>
        <v>0</v>
      </c>
      <c r="V43" s="19"/>
      <c r="AE43" s="19"/>
      <c r="AF43" s="19"/>
      <c r="AG43" s="19"/>
      <c r="AH43" s="19" t="s">
        <v>231</v>
      </c>
      <c r="AI43" s="19"/>
      <c r="AJ43" s="19">
        <v>2300</v>
      </c>
      <c r="AK43" s="19"/>
      <c r="AL43" s="19"/>
      <c r="AM43" s="19">
        <v>32</v>
      </c>
      <c r="AN43" s="19" t="s">
        <v>20</v>
      </c>
      <c r="AO43" s="19" t="s">
        <v>21</v>
      </c>
      <c r="AP43" s="19" t="s">
        <v>55</v>
      </c>
      <c r="AQ43" s="19" t="s">
        <v>13</v>
      </c>
      <c r="AS43" s="19">
        <v>32</v>
      </c>
      <c r="AT43" s="19" t="s">
        <v>32</v>
      </c>
      <c r="AU43" s="19" t="s">
        <v>33</v>
      </c>
      <c r="AV43" s="19" t="s">
        <v>84</v>
      </c>
      <c r="AW43" s="19" t="s">
        <v>84</v>
      </c>
      <c r="AX43" s="19"/>
      <c r="AY43" s="19"/>
      <c r="AZ43" s="19"/>
      <c r="BA43" s="19" t="s">
        <v>18</v>
      </c>
      <c r="BB43" s="19">
        <v>0</v>
      </c>
      <c r="BC43" s="19">
        <v>0</v>
      </c>
      <c r="BD43" s="19">
        <v>0</v>
      </c>
      <c r="BE43" s="19">
        <v>0</v>
      </c>
      <c r="BF43" s="19">
        <v>0</v>
      </c>
      <c r="BG43" s="19">
        <v>0</v>
      </c>
      <c r="BH43" s="19">
        <v>0</v>
      </c>
      <c r="BI43" s="19">
        <v>0</v>
      </c>
      <c r="BJ43" s="19">
        <v>0</v>
      </c>
      <c r="BK43" s="19">
        <v>0</v>
      </c>
      <c r="BL43" s="19">
        <v>0</v>
      </c>
      <c r="BM43" s="19">
        <v>0</v>
      </c>
      <c r="BN43" s="19">
        <v>0</v>
      </c>
      <c r="BO43" s="19">
        <v>0</v>
      </c>
      <c r="BP43" s="19">
        <v>2</v>
      </c>
      <c r="BQ43" s="19">
        <v>0</v>
      </c>
      <c r="BR43" s="19">
        <v>4</v>
      </c>
      <c r="BS43" s="19">
        <v>4</v>
      </c>
      <c r="BT43" s="19">
        <v>6</v>
      </c>
      <c r="BU43" s="19">
        <v>6</v>
      </c>
      <c r="BV43" s="19">
        <v>8</v>
      </c>
      <c r="BW43" s="19">
        <v>8</v>
      </c>
      <c r="BX43" s="19">
        <v>6</v>
      </c>
      <c r="BY43" s="19">
        <v>10</v>
      </c>
      <c r="BZ43" s="19">
        <v>10</v>
      </c>
      <c r="CA43" s="19">
        <v>12</v>
      </c>
      <c r="CB43" s="19">
        <v>14</v>
      </c>
      <c r="CC43" s="19">
        <v>12</v>
      </c>
      <c r="CD43" s="19">
        <v>2</v>
      </c>
      <c r="CE43" s="19">
        <v>18</v>
      </c>
      <c r="CF43" s="19">
        <v>4</v>
      </c>
      <c r="CG43" s="19">
        <v>6</v>
      </c>
      <c r="CH43" s="19">
        <v>20</v>
      </c>
      <c r="CI43" s="19">
        <v>8</v>
      </c>
      <c r="CJ43" s="19">
        <v>22</v>
      </c>
      <c r="CK43" s="19">
        <v>24</v>
      </c>
      <c r="CL43" s="19">
        <v>10</v>
      </c>
      <c r="CM43" s="19">
        <v>20</v>
      </c>
      <c r="CN43" s="19">
        <v>26</v>
      </c>
      <c r="CO43" s="19">
        <v>0</v>
      </c>
      <c r="CP43" s="19">
        <v>16</v>
      </c>
      <c r="CQ43" s="19">
        <v>28</v>
      </c>
      <c r="CR43" s="19">
        <v>26</v>
      </c>
      <c r="CS43" s="19">
        <v>18</v>
      </c>
      <c r="CT43" s="19">
        <v>30</v>
      </c>
      <c r="CU43" s="19">
        <v>20</v>
      </c>
      <c r="CV43" s="19">
        <v>22</v>
      </c>
      <c r="CW43" s="19">
        <v>32</v>
      </c>
      <c r="CX43" s="19">
        <v>10</v>
      </c>
      <c r="CY43" s="19">
        <v>26</v>
      </c>
      <c r="CZ43" s="19">
        <v>34</v>
      </c>
      <c r="DA43" s="17"/>
      <c r="DB43" s="17">
        <v>42</v>
      </c>
      <c r="DC43" s="17"/>
      <c r="DD43" s="26" t="s">
        <v>328</v>
      </c>
      <c r="DE43" s="19">
        <v>0</v>
      </c>
      <c r="DF43" s="19"/>
      <c r="DG43" s="19"/>
      <c r="DH43" s="19"/>
      <c r="DI43" s="19"/>
      <c r="DJ43" s="19"/>
      <c r="DK43" s="19"/>
      <c r="DL43" s="19"/>
      <c r="DM43" s="19"/>
      <c r="DN43" s="19"/>
      <c r="DO43" s="19"/>
      <c r="DP43" s="19"/>
      <c r="DQ43" s="19"/>
      <c r="DR43" s="19"/>
      <c r="DS43" s="19"/>
      <c r="DT43" s="19"/>
      <c r="DU43" s="19"/>
      <c r="DV43" s="19"/>
      <c r="DW43" s="19"/>
      <c r="DX43" s="19"/>
      <c r="DY43" s="19"/>
      <c r="DZ43" s="19"/>
      <c r="EA43" s="19"/>
      <c r="EB43" s="19" t="s">
        <v>18</v>
      </c>
      <c r="EC43" s="19">
        <v>0</v>
      </c>
      <c r="ED43" s="19">
        <v>0</v>
      </c>
      <c r="EE43" s="19">
        <v>0</v>
      </c>
      <c r="EF43" s="19">
        <v>2</v>
      </c>
      <c r="EG43" s="19">
        <v>0</v>
      </c>
      <c r="EH43" s="19">
        <v>0</v>
      </c>
      <c r="EI43" s="19">
        <v>2</v>
      </c>
      <c r="EJ43" s="19">
        <v>0</v>
      </c>
      <c r="EK43" s="19">
        <v>6</v>
      </c>
      <c r="EL43" s="19">
        <v>4</v>
      </c>
      <c r="EM43" s="19">
        <v>0</v>
      </c>
      <c r="EN43" s="19">
        <v>10</v>
      </c>
      <c r="EO43" s="19">
        <v>4</v>
      </c>
      <c r="EP43" s="19">
        <v>14</v>
      </c>
      <c r="EQ43" s="19">
        <v>12</v>
      </c>
      <c r="ER43" s="19">
        <v>8</v>
      </c>
      <c r="ES43" s="19">
        <v>4</v>
      </c>
      <c r="ET43" s="19">
        <v>10</v>
      </c>
      <c r="EU43" s="19">
        <v>10</v>
      </c>
      <c r="EV43" s="19">
        <v>4</v>
      </c>
      <c r="EW43" s="19">
        <v>14</v>
      </c>
      <c r="EX43" s="19">
        <v>10</v>
      </c>
      <c r="EY43" s="19">
        <v>20</v>
      </c>
      <c r="EZ43" s="19">
        <v>2</v>
      </c>
      <c r="FA43" s="19">
        <v>26</v>
      </c>
      <c r="FB43" s="19">
        <v>8</v>
      </c>
      <c r="FC43" s="19">
        <v>28</v>
      </c>
      <c r="FD43" s="19">
        <v>14</v>
      </c>
      <c r="FE43" s="19">
        <v>10</v>
      </c>
      <c r="FF43" s="19">
        <v>20</v>
      </c>
      <c r="FG43" s="19">
        <v>14</v>
      </c>
      <c r="FH43" s="19">
        <v>24</v>
      </c>
      <c r="FI43" s="19">
        <v>28</v>
      </c>
      <c r="FJ43" s="19">
        <v>30</v>
      </c>
      <c r="FK43" s="19">
        <v>12</v>
      </c>
      <c r="FL43" s="19">
        <v>36</v>
      </c>
      <c r="FM43" s="19">
        <v>18</v>
      </c>
      <c r="FN43" s="19">
        <v>40</v>
      </c>
      <c r="FO43" s="19">
        <v>24</v>
      </c>
      <c r="FP43" s="19">
        <v>42</v>
      </c>
      <c r="FQ43" s="19">
        <v>30</v>
      </c>
      <c r="FR43" s="19">
        <v>12</v>
      </c>
      <c r="FS43" s="19">
        <v>36</v>
      </c>
      <c r="FT43" s="19">
        <v>30</v>
      </c>
      <c r="FU43" s="19">
        <v>40</v>
      </c>
      <c r="FV43" s="19">
        <v>36</v>
      </c>
      <c r="FW43" s="19">
        <v>46</v>
      </c>
      <c r="FX43" s="19">
        <v>46</v>
      </c>
      <c r="FY43" s="19">
        <v>52</v>
      </c>
      <c r="FZ43" s="19">
        <v>34</v>
      </c>
      <c r="GA43" s="19">
        <v>54</v>
      </c>
      <c r="GC43" s="19"/>
      <c r="GD43" s="19"/>
      <c r="GE43" s="19" t="s">
        <v>18</v>
      </c>
      <c r="GF43" s="19">
        <v>0</v>
      </c>
      <c r="GG43" s="19">
        <v>0</v>
      </c>
      <c r="GH43" s="19">
        <v>0</v>
      </c>
      <c r="GI43" s="19">
        <v>0</v>
      </c>
      <c r="GJ43" s="19">
        <v>0</v>
      </c>
      <c r="GK43" s="19">
        <v>0</v>
      </c>
      <c r="GL43" s="19">
        <v>0</v>
      </c>
      <c r="GM43" s="19">
        <v>6</v>
      </c>
      <c r="GN43" s="19">
        <v>8</v>
      </c>
      <c r="GO43" s="19">
        <v>6</v>
      </c>
      <c r="GP43" s="19">
        <v>4</v>
      </c>
      <c r="GQ43" s="19">
        <v>6</v>
      </c>
      <c r="GR43" s="19">
        <v>4</v>
      </c>
      <c r="GS43" s="19">
        <v>16</v>
      </c>
      <c r="GT43" s="19">
        <v>16</v>
      </c>
      <c r="GU43" s="19">
        <v>0</v>
      </c>
      <c r="GV43" s="19">
        <v>16</v>
      </c>
      <c r="GW43" s="19">
        <v>0</v>
      </c>
      <c r="GX43" s="19">
        <v>0</v>
      </c>
      <c r="GY43" s="19">
        <v>12</v>
      </c>
      <c r="GZ43" s="19">
        <v>12</v>
      </c>
      <c r="HA43" s="19">
        <v>26</v>
      </c>
      <c r="HB43" s="19">
        <v>18</v>
      </c>
      <c r="HC43" s="19">
        <v>10</v>
      </c>
      <c r="HD43" s="19">
        <v>22</v>
      </c>
      <c r="HE43" s="19">
        <v>8</v>
      </c>
      <c r="HF43" s="19">
        <v>32</v>
      </c>
      <c r="HG43" s="19">
        <v>20</v>
      </c>
      <c r="HH43" s="19">
        <v>6</v>
      </c>
      <c r="HI43" s="19">
        <v>32</v>
      </c>
      <c r="HJ43" s="19">
        <v>18</v>
      </c>
      <c r="HK43" s="19">
        <v>38</v>
      </c>
      <c r="HL43" s="19">
        <v>30</v>
      </c>
      <c r="HM43" s="19">
        <v>16</v>
      </c>
      <c r="HN43" s="19">
        <v>42</v>
      </c>
      <c r="HO43" s="19">
        <v>28</v>
      </c>
      <c r="HP43" s="19">
        <v>14</v>
      </c>
      <c r="HQ43" s="19">
        <v>44</v>
      </c>
      <c r="HR43" s="19">
        <v>26</v>
      </c>
      <c r="HS43" s="19">
        <v>48</v>
      </c>
      <c r="HT43" s="19">
        <v>38</v>
      </c>
      <c r="HU43" s="19">
        <v>24</v>
      </c>
      <c r="HV43" s="19">
        <v>50</v>
      </c>
      <c r="HW43" s="19">
        <v>36</v>
      </c>
      <c r="HX43" s="19">
        <v>54</v>
      </c>
      <c r="HY43" s="19">
        <v>48</v>
      </c>
      <c r="HZ43" s="19">
        <v>34</v>
      </c>
      <c r="IA43" s="19">
        <v>58</v>
      </c>
      <c r="IB43" s="19">
        <v>46</v>
      </c>
      <c r="IC43" s="19">
        <v>44</v>
      </c>
      <c r="ID43" s="19">
        <v>58</v>
      </c>
      <c r="IF43" s="20" t="s">
        <v>18</v>
      </c>
      <c r="IG43" s="20">
        <v>0</v>
      </c>
      <c r="IH43" s="20">
        <v>0</v>
      </c>
      <c r="II43" s="20">
        <v>0</v>
      </c>
      <c r="IJ43" s="20">
        <v>0</v>
      </c>
      <c r="IK43" s="20">
        <v>4</v>
      </c>
      <c r="IL43" s="20">
        <v>0</v>
      </c>
      <c r="IM43" s="20">
        <v>4</v>
      </c>
      <c r="IN43" s="20">
        <v>6</v>
      </c>
      <c r="IO43" s="20">
        <v>0</v>
      </c>
      <c r="IP43" s="20">
        <v>6</v>
      </c>
      <c r="IQ43" s="20">
        <v>10</v>
      </c>
      <c r="IR43" s="20">
        <v>0</v>
      </c>
      <c r="IS43" s="20">
        <v>18</v>
      </c>
      <c r="IT43" s="20">
        <v>12</v>
      </c>
      <c r="IU43" s="20">
        <v>4</v>
      </c>
      <c r="IV43" s="20">
        <v>8</v>
      </c>
      <c r="IW43" s="20">
        <v>24</v>
      </c>
      <c r="IX43" s="20">
        <v>20</v>
      </c>
      <c r="IY43" s="20">
        <v>24</v>
      </c>
      <c r="IZ43" s="20">
        <v>2</v>
      </c>
      <c r="JA43" s="20">
        <v>30</v>
      </c>
      <c r="JB43" s="20">
        <v>26</v>
      </c>
      <c r="JC43" s="20">
        <v>24</v>
      </c>
      <c r="JD43" s="20">
        <v>22</v>
      </c>
      <c r="JE43" s="20">
        <v>36</v>
      </c>
      <c r="JF43" s="20">
        <v>34</v>
      </c>
    </row>
    <row r="44" spans="1:266" x14ac:dyDescent="0.25">
      <c r="A44" s="4"/>
      <c r="B44" s="6"/>
      <c r="C44" s="4"/>
      <c r="D44" s="4"/>
      <c r="E44" s="4"/>
      <c r="F44" s="4"/>
      <c r="G44" s="4"/>
      <c r="H44" s="4"/>
      <c r="I44" s="4"/>
      <c r="J44" s="4"/>
      <c r="K44" s="4"/>
      <c r="L44" s="6" t="s">
        <v>178</v>
      </c>
      <c r="M44" s="14">
        <f>INDEX(cenník!$A$2:$I$568,MATCH($L44,cenník!$B$2:$B$557,0),MATCH(M$24,cenník!$A$1:$I$1,0))</f>
        <v>651643</v>
      </c>
      <c r="N44" s="14" t="str">
        <f>INDEX(cenník!$A$2:$I$568,MATCH($L44,cenník!$B$2:$B$557,0),MATCH(N$24,cenník!$A$1:$I$1,0))</f>
        <v>100ks</v>
      </c>
      <c r="O44" s="14">
        <f>ROUNDUP(((IF(L30="LC40H35MC",O30*4,0))/100),0)</f>
        <v>0</v>
      </c>
      <c r="P44" s="21">
        <f>INDEX(cenník!$A$2:$I$568,MATCH($L44,cenník!$B$2:$B$557,0),MATCH(P$24,cenník!$A$1:$I$1,0))</f>
        <v>49.87</v>
      </c>
      <c r="Q44" s="21">
        <f t="shared" ref="Q44" si="19">O44*P44</f>
        <v>0</v>
      </c>
      <c r="R44" s="22">
        <f>$E$31</f>
        <v>0</v>
      </c>
      <c r="S44" s="21">
        <f>P44*((100-$E$31)/100)</f>
        <v>49.87</v>
      </c>
      <c r="T44" s="21">
        <f t="shared" ref="T44" si="20">O44*S44</f>
        <v>0</v>
      </c>
      <c r="U44" s="21">
        <f>INDEX(cenník!$A$2:$I$568,MATCH($L44,cenník!$B$2:$B$557,0),MATCH(U$24,cenník!$A$1:$I$1,0))*O44</f>
        <v>0</v>
      </c>
      <c r="V44" s="19"/>
      <c r="AE44" s="19"/>
      <c r="AF44" s="19"/>
      <c r="AG44" s="121"/>
      <c r="AH44" s="19" t="s">
        <v>351</v>
      </c>
      <c r="AI44" s="19"/>
      <c r="AJ44" s="19">
        <v>2350</v>
      </c>
      <c r="AK44" s="19"/>
      <c r="AL44" s="19"/>
      <c r="AM44" s="19">
        <v>33</v>
      </c>
      <c r="AN44" s="19" t="s">
        <v>22</v>
      </c>
      <c r="AO44" s="19"/>
      <c r="AP44" s="19" t="s">
        <v>55</v>
      </c>
      <c r="AQ44" s="19" t="s">
        <v>13</v>
      </c>
      <c r="AS44" s="19">
        <v>33</v>
      </c>
      <c r="AT44" s="19"/>
      <c r="AU44" s="19"/>
      <c r="AV44" s="19" t="s">
        <v>84</v>
      </c>
      <c r="AW44" s="19" t="s">
        <v>84</v>
      </c>
      <c r="AX44" s="19"/>
      <c r="AY44" s="19"/>
      <c r="AZ44" s="19"/>
      <c r="BA44" s="19" t="s">
        <v>179</v>
      </c>
      <c r="BB44" s="19">
        <v>0</v>
      </c>
      <c r="BC44" s="19">
        <f>((((SUM(BC39:BC43))/2)-1))*4</f>
        <v>0</v>
      </c>
      <c r="BD44" s="19">
        <f t="shared" ref="BD44:CH44" si="21">((((SUM(BD39:BD43))/2)-1))*4</f>
        <v>4</v>
      </c>
      <c r="BE44" s="19">
        <f t="shared" si="21"/>
        <v>8</v>
      </c>
      <c r="BF44" s="19">
        <f t="shared" si="21"/>
        <v>4</v>
      </c>
      <c r="BG44" s="19">
        <f t="shared" si="21"/>
        <v>4</v>
      </c>
      <c r="BH44" s="19">
        <f t="shared" si="21"/>
        <v>8</v>
      </c>
      <c r="BI44" s="19">
        <f t="shared" si="21"/>
        <v>8</v>
      </c>
      <c r="BJ44" s="19">
        <f t="shared" si="21"/>
        <v>8</v>
      </c>
      <c r="BK44" s="19">
        <f t="shared" si="21"/>
        <v>12</v>
      </c>
      <c r="BL44" s="19">
        <f t="shared" si="21"/>
        <v>12</v>
      </c>
      <c r="BM44" s="19">
        <f t="shared" si="21"/>
        <v>12</v>
      </c>
      <c r="BN44" s="19">
        <f t="shared" si="21"/>
        <v>16</v>
      </c>
      <c r="BO44" s="19">
        <f t="shared" si="21"/>
        <v>16</v>
      </c>
      <c r="BP44" s="19">
        <f t="shared" si="21"/>
        <v>16</v>
      </c>
      <c r="BQ44" s="19">
        <f t="shared" si="21"/>
        <v>20</v>
      </c>
      <c r="BR44" s="19">
        <f t="shared" si="21"/>
        <v>20</v>
      </c>
      <c r="BS44" s="19">
        <f t="shared" si="21"/>
        <v>20</v>
      </c>
      <c r="BT44" s="19">
        <f t="shared" si="21"/>
        <v>24</v>
      </c>
      <c r="BU44" s="19">
        <f t="shared" si="21"/>
        <v>24</v>
      </c>
      <c r="BV44" s="19">
        <f t="shared" si="21"/>
        <v>24</v>
      </c>
      <c r="BW44" s="19">
        <f t="shared" si="21"/>
        <v>28</v>
      </c>
      <c r="BX44" s="19">
        <f t="shared" si="21"/>
        <v>28</v>
      </c>
      <c r="BY44" s="19">
        <f t="shared" si="21"/>
        <v>28</v>
      </c>
      <c r="BZ44" s="19">
        <f t="shared" si="21"/>
        <v>32</v>
      </c>
      <c r="CA44" s="19">
        <f t="shared" si="21"/>
        <v>32</v>
      </c>
      <c r="CB44" s="19">
        <f t="shared" si="21"/>
        <v>32</v>
      </c>
      <c r="CC44" s="19">
        <f t="shared" si="21"/>
        <v>36</v>
      </c>
      <c r="CD44" s="19">
        <f t="shared" si="21"/>
        <v>36</v>
      </c>
      <c r="CE44" s="19">
        <f t="shared" si="21"/>
        <v>36</v>
      </c>
      <c r="CF44" s="19">
        <f t="shared" si="21"/>
        <v>40</v>
      </c>
      <c r="CG44" s="19">
        <f t="shared" si="21"/>
        <v>40</v>
      </c>
      <c r="CH44" s="19">
        <f t="shared" si="21"/>
        <v>40</v>
      </c>
      <c r="CI44" s="19">
        <f t="shared" ref="CI44:CZ44" si="22">((((SUM(CI39:CI43))/2)-1))*4</f>
        <v>44</v>
      </c>
      <c r="CJ44" s="19">
        <f t="shared" si="22"/>
        <v>44</v>
      </c>
      <c r="CK44" s="19">
        <f t="shared" si="22"/>
        <v>44</v>
      </c>
      <c r="CL44" s="19">
        <f t="shared" si="22"/>
        <v>48</v>
      </c>
      <c r="CM44" s="19">
        <f t="shared" si="22"/>
        <v>48</v>
      </c>
      <c r="CN44" s="19">
        <f t="shared" si="22"/>
        <v>48</v>
      </c>
      <c r="CO44" s="19">
        <f t="shared" si="22"/>
        <v>52</v>
      </c>
      <c r="CP44" s="19">
        <f t="shared" si="22"/>
        <v>52</v>
      </c>
      <c r="CQ44" s="19">
        <f t="shared" si="22"/>
        <v>52</v>
      </c>
      <c r="CR44" s="19">
        <f t="shared" si="22"/>
        <v>56</v>
      </c>
      <c r="CS44" s="19">
        <f t="shared" si="22"/>
        <v>56</v>
      </c>
      <c r="CT44" s="19">
        <f t="shared" si="22"/>
        <v>56</v>
      </c>
      <c r="CU44" s="19">
        <f t="shared" si="22"/>
        <v>60</v>
      </c>
      <c r="CV44" s="19">
        <f t="shared" si="22"/>
        <v>60</v>
      </c>
      <c r="CW44" s="19">
        <f t="shared" si="22"/>
        <v>60</v>
      </c>
      <c r="CX44" s="19">
        <f t="shared" si="22"/>
        <v>64</v>
      </c>
      <c r="CY44" s="19">
        <f t="shared" si="22"/>
        <v>64</v>
      </c>
      <c r="CZ44" s="19">
        <f t="shared" si="22"/>
        <v>64</v>
      </c>
      <c r="DA44" s="17"/>
      <c r="DB44" s="17">
        <v>43</v>
      </c>
      <c r="DC44" s="17"/>
      <c r="DD44" s="19"/>
      <c r="DE44" s="19"/>
      <c r="DF44" s="19"/>
      <c r="DG44" s="19"/>
      <c r="DH44" s="19"/>
      <c r="DI44" s="19"/>
      <c r="DJ44" s="19"/>
      <c r="DK44" s="19"/>
      <c r="DL44" s="19"/>
      <c r="DM44" s="19"/>
      <c r="DN44" s="19"/>
      <c r="DO44" s="19"/>
      <c r="DP44" s="19"/>
      <c r="DQ44" s="19"/>
      <c r="DR44" s="19"/>
      <c r="DS44" s="19"/>
      <c r="DT44" s="19"/>
      <c r="DU44" s="19"/>
      <c r="DV44" s="19"/>
      <c r="DW44" s="19"/>
      <c r="DX44" s="19"/>
      <c r="DY44" s="19"/>
      <c r="DZ44" s="19"/>
      <c r="EA44" s="19"/>
      <c r="EB44" s="19" t="s">
        <v>179</v>
      </c>
      <c r="EC44" s="19">
        <v>0</v>
      </c>
      <c r="ED44" s="19">
        <f t="shared" ref="ED44:FI44" si="23">((((SUM(ED39:ED43))/2)-1))*4</f>
        <v>0</v>
      </c>
      <c r="EE44" s="19">
        <f t="shared" si="23"/>
        <v>4</v>
      </c>
      <c r="EF44" s="19">
        <f t="shared" si="23"/>
        <v>4</v>
      </c>
      <c r="EG44" s="19">
        <f t="shared" si="23"/>
        <v>8</v>
      </c>
      <c r="EH44" s="19">
        <f t="shared" si="23"/>
        <v>8</v>
      </c>
      <c r="EI44" s="19">
        <f t="shared" si="23"/>
        <v>12</v>
      </c>
      <c r="EJ44" s="19">
        <f t="shared" si="23"/>
        <v>12</v>
      </c>
      <c r="EK44" s="19">
        <f t="shared" si="23"/>
        <v>16</v>
      </c>
      <c r="EL44" s="19">
        <f t="shared" si="23"/>
        <v>16</v>
      </c>
      <c r="EM44" s="19">
        <f t="shared" si="23"/>
        <v>20</v>
      </c>
      <c r="EN44" s="19">
        <f t="shared" si="23"/>
        <v>20</v>
      </c>
      <c r="EO44" s="19">
        <f t="shared" si="23"/>
        <v>24</v>
      </c>
      <c r="EP44" s="19">
        <f t="shared" si="23"/>
        <v>24</v>
      </c>
      <c r="EQ44" s="19">
        <f t="shared" si="23"/>
        <v>28</v>
      </c>
      <c r="ER44" s="19">
        <f t="shared" si="23"/>
        <v>32</v>
      </c>
      <c r="ES44" s="19">
        <f t="shared" si="23"/>
        <v>32</v>
      </c>
      <c r="ET44" s="19">
        <f t="shared" si="23"/>
        <v>36</v>
      </c>
      <c r="EU44" s="19">
        <f t="shared" si="23"/>
        <v>36</v>
      </c>
      <c r="EV44" s="19">
        <f t="shared" si="23"/>
        <v>40</v>
      </c>
      <c r="EW44" s="19">
        <f t="shared" si="23"/>
        <v>40</v>
      </c>
      <c r="EX44" s="19">
        <f t="shared" si="23"/>
        <v>44</v>
      </c>
      <c r="EY44" s="19">
        <f t="shared" si="23"/>
        <v>44</v>
      </c>
      <c r="EZ44" s="19">
        <f t="shared" si="23"/>
        <v>48</v>
      </c>
      <c r="FA44" s="19">
        <f t="shared" si="23"/>
        <v>48</v>
      </c>
      <c r="FB44" s="19">
        <f t="shared" si="23"/>
        <v>52</v>
      </c>
      <c r="FC44" s="19">
        <f t="shared" si="23"/>
        <v>52</v>
      </c>
      <c r="FD44" s="19">
        <f t="shared" si="23"/>
        <v>56</v>
      </c>
      <c r="FE44" s="19">
        <f t="shared" si="23"/>
        <v>60</v>
      </c>
      <c r="FF44" s="19">
        <f t="shared" si="23"/>
        <v>60</v>
      </c>
      <c r="FG44" s="19">
        <f t="shared" si="23"/>
        <v>64</v>
      </c>
      <c r="FH44" s="19">
        <f t="shared" si="23"/>
        <v>64</v>
      </c>
      <c r="FI44" s="19">
        <f t="shared" si="23"/>
        <v>68</v>
      </c>
      <c r="FJ44" s="19">
        <f t="shared" ref="FJ44:GA44" si="24">((((SUM(FJ39:FJ43))/2)-1))*4</f>
        <v>68</v>
      </c>
      <c r="FK44" s="19">
        <f t="shared" si="24"/>
        <v>72</v>
      </c>
      <c r="FL44" s="19">
        <f t="shared" si="24"/>
        <v>72</v>
      </c>
      <c r="FM44" s="19">
        <f t="shared" si="24"/>
        <v>76</v>
      </c>
      <c r="FN44" s="19">
        <f t="shared" si="24"/>
        <v>76</v>
      </c>
      <c r="FO44" s="19">
        <f t="shared" si="24"/>
        <v>80</v>
      </c>
      <c r="FP44" s="19">
        <f t="shared" si="24"/>
        <v>80</v>
      </c>
      <c r="FQ44" s="19">
        <f t="shared" si="24"/>
        <v>84</v>
      </c>
      <c r="FR44" s="19">
        <f t="shared" si="24"/>
        <v>88</v>
      </c>
      <c r="FS44" s="19">
        <f t="shared" si="24"/>
        <v>88</v>
      </c>
      <c r="FT44" s="19">
        <f t="shared" si="24"/>
        <v>92</v>
      </c>
      <c r="FU44" s="19">
        <f t="shared" si="24"/>
        <v>92</v>
      </c>
      <c r="FV44" s="19">
        <f t="shared" si="24"/>
        <v>96</v>
      </c>
      <c r="FW44" s="19">
        <f t="shared" si="24"/>
        <v>96</v>
      </c>
      <c r="FX44" s="19">
        <f t="shared" si="24"/>
        <v>100</v>
      </c>
      <c r="FY44" s="19">
        <f t="shared" si="24"/>
        <v>100</v>
      </c>
      <c r="FZ44" s="19">
        <f t="shared" si="24"/>
        <v>104</v>
      </c>
      <c r="GA44" s="19">
        <f t="shared" si="24"/>
        <v>104</v>
      </c>
      <c r="GC44" s="19"/>
      <c r="GD44" s="19"/>
      <c r="GE44" s="19" t="s">
        <v>179</v>
      </c>
      <c r="GF44" s="19">
        <v>0</v>
      </c>
      <c r="GG44" s="19">
        <f t="shared" ref="GG44:HL44" si="25">((((SUM(GG39:GG43))/2)-1))*4</f>
        <v>0</v>
      </c>
      <c r="GH44" s="19">
        <f t="shared" si="25"/>
        <v>4</v>
      </c>
      <c r="GI44" s="19">
        <f t="shared" si="25"/>
        <v>4</v>
      </c>
      <c r="GJ44" s="19">
        <f t="shared" si="25"/>
        <v>8</v>
      </c>
      <c r="GK44" s="19">
        <f t="shared" si="25"/>
        <v>12</v>
      </c>
      <c r="GL44" s="19">
        <f t="shared" si="25"/>
        <v>12</v>
      </c>
      <c r="GM44" s="19">
        <f t="shared" si="25"/>
        <v>16</v>
      </c>
      <c r="GN44" s="19">
        <f t="shared" si="25"/>
        <v>16</v>
      </c>
      <c r="GO44" s="19">
        <f t="shared" si="25"/>
        <v>20</v>
      </c>
      <c r="GP44" s="19">
        <f t="shared" si="25"/>
        <v>24</v>
      </c>
      <c r="GQ44" s="19">
        <f t="shared" si="25"/>
        <v>24</v>
      </c>
      <c r="GR44" s="19">
        <f t="shared" si="25"/>
        <v>28</v>
      </c>
      <c r="GS44" s="19">
        <f t="shared" si="25"/>
        <v>28</v>
      </c>
      <c r="GT44" s="19">
        <f t="shared" si="25"/>
        <v>32</v>
      </c>
      <c r="GU44" s="19">
        <f t="shared" si="25"/>
        <v>36</v>
      </c>
      <c r="GV44" s="19">
        <f t="shared" si="25"/>
        <v>36</v>
      </c>
      <c r="GW44" s="19">
        <f t="shared" si="25"/>
        <v>40</v>
      </c>
      <c r="GX44" s="19">
        <f t="shared" si="25"/>
        <v>44</v>
      </c>
      <c r="GY44" s="19">
        <f t="shared" si="25"/>
        <v>44</v>
      </c>
      <c r="GZ44" s="19">
        <f t="shared" si="25"/>
        <v>48</v>
      </c>
      <c r="HA44" s="19">
        <f t="shared" si="25"/>
        <v>48</v>
      </c>
      <c r="HB44" s="19">
        <f t="shared" si="25"/>
        <v>52</v>
      </c>
      <c r="HC44" s="19">
        <f t="shared" si="25"/>
        <v>56</v>
      </c>
      <c r="HD44" s="19">
        <f t="shared" si="25"/>
        <v>56</v>
      </c>
      <c r="HE44" s="19">
        <f t="shared" si="25"/>
        <v>60</v>
      </c>
      <c r="HF44" s="19">
        <f t="shared" si="25"/>
        <v>60</v>
      </c>
      <c r="HG44" s="19">
        <f t="shared" si="25"/>
        <v>64</v>
      </c>
      <c r="HH44" s="19">
        <f t="shared" si="25"/>
        <v>68</v>
      </c>
      <c r="HI44" s="19">
        <f t="shared" si="25"/>
        <v>68</v>
      </c>
      <c r="HJ44" s="19">
        <f t="shared" si="25"/>
        <v>72</v>
      </c>
      <c r="HK44" s="19">
        <f t="shared" si="25"/>
        <v>72</v>
      </c>
      <c r="HL44" s="19">
        <f t="shared" si="25"/>
        <v>76</v>
      </c>
      <c r="HM44" s="19">
        <f t="shared" ref="HM44:ID44" si="26">((((SUM(HM39:HM43))/2)-1))*4</f>
        <v>80</v>
      </c>
      <c r="HN44" s="19">
        <f t="shared" si="26"/>
        <v>80</v>
      </c>
      <c r="HO44" s="19">
        <f t="shared" si="26"/>
        <v>84</v>
      </c>
      <c r="HP44" s="19">
        <f t="shared" si="26"/>
        <v>88</v>
      </c>
      <c r="HQ44" s="19">
        <f t="shared" si="26"/>
        <v>88</v>
      </c>
      <c r="HR44" s="19">
        <f t="shared" si="26"/>
        <v>92</v>
      </c>
      <c r="HS44" s="19">
        <f t="shared" si="26"/>
        <v>92</v>
      </c>
      <c r="HT44" s="19">
        <f t="shared" si="26"/>
        <v>96</v>
      </c>
      <c r="HU44" s="19">
        <f t="shared" si="26"/>
        <v>100</v>
      </c>
      <c r="HV44" s="19">
        <f t="shared" si="26"/>
        <v>100</v>
      </c>
      <c r="HW44" s="19">
        <f t="shared" si="26"/>
        <v>104</v>
      </c>
      <c r="HX44" s="19">
        <f t="shared" si="26"/>
        <v>104</v>
      </c>
      <c r="HY44" s="19">
        <f t="shared" si="26"/>
        <v>108</v>
      </c>
      <c r="HZ44" s="19">
        <f t="shared" si="26"/>
        <v>112</v>
      </c>
      <c r="IA44" s="19">
        <f t="shared" si="26"/>
        <v>112</v>
      </c>
      <c r="IB44" s="19">
        <f t="shared" si="26"/>
        <v>116</v>
      </c>
      <c r="IC44" s="19">
        <f t="shared" si="26"/>
        <v>120</v>
      </c>
      <c r="ID44" s="19">
        <f t="shared" si="26"/>
        <v>120</v>
      </c>
      <c r="IF44" s="20" t="s">
        <v>179</v>
      </c>
      <c r="IG44" s="20">
        <v>0</v>
      </c>
      <c r="IH44" s="20">
        <v>0</v>
      </c>
      <c r="II44" s="20">
        <v>4</v>
      </c>
      <c r="IJ44" s="20">
        <v>8</v>
      </c>
      <c r="IK44" s="20">
        <v>12</v>
      </c>
      <c r="IL44" s="20">
        <v>12</v>
      </c>
      <c r="IM44" s="20">
        <v>16</v>
      </c>
      <c r="IN44" s="20">
        <v>20</v>
      </c>
      <c r="IO44" s="20">
        <v>24</v>
      </c>
      <c r="IP44" s="20">
        <v>24</v>
      </c>
      <c r="IQ44" s="20">
        <v>28</v>
      </c>
      <c r="IR44" s="20">
        <v>32</v>
      </c>
      <c r="IS44" s="20">
        <v>32</v>
      </c>
      <c r="IT44" s="20">
        <v>36</v>
      </c>
      <c r="IU44" s="20">
        <v>40</v>
      </c>
      <c r="IV44" s="20">
        <v>44</v>
      </c>
      <c r="IW44" s="20">
        <v>44</v>
      </c>
      <c r="IX44" s="20">
        <v>48</v>
      </c>
      <c r="IY44" s="20">
        <v>52</v>
      </c>
      <c r="IZ44" s="20">
        <v>56</v>
      </c>
      <c r="JA44" s="20">
        <v>56</v>
      </c>
      <c r="JB44" s="20">
        <v>60</v>
      </c>
      <c r="JC44" s="20">
        <v>64</v>
      </c>
      <c r="JD44" s="20">
        <v>68</v>
      </c>
      <c r="JE44" s="20">
        <v>68</v>
      </c>
      <c r="JF44" s="20">
        <v>72</v>
      </c>
    </row>
    <row r="45" spans="1:266" x14ac:dyDescent="0.25">
      <c r="A45" s="4"/>
      <c r="B45" s="6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21">
        <f>SUM(T25:T44)</f>
        <v>0</v>
      </c>
      <c r="U45" s="21">
        <f>SUM(U25:U44)</f>
        <v>0</v>
      </c>
      <c r="V45" s="19"/>
      <c r="W45" s="28" t="s">
        <v>93</v>
      </c>
      <c r="X45" s="28" t="s">
        <v>0</v>
      </c>
      <c r="Y45" s="220" t="s">
        <v>93</v>
      </c>
      <c r="Z45" s="220"/>
      <c r="AA45" s="220"/>
      <c r="AB45" s="220"/>
      <c r="AC45" s="220"/>
      <c r="AD45" s="220"/>
      <c r="AE45" s="19"/>
      <c r="AF45" s="19" t="s">
        <v>471</v>
      </c>
      <c r="AG45" s="19"/>
      <c r="AH45" s="19" t="s">
        <v>352</v>
      </c>
      <c r="AI45" s="19"/>
      <c r="AJ45" s="19">
        <v>2400</v>
      </c>
      <c r="AK45" s="19"/>
      <c r="AL45" s="19"/>
      <c r="AM45" s="19">
        <v>34</v>
      </c>
      <c r="AN45" s="19"/>
      <c r="AO45" s="19"/>
      <c r="AP45" s="19" t="s">
        <v>55</v>
      </c>
      <c r="AQ45" s="19" t="s">
        <v>13</v>
      </c>
      <c r="AS45" s="19">
        <v>34</v>
      </c>
      <c r="AT45" s="19" t="s">
        <v>34</v>
      </c>
      <c r="AU45" s="19"/>
      <c r="AV45" s="19" t="s">
        <v>84</v>
      </c>
      <c r="AW45" s="19" t="s">
        <v>84</v>
      </c>
      <c r="AX45" s="19"/>
      <c r="AY45" s="19"/>
      <c r="AZ45" s="19"/>
      <c r="BA45" s="26" t="s">
        <v>234</v>
      </c>
      <c r="BB45" s="19">
        <v>0</v>
      </c>
      <c r="BC45" s="19">
        <v>0</v>
      </c>
      <c r="BD45" s="19">
        <v>4</v>
      </c>
      <c r="BE45" s="19">
        <v>6</v>
      </c>
      <c r="BF45" s="19">
        <v>0</v>
      </c>
      <c r="BG45" s="19">
        <v>0</v>
      </c>
      <c r="BH45" s="19">
        <v>0</v>
      </c>
      <c r="BI45" s="19">
        <v>0</v>
      </c>
      <c r="BJ45" s="19">
        <v>0</v>
      </c>
      <c r="BK45" s="19">
        <v>0</v>
      </c>
      <c r="BL45" s="19">
        <v>0</v>
      </c>
      <c r="BM45" s="19">
        <v>0</v>
      </c>
      <c r="BN45" s="19">
        <v>0</v>
      </c>
      <c r="BO45" s="19">
        <v>0</v>
      </c>
      <c r="BP45" s="19">
        <v>0</v>
      </c>
      <c r="BQ45" s="19">
        <v>0</v>
      </c>
      <c r="BR45" s="19">
        <v>0</v>
      </c>
      <c r="BS45" s="19">
        <v>0</v>
      </c>
      <c r="BT45" s="19">
        <v>0</v>
      </c>
      <c r="BU45" s="19">
        <v>0</v>
      </c>
      <c r="BV45" s="19">
        <v>0</v>
      </c>
      <c r="BW45" s="19">
        <v>0</v>
      </c>
      <c r="BX45" s="19">
        <v>0</v>
      </c>
      <c r="BY45" s="19">
        <v>0</v>
      </c>
      <c r="BZ45" s="19">
        <v>0</v>
      </c>
      <c r="CA45" s="19">
        <v>0</v>
      </c>
      <c r="CB45" s="19">
        <v>0</v>
      </c>
      <c r="CC45" s="19">
        <v>0</v>
      </c>
      <c r="CD45" s="19">
        <v>0</v>
      </c>
      <c r="CE45" s="19">
        <v>0</v>
      </c>
      <c r="CF45" s="19">
        <v>0</v>
      </c>
      <c r="CG45" s="19">
        <v>0</v>
      </c>
      <c r="CH45" s="19">
        <v>0</v>
      </c>
      <c r="CI45" s="19">
        <v>0</v>
      </c>
      <c r="CJ45" s="19">
        <v>0</v>
      </c>
      <c r="CK45" s="19">
        <v>0</v>
      </c>
      <c r="CL45" s="19">
        <v>0</v>
      </c>
      <c r="CM45" s="19">
        <v>0</v>
      </c>
      <c r="CN45" s="19">
        <v>0</v>
      </c>
      <c r="CO45" s="19">
        <v>0</v>
      </c>
      <c r="CP45" s="19">
        <v>0</v>
      </c>
      <c r="CQ45" s="19">
        <v>0</v>
      </c>
      <c r="CR45" s="19">
        <v>0</v>
      </c>
      <c r="CS45" s="19">
        <v>0</v>
      </c>
      <c r="CT45" s="19">
        <v>0</v>
      </c>
      <c r="CU45" s="19">
        <v>0</v>
      </c>
      <c r="CV45" s="19">
        <v>0</v>
      </c>
      <c r="CW45" s="19">
        <v>0</v>
      </c>
      <c r="CX45" s="19">
        <v>0</v>
      </c>
      <c r="CY45" s="19">
        <v>0</v>
      </c>
      <c r="CZ45" s="19">
        <v>0</v>
      </c>
      <c r="DA45" s="17"/>
      <c r="DB45" s="17">
        <v>44</v>
      </c>
      <c r="DC45" s="17"/>
      <c r="DD45" s="19" t="s">
        <v>56</v>
      </c>
      <c r="DE45" s="19">
        <v>0</v>
      </c>
      <c r="DF45" s="19">
        <v>1</v>
      </c>
      <c r="DG45" s="19">
        <v>2</v>
      </c>
      <c r="DH45" s="19">
        <v>3</v>
      </c>
      <c r="DI45" s="19">
        <v>4</v>
      </c>
      <c r="DJ45" s="19">
        <v>5</v>
      </c>
      <c r="DK45" s="19">
        <v>6</v>
      </c>
      <c r="DL45" s="19">
        <v>7</v>
      </c>
      <c r="DM45" s="19">
        <v>8</v>
      </c>
      <c r="DN45" s="19">
        <v>9</v>
      </c>
      <c r="DO45" s="19">
        <v>10</v>
      </c>
      <c r="DP45" s="19">
        <v>11</v>
      </c>
      <c r="DQ45" s="19">
        <v>12</v>
      </c>
      <c r="DR45" s="19">
        <v>13</v>
      </c>
      <c r="DS45" s="19">
        <v>14</v>
      </c>
      <c r="DT45" s="19">
        <v>15</v>
      </c>
      <c r="DU45" s="19">
        <v>16</v>
      </c>
      <c r="DV45" s="19">
        <v>17</v>
      </c>
      <c r="DW45" s="19">
        <v>18</v>
      </c>
      <c r="DX45" s="19">
        <v>19</v>
      </c>
      <c r="DY45" s="19">
        <v>20</v>
      </c>
      <c r="DZ45" s="19"/>
      <c r="EA45" s="19"/>
      <c r="EB45" s="26" t="s">
        <v>234</v>
      </c>
      <c r="EC45" s="19">
        <v>0</v>
      </c>
      <c r="ED45" s="19">
        <v>0</v>
      </c>
      <c r="EE45" s="19">
        <v>0</v>
      </c>
      <c r="EF45" s="19">
        <v>0</v>
      </c>
      <c r="EG45" s="19">
        <v>0</v>
      </c>
      <c r="EH45" s="19">
        <v>0</v>
      </c>
      <c r="EI45" s="19">
        <v>0</v>
      </c>
      <c r="EJ45" s="19">
        <v>0</v>
      </c>
      <c r="EK45" s="19">
        <v>0</v>
      </c>
      <c r="EL45" s="19">
        <v>0</v>
      </c>
      <c r="EM45" s="19">
        <v>0</v>
      </c>
      <c r="EN45" s="19">
        <v>0</v>
      </c>
      <c r="EO45" s="19">
        <v>0</v>
      </c>
      <c r="EP45" s="19">
        <v>0</v>
      </c>
      <c r="EQ45" s="19">
        <v>0</v>
      </c>
      <c r="ER45" s="19">
        <v>0</v>
      </c>
      <c r="ES45" s="19">
        <v>0</v>
      </c>
      <c r="ET45" s="19">
        <v>0</v>
      </c>
      <c r="EU45" s="19">
        <v>0</v>
      </c>
      <c r="EV45" s="19">
        <v>0</v>
      </c>
      <c r="EW45" s="19">
        <v>0</v>
      </c>
      <c r="EX45" s="19">
        <v>0</v>
      </c>
      <c r="EY45" s="19">
        <v>0</v>
      </c>
      <c r="EZ45" s="19">
        <v>0</v>
      </c>
      <c r="FA45" s="19">
        <v>0</v>
      </c>
      <c r="FB45" s="19">
        <v>0</v>
      </c>
      <c r="FC45" s="19">
        <v>0</v>
      </c>
      <c r="FD45" s="19">
        <v>0</v>
      </c>
      <c r="FE45" s="19">
        <v>0</v>
      </c>
      <c r="FF45" s="19">
        <v>0</v>
      </c>
      <c r="FG45" s="19">
        <v>0</v>
      </c>
      <c r="FH45" s="19">
        <v>0</v>
      </c>
      <c r="FI45" s="19">
        <v>0</v>
      </c>
      <c r="FJ45" s="19">
        <v>0</v>
      </c>
      <c r="FK45" s="19">
        <v>0</v>
      </c>
      <c r="FL45" s="19">
        <v>0</v>
      </c>
      <c r="FM45" s="19">
        <v>0</v>
      </c>
      <c r="FN45" s="19">
        <v>0</v>
      </c>
      <c r="FO45" s="19">
        <v>0</v>
      </c>
      <c r="FP45" s="19">
        <v>0</v>
      </c>
      <c r="FQ45" s="19">
        <v>0</v>
      </c>
      <c r="FR45" s="19">
        <v>0</v>
      </c>
      <c r="FS45" s="19">
        <v>0</v>
      </c>
      <c r="FT45" s="19">
        <v>0</v>
      </c>
      <c r="FU45" s="19">
        <v>0</v>
      </c>
      <c r="FV45" s="19">
        <v>0</v>
      </c>
      <c r="FW45" s="19">
        <v>0</v>
      </c>
      <c r="FX45" s="19">
        <v>0</v>
      </c>
      <c r="FY45" s="19">
        <v>0</v>
      </c>
      <c r="FZ45" s="19">
        <v>0</v>
      </c>
      <c r="GA45" s="19">
        <v>0</v>
      </c>
      <c r="GC45" s="19"/>
      <c r="GD45" s="19"/>
      <c r="GE45" s="26" t="s">
        <v>234</v>
      </c>
      <c r="GF45" s="19">
        <v>0</v>
      </c>
      <c r="GG45" s="19">
        <v>0</v>
      </c>
      <c r="GH45" s="19">
        <v>0</v>
      </c>
      <c r="GI45" s="19">
        <v>0</v>
      </c>
      <c r="GJ45" s="19">
        <v>0</v>
      </c>
      <c r="GK45" s="19">
        <v>0</v>
      </c>
      <c r="GL45" s="19">
        <v>0</v>
      </c>
      <c r="GM45" s="19">
        <v>2</v>
      </c>
      <c r="GN45" s="19">
        <v>0</v>
      </c>
      <c r="GO45" s="19">
        <v>0</v>
      </c>
      <c r="GP45" s="19">
        <v>0</v>
      </c>
      <c r="GQ45" s="19">
        <v>0</v>
      </c>
      <c r="GR45" s="19">
        <v>0</v>
      </c>
      <c r="GS45" s="19">
        <v>0</v>
      </c>
      <c r="GT45" s="19">
        <v>0</v>
      </c>
      <c r="GU45" s="19">
        <v>0</v>
      </c>
      <c r="GV45" s="19">
        <v>0</v>
      </c>
      <c r="GW45" s="19">
        <v>0</v>
      </c>
      <c r="GX45" s="19">
        <v>0</v>
      </c>
      <c r="GY45" s="19">
        <v>0</v>
      </c>
      <c r="GZ45" s="19">
        <v>0</v>
      </c>
      <c r="HA45" s="19">
        <v>0</v>
      </c>
      <c r="HB45" s="19">
        <v>0</v>
      </c>
      <c r="HC45" s="19">
        <v>0</v>
      </c>
      <c r="HD45" s="19">
        <v>0</v>
      </c>
      <c r="HE45" s="19">
        <v>0</v>
      </c>
      <c r="HF45" s="19">
        <v>0</v>
      </c>
      <c r="HG45" s="19">
        <v>0</v>
      </c>
      <c r="HH45" s="19">
        <v>0</v>
      </c>
      <c r="HI45" s="19">
        <v>0</v>
      </c>
      <c r="HJ45" s="19">
        <v>0</v>
      </c>
      <c r="HK45" s="19">
        <v>0</v>
      </c>
      <c r="HL45" s="19">
        <v>0</v>
      </c>
      <c r="HM45" s="19">
        <v>0</v>
      </c>
      <c r="HN45" s="19">
        <v>0</v>
      </c>
      <c r="HO45" s="19">
        <v>0</v>
      </c>
      <c r="HP45" s="19">
        <v>0</v>
      </c>
      <c r="HQ45" s="19">
        <v>0</v>
      </c>
      <c r="HR45" s="19">
        <v>0</v>
      </c>
      <c r="HS45" s="19">
        <v>0</v>
      </c>
      <c r="HT45" s="19">
        <v>0</v>
      </c>
      <c r="HU45" s="19">
        <v>0</v>
      </c>
      <c r="HV45" s="19">
        <v>0</v>
      </c>
      <c r="HW45" s="19">
        <v>0</v>
      </c>
      <c r="HX45" s="19">
        <v>0</v>
      </c>
      <c r="HY45" s="19">
        <v>0</v>
      </c>
      <c r="HZ45" s="19">
        <v>0</v>
      </c>
      <c r="IA45" s="19">
        <v>0</v>
      </c>
      <c r="IB45" s="19">
        <v>0</v>
      </c>
      <c r="IC45" s="19">
        <v>0</v>
      </c>
      <c r="ID45" s="19">
        <v>0</v>
      </c>
      <c r="IF45" s="20" t="s">
        <v>234</v>
      </c>
      <c r="IG45" s="20">
        <v>0</v>
      </c>
      <c r="IH45" s="20">
        <v>0</v>
      </c>
      <c r="II45" s="20">
        <v>0</v>
      </c>
      <c r="IJ45" s="20">
        <v>0</v>
      </c>
      <c r="IK45" s="20">
        <v>2</v>
      </c>
      <c r="IL45" s="20">
        <v>0</v>
      </c>
      <c r="IM45" s="20">
        <v>0</v>
      </c>
      <c r="IN45" s="20">
        <v>2</v>
      </c>
      <c r="IO45" s="20">
        <v>0</v>
      </c>
      <c r="IP45" s="20">
        <v>0</v>
      </c>
      <c r="IQ45" s="20">
        <v>0</v>
      </c>
      <c r="IR45" s="20">
        <v>0</v>
      </c>
      <c r="IS45" s="20">
        <v>0</v>
      </c>
      <c r="IT45" s="20">
        <v>0</v>
      </c>
      <c r="IU45" s="20">
        <v>0</v>
      </c>
      <c r="IV45" s="20">
        <v>0</v>
      </c>
      <c r="IW45" s="20">
        <v>0</v>
      </c>
      <c r="IX45" s="20">
        <v>0</v>
      </c>
      <c r="IY45" s="20">
        <v>0</v>
      </c>
      <c r="IZ45" s="20">
        <v>0</v>
      </c>
      <c r="JA45" s="20">
        <v>0</v>
      </c>
      <c r="JB45" s="20">
        <v>0</v>
      </c>
      <c r="JC45" s="20">
        <v>0</v>
      </c>
      <c r="JD45" s="20">
        <v>0</v>
      </c>
      <c r="JE45" s="20">
        <v>0</v>
      </c>
      <c r="JF45" s="20">
        <v>0</v>
      </c>
    </row>
    <row r="46" spans="1:266" ht="39" x14ac:dyDescent="0.25">
      <c r="A46" s="3" t="s">
        <v>549</v>
      </c>
      <c r="B46" s="6"/>
      <c r="C46" s="3" t="s">
        <v>550</v>
      </c>
      <c r="D46" s="4"/>
      <c r="E46" s="4"/>
      <c r="F46" s="4"/>
      <c r="G46" s="4"/>
      <c r="H46" s="4"/>
      <c r="I46" s="4"/>
      <c r="J46" s="4"/>
      <c r="K46" s="4"/>
      <c r="L46" s="221" t="str">
        <f>IF(E50="vertikálne","KONŠTRUKCIA DS-V3N",IF(E50="horizontálne","KONŠTRUKCIA DS-H3N"))</f>
        <v>KONŠTRUKCIA DS-V3N</v>
      </c>
      <c r="M46" s="221"/>
      <c r="N46" s="221"/>
      <c r="O46" s="221"/>
      <c r="P46" s="221"/>
      <c r="Q46" s="221"/>
      <c r="R46" s="221"/>
      <c r="S46" s="221"/>
      <c r="T46" s="221"/>
      <c r="U46" s="221"/>
      <c r="V46" s="19"/>
      <c r="W46" s="25" t="str">
        <f>IF(E50="vertikálne",G48,IF(E50="horizontálne",E48,0))</f>
        <v>1000-1050</v>
      </c>
      <c r="X46" s="25">
        <f t="shared" ref="X46:X61" si="27">((IF($E$50=$AB$1,(IF(A47=0,0,IF(A47&gt;0,IF((((INT(((A47*$W$47)+((A47-1)*20)+80)/$E$49))-1)*$E$49)+500&gt;=((A47*$W$47)+((A47-1)*20)+80),(INT(((A47*$W$47)+((A47-1)*20)+80)/$E$49))*2,((INT(((A47*$W$47)+((A47-1)*20)+80)/$E$49))+1)*2)))),IF($E$50=$AB$2,(IF(A47=0,0,IF(A47&gt;0,IF((((INT(((A47*$W$48)+((A47-1)*20)+80)/$E$49))-1)*$E$49)+500&gt;=((A47*$W$48)+((A47-1)*20)+80),(INT(((A47*$W$48)+((A47-1)*20)+80)/$E$49))*2,((INT(((A47*$W$48)+((A47-1)*20)+80)/$E$49))+1)*2)))))))*C47)</f>
        <v>0</v>
      </c>
      <c r="Y46" s="28" t="s">
        <v>94</v>
      </c>
      <c r="Z46" s="28">
        <v>1.1499999999999999</v>
      </c>
      <c r="AA46" s="28">
        <v>2.1</v>
      </c>
      <c r="AB46" s="28">
        <v>2.2000000000000002</v>
      </c>
      <c r="AC46" s="28">
        <v>3.15</v>
      </c>
      <c r="AD46" s="28">
        <v>3.3</v>
      </c>
      <c r="AE46" s="19"/>
      <c r="AF46" s="19" t="s">
        <v>472</v>
      </c>
      <c r="AG46" s="19"/>
      <c r="AH46" s="19" t="s">
        <v>386</v>
      </c>
      <c r="AI46" s="19"/>
      <c r="AJ46" s="19">
        <v>2450</v>
      </c>
      <c r="AK46" s="19"/>
      <c r="AL46" s="19"/>
      <c r="AM46" s="19">
        <v>35</v>
      </c>
      <c r="AN46" s="19" t="s">
        <v>23</v>
      </c>
      <c r="AO46" s="19" t="s">
        <v>24</v>
      </c>
      <c r="AP46" s="19" t="s">
        <v>55</v>
      </c>
      <c r="AQ46" s="19" t="s">
        <v>13</v>
      </c>
      <c r="AS46" s="19">
        <v>35</v>
      </c>
      <c r="AT46" s="19" t="s">
        <v>35</v>
      </c>
      <c r="AU46" s="19" t="s">
        <v>36</v>
      </c>
      <c r="AV46" s="19" t="s">
        <v>84</v>
      </c>
      <c r="AW46" s="19" t="s">
        <v>84</v>
      </c>
      <c r="AX46" s="19"/>
      <c r="AY46" s="19"/>
      <c r="AZ46" s="19"/>
      <c r="BA46" s="26" t="s">
        <v>235</v>
      </c>
      <c r="BB46" s="19">
        <v>0</v>
      </c>
      <c r="BC46" s="19">
        <v>2</v>
      </c>
      <c r="BD46" s="19">
        <v>0</v>
      </c>
      <c r="BE46" s="19">
        <v>0</v>
      </c>
      <c r="BF46" s="19">
        <v>2</v>
      </c>
      <c r="BG46" s="19">
        <v>0</v>
      </c>
      <c r="BH46" s="19">
        <v>4</v>
      </c>
      <c r="BI46" s="19">
        <v>2</v>
      </c>
      <c r="BJ46" s="19">
        <v>0</v>
      </c>
      <c r="BK46" s="19">
        <v>4</v>
      </c>
      <c r="BL46" s="19">
        <v>2</v>
      </c>
      <c r="BM46" s="19">
        <v>0</v>
      </c>
      <c r="BN46" s="19">
        <v>4</v>
      </c>
      <c r="BO46" s="19">
        <v>2</v>
      </c>
      <c r="BP46" s="19">
        <v>0</v>
      </c>
      <c r="BQ46" s="19">
        <v>0</v>
      </c>
      <c r="BR46" s="19">
        <v>2</v>
      </c>
      <c r="BS46" s="19">
        <v>0</v>
      </c>
      <c r="BT46" s="19">
        <v>4</v>
      </c>
      <c r="BU46" s="19">
        <v>0</v>
      </c>
      <c r="BV46" s="19">
        <v>0</v>
      </c>
      <c r="BW46" s="19">
        <v>2</v>
      </c>
      <c r="BX46" s="19">
        <v>0</v>
      </c>
      <c r="BY46" s="19">
        <v>0</v>
      </c>
      <c r="BZ46" s="19">
        <v>0</v>
      </c>
      <c r="CA46" s="19">
        <v>0</v>
      </c>
      <c r="CB46" s="19">
        <v>0</v>
      </c>
      <c r="CC46" s="19">
        <v>4</v>
      </c>
      <c r="CD46" s="19">
        <v>0</v>
      </c>
      <c r="CE46" s="19">
        <v>0</v>
      </c>
      <c r="CF46" s="19">
        <v>0</v>
      </c>
      <c r="CG46" s="19">
        <v>0</v>
      </c>
      <c r="CH46" s="19">
        <v>0</v>
      </c>
      <c r="CI46" s="19">
        <v>2</v>
      </c>
      <c r="CJ46" s="19">
        <v>0</v>
      </c>
      <c r="CK46" s="19">
        <v>0</v>
      </c>
      <c r="CL46" s="19">
        <v>0</v>
      </c>
      <c r="CM46" s="19">
        <v>0</v>
      </c>
      <c r="CN46" s="19">
        <v>0</v>
      </c>
      <c r="CO46" s="19">
        <v>0</v>
      </c>
      <c r="CP46" s="19">
        <v>0</v>
      </c>
      <c r="CQ46" s="19">
        <v>0</v>
      </c>
      <c r="CR46" s="19">
        <v>4</v>
      </c>
      <c r="CS46" s="19">
        <v>0</v>
      </c>
      <c r="CT46" s="19">
        <v>0</v>
      </c>
      <c r="CU46" s="19">
        <v>0</v>
      </c>
      <c r="CV46" s="19">
        <v>0</v>
      </c>
      <c r="CW46" s="19">
        <v>0</v>
      </c>
      <c r="CX46" s="19">
        <v>0</v>
      </c>
      <c r="CY46" s="19">
        <v>0</v>
      </c>
      <c r="CZ46" s="19">
        <v>0</v>
      </c>
      <c r="DA46" s="17"/>
      <c r="DB46" s="17">
        <v>45</v>
      </c>
      <c r="DC46" s="17"/>
      <c r="DD46" s="19" t="s">
        <v>64</v>
      </c>
      <c r="DE46" s="19">
        <v>0</v>
      </c>
      <c r="DF46" s="19">
        <v>2</v>
      </c>
      <c r="DG46" s="19">
        <v>4</v>
      </c>
      <c r="DH46" s="19">
        <v>2</v>
      </c>
      <c r="DI46" s="19">
        <v>4</v>
      </c>
      <c r="DJ46" s="19">
        <v>2</v>
      </c>
      <c r="DK46" s="19">
        <v>4</v>
      </c>
      <c r="DL46" s="19">
        <v>2</v>
      </c>
      <c r="DM46" s="19">
        <v>4</v>
      </c>
      <c r="DN46" s="19">
        <v>2</v>
      </c>
      <c r="DO46" s="19">
        <v>4</v>
      </c>
      <c r="DP46" s="19">
        <v>2</v>
      </c>
      <c r="DQ46" s="19">
        <v>4</v>
      </c>
      <c r="DR46" s="19">
        <v>2</v>
      </c>
      <c r="DS46" s="19">
        <v>4</v>
      </c>
      <c r="DT46" s="19">
        <v>2</v>
      </c>
      <c r="DU46" s="19">
        <v>4</v>
      </c>
      <c r="DV46" s="19">
        <v>2</v>
      </c>
      <c r="DW46" s="19">
        <v>4</v>
      </c>
      <c r="DX46" s="19">
        <v>2</v>
      </c>
      <c r="DY46" s="19">
        <v>4</v>
      </c>
      <c r="DZ46" s="19"/>
      <c r="EA46" s="19"/>
      <c r="EB46" s="26" t="s">
        <v>235</v>
      </c>
      <c r="EC46" s="19">
        <v>0</v>
      </c>
      <c r="ED46" s="19">
        <v>2</v>
      </c>
      <c r="EE46" s="19">
        <v>4</v>
      </c>
      <c r="EF46" s="19">
        <v>2</v>
      </c>
      <c r="EG46" s="19">
        <v>4</v>
      </c>
      <c r="EH46" s="19">
        <v>0</v>
      </c>
      <c r="EI46" s="19">
        <v>2</v>
      </c>
      <c r="EJ46" s="19">
        <v>0</v>
      </c>
      <c r="EK46" s="19">
        <v>0</v>
      </c>
      <c r="EL46" s="19">
        <v>0</v>
      </c>
      <c r="EM46" s="19">
        <v>2</v>
      </c>
      <c r="EN46" s="19">
        <v>0</v>
      </c>
      <c r="EO46" s="19">
        <v>2</v>
      </c>
      <c r="EP46" s="19">
        <v>0</v>
      </c>
      <c r="EQ46" s="19">
        <v>2</v>
      </c>
      <c r="ER46" s="19">
        <v>4</v>
      </c>
      <c r="ES46" s="19">
        <v>0</v>
      </c>
      <c r="ET46" s="19">
        <v>4</v>
      </c>
      <c r="EU46" s="19">
        <v>0</v>
      </c>
      <c r="EV46" s="19">
        <v>0</v>
      </c>
      <c r="EW46" s="19">
        <v>0</v>
      </c>
      <c r="EX46" s="19">
        <v>0</v>
      </c>
      <c r="EY46" s="19">
        <v>0</v>
      </c>
      <c r="EZ46" s="19">
        <v>0</v>
      </c>
      <c r="FA46" s="19">
        <v>0</v>
      </c>
      <c r="FB46" s="19">
        <v>0</v>
      </c>
      <c r="FC46" s="19">
        <v>0</v>
      </c>
      <c r="FD46" s="19">
        <v>0</v>
      </c>
      <c r="FE46" s="19">
        <v>2</v>
      </c>
      <c r="FF46" s="19">
        <v>0</v>
      </c>
      <c r="FG46" s="19">
        <v>0</v>
      </c>
      <c r="FH46" s="19">
        <v>0</v>
      </c>
      <c r="FI46" s="19">
        <v>4</v>
      </c>
      <c r="FJ46" s="19">
        <v>0</v>
      </c>
      <c r="FK46" s="19">
        <v>0</v>
      </c>
      <c r="FL46" s="19">
        <v>0</v>
      </c>
      <c r="FM46" s="19">
        <v>0</v>
      </c>
      <c r="FN46" s="19">
        <v>0</v>
      </c>
      <c r="FO46" s="19">
        <v>0</v>
      </c>
      <c r="FP46" s="19">
        <v>0</v>
      </c>
      <c r="FQ46" s="19">
        <v>0</v>
      </c>
      <c r="FR46" s="19">
        <v>0</v>
      </c>
      <c r="FS46" s="19">
        <v>0</v>
      </c>
      <c r="FT46" s="19">
        <v>0</v>
      </c>
      <c r="FU46" s="19">
        <v>0</v>
      </c>
      <c r="FV46" s="19">
        <v>0</v>
      </c>
      <c r="FW46" s="19">
        <v>0</v>
      </c>
      <c r="FX46" s="19">
        <v>4</v>
      </c>
      <c r="FY46" s="19">
        <v>0</v>
      </c>
      <c r="FZ46" s="19">
        <v>0</v>
      </c>
      <c r="GA46" s="19">
        <v>0</v>
      </c>
      <c r="GC46" s="19"/>
      <c r="GD46" s="19"/>
      <c r="GE46" s="26" t="s">
        <v>235</v>
      </c>
      <c r="GF46" s="19">
        <v>0</v>
      </c>
      <c r="GG46" s="19">
        <v>2</v>
      </c>
      <c r="GH46" s="19">
        <v>4</v>
      </c>
      <c r="GI46" s="19">
        <v>0</v>
      </c>
      <c r="GJ46" s="19">
        <v>2</v>
      </c>
      <c r="GK46" s="19">
        <v>4</v>
      </c>
      <c r="GL46" s="19">
        <v>0</v>
      </c>
      <c r="GM46" s="19">
        <v>0</v>
      </c>
      <c r="GN46" s="19">
        <v>0</v>
      </c>
      <c r="GO46" s="19">
        <v>0</v>
      </c>
      <c r="GP46" s="19">
        <v>0</v>
      </c>
      <c r="GQ46" s="19">
        <v>0</v>
      </c>
      <c r="GR46" s="19">
        <v>0</v>
      </c>
      <c r="GS46" s="19">
        <v>0</v>
      </c>
      <c r="GT46" s="19">
        <v>0</v>
      </c>
      <c r="GU46" s="19">
        <v>0</v>
      </c>
      <c r="GV46" s="19">
        <v>0</v>
      </c>
      <c r="GW46" s="19">
        <v>0</v>
      </c>
      <c r="GX46" s="19">
        <v>2</v>
      </c>
      <c r="GY46" s="19">
        <v>0</v>
      </c>
      <c r="GZ46" s="19">
        <v>2</v>
      </c>
      <c r="HA46" s="19">
        <v>0</v>
      </c>
      <c r="HB46" s="19">
        <v>0</v>
      </c>
      <c r="HC46" s="19">
        <v>2</v>
      </c>
      <c r="HD46" s="19">
        <v>0</v>
      </c>
      <c r="HE46" s="19">
        <v>0</v>
      </c>
      <c r="HF46" s="19">
        <v>0</v>
      </c>
      <c r="HG46" s="19">
        <v>0</v>
      </c>
      <c r="HH46" s="19">
        <v>0</v>
      </c>
      <c r="HI46" s="19">
        <v>0</v>
      </c>
      <c r="HJ46" s="19">
        <v>0</v>
      </c>
      <c r="HK46" s="19">
        <v>0</v>
      </c>
      <c r="HL46" s="19">
        <v>0</v>
      </c>
      <c r="HM46" s="19">
        <v>0</v>
      </c>
      <c r="HN46" s="19">
        <v>0</v>
      </c>
      <c r="HO46" s="19">
        <v>0</v>
      </c>
      <c r="HP46" s="19">
        <v>0</v>
      </c>
      <c r="HQ46" s="19">
        <v>0</v>
      </c>
      <c r="HR46" s="19">
        <v>0</v>
      </c>
      <c r="HS46" s="19">
        <v>0</v>
      </c>
      <c r="HT46" s="19">
        <v>0</v>
      </c>
      <c r="HU46" s="19">
        <v>0</v>
      </c>
      <c r="HV46" s="19">
        <v>0</v>
      </c>
      <c r="HW46" s="19">
        <v>0</v>
      </c>
      <c r="HX46" s="19">
        <v>0</v>
      </c>
      <c r="HY46" s="19">
        <v>0</v>
      </c>
      <c r="HZ46" s="19">
        <v>0</v>
      </c>
      <c r="IA46" s="19">
        <v>0</v>
      </c>
      <c r="IB46" s="19">
        <v>0</v>
      </c>
      <c r="IC46" s="19">
        <v>0</v>
      </c>
      <c r="ID46" s="19">
        <v>0</v>
      </c>
      <c r="IF46" s="20" t="s">
        <v>235</v>
      </c>
      <c r="IG46" s="20">
        <v>0</v>
      </c>
      <c r="IH46" s="20">
        <v>0</v>
      </c>
      <c r="II46" s="20">
        <v>2</v>
      </c>
      <c r="IJ46" s="20">
        <v>0</v>
      </c>
      <c r="IK46" s="20">
        <v>0</v>
      </c>
      <c r="IL46" s="20">
        <v>0</v>
      </c>
      <c r="IM46" s="20">
        <v>2</v>
      </c>
      <c r="IN46" s="20">
        <v>0</v>
      </c>
      <c r="IO46" s="20">
        <v>4</v>
      </c>
      <c r="IP46" s="20">
        <v>0</v>
      </c>
      <c r="IQ46" s="20">
        <v>0</v>
      </c>
      <c r="IR46" s="20">
        <v>0</v>
      </c>
      <c r="IS46" s="20">
        <v>0</v>
      </c>
      <c r="IT46" s="20">
        <v>0</v>
      </c>
      <c r="IU46" s="20">
        <v>0</v>
      </c>
      <c r="IV46" s="20">
        <v>0</v>
      </c>
      <c r="IW46" s="20">
        <v>0</v>
      </c>
      <c r="IX46" s="20">
        <v>0</v>
      </c>
      <c r="IY46" s="20">
        <v>0</v>
      </c>
      <c r="IZ46" s="20">
        <v>0</v>
      </c>
      <c r="JA46" s="20">
        <v>0</v>
      </c>
      <c r="JB46" s="20">
        <v>0</v>
      </c>
      <c r="JC46" s="20">
        <v>0</v>
      </c>
      <c r="JD46" s="20">
        <v>0</v>
      </c>
      <c r="JE46" s="20">
        <v>0</v>
      </c>
      <c r="JF46" s="20">
        <v>0</v>
      </c>
    </row>
    <row r="47" spans="1:266" x14ac:dyDescent="0.25">
      <c r="A47" s="8"/>
      <c r="B47" s="5" t="s">
        <v>61</v>
      </c>
      <c r="C47" s="8"/>
      <c r="D47" s="4"/>
      <c r="E47" s="4"/>
      <c r="F47" s="4"/>
      <c r="G47" s="4"/>
      <c r="H47" s="4"/>
      <c r="I47" s="4"/>
      <c r="J47" s="4"/>
      <c r="K47" s="4"/>
      <c r="L47" s="5" t="s">
        <v>53</v>
      </c>
      <c r="M47" s="5" t="s">
        <v>559</v>
      </c>
      <c r="N47" s="5" t="s">
        <v>436</v>
      </c>
      <c r="O47" s="5" t="s">
        <v>442</v>
      </c>
      <c r="P47" s="5" t="s">
        <v>443</v>
      </c>
      <c r="Q47" s="5" t="s">
        <v>444</v>
      </c>
      <c r="R47" s="5" t="s">
        <v>445</v>
      </c>
      <c r="S47" s="5" t="s">
        <v>446</v>
      </c>
      <c r="T47" s="5" t="s">
        <v>447</v>
      </c>
      <c r="U47" s="5" t="s">
        <v>438</v>
      </c>
      <c r="V47" s="19" t="s">
        <v>395</v>
      </c>
      <c r="W47" s="19">
        <f>IF(G48=$AH$22,$AJ$22,IF(G48=$AH$23,$AJ$23,IF(G48=$AH$24,$AJ$24,IF(G48=$AH$25,$AJ$25,IF(G48=$AH$26,$AJ$26,IF(G48=$AH$27,$AJ$27,IF(G48=$AH$28,$AJ$28,IF(G48=$AH$29,$AJ$29,0))))))))</f>
        <v>1050</v>
      </c>
      <c r="X47" s="25">
        <f t="shared" si="27"/>
        <v>0</v>
      </c>
      <c r="Y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47,$BB$2:$CA$2,0),MATCH($W$46,$AH$22:$AH$47,0)))*C47</f>
        <v>0</v>
      </c>
      <c r="Z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47,$BB$2:$CA$2,0),MATCH($W$46,$AH$22:$AH$47,0)))*C47</f>
        <v>0</v>
      </c>
      <c r="AA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47,$BB$2:$CA$2,0),MATCH($W$46,$AH$22:$AH$47,0)))*C47</f>
        <v>0</v>
      </c>
      <c r="AB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47,$BB$2:$CA$2,0),MATCH($W$46,$AH$22:$AH$47,0)))*C47</f>
        <v>0</v>
      </c>
      <c r="AC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47,$BB$2:$CA$2,0),MATCH($W$46,$AH$22:$AH$47,0)))*C47</f>
        <v>0</v>
      </c>
      <c r="AD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47,$BB$2:$CA$2,0),MATCH($W$46,$AH$22:$AH$47,0)))*C47</f>
        <v>0</v>
      </c>
      <c r="AE47" s="19"/>
      <c r="AF47" s="19"/>
      <c r="AG47" s="19"/>
      <c r="AH47" s="19" t="s">
        <v>387</v>
      </c>
      <c r="AI47" s="19"/>
      <c r="AJ47" s="19">
        <v>2500</v>
      </c>
      <c r="AK47" s="19"/>
      <c r="AL47" s="19"/>
      <c r="AM47" s="19">
        <v>38</v>
      </c>
      <c r="AN47" s="19" t="s">
        <v>25</v>
      </c>
      <c r="AO47" s="19"/>
      <c r="AP47" s="19" t="s">
        <v>55</v>
      </c>
      <c r="AQ47" s="19" t="s">
        <v>13</v>
      </c>
      <c r="AS47" s="19">
        <v>38</v>
      </c>
      <c r="AT47" s="19" t="s">
        <v>37</v>
      </c>
      <c r="AU47" s="19"/>
      <c r="AV47" s="19" t="s">
        <v>84</v>
      </c>
      <c r="AW47" s="19" t="s">
        <v>84</v>
      </c>
      <c r="AX47" s="19"/>
      <c r="AY47" s="19"/>
      <c r="AZ47" s="19"/>
      <c r="BA47" s="26" t="s">
        <v>236</v>
      </c>
      <c r="BB47" s="19">
        <v>0</v>
      </c>
      <c r="BC47" s="19">
        <v>0</v>
      </c>
      <c r="BD47" s="19">
        <v>0</v>
      </c>
      <c r="BE47" s="19">
        <v>0</v>
      </c>
      <c r="BF47" s="19">
        <v>0</v>
      </c>
      <c r="BG47" s="19">
        <v>0</v>
      </c>
      <c r="BH47" s="19">
        <v>0</v>
      </c>
      <c r="BI47" s="19">
        <v>0</v>
      </c>
      <c r="BJ47" s="19">
        <v>0</v>
      </c>
      <c r="BK47" s="19">
        <v>0</v>
      </c>
      <c r="BL47" s="19">
        <v>0</v>
      </c>
      <c r="BM47" s="19">
        <v>0</v>
      </c>
      <c r="BN47" s="19">
        <v>0</v>
      </c>
      <c r="BO47" s="19">
        <v>0</v>
      </c>
      <c r="BP47" s="19">
        <v>0</v>
      </c>
      <c r="BQ47" s="19">
        <v>4</v>
      </c>
      <c r="BR47" s="19">
        <v>0</v>
      </c>
      <c r="BS47" s="19">
        <v>0</v>
      </c>
      <c r="BT47" s="19">
        <v>0</v>
      </c>
      <c r="BU47" s="19">
        <v>2</v>
      </c>
      <c r="BV47" s="19">
        <v>0</v>
      </c>
      <c r="BW47" s="19">
        <v>2</v>
      </c>
      <c r="BX47" s="19">
        <v>2</v>
      </c>
      <c r="BY47" s="19">
        <v>0</v>
      </c>
      <c r="BZ47" s="19">
        <v>4</v>
      </c>
      <c r="CA47" s="19">
        <v>2</v>
      </c>
      <c r="CB47" s="19">
        <v>0</v>
      </c>
      <c r="CC47" s="19">
        <v>0</v>
      </c>
      <c r="CD47" s="19">
        <v>0</v>
      </c>
      <c r="CE47" s="19">
        <v>0</v>
      </c>
      <c r="CF47" s="19">
        <v>2</v>
      </c>
      <c r="CG47" s="19">
        <v>0</v>
      </c>
      <c r="CH47" s="19">
        <v>0</v>
      </c>
      <c r="CI47" s="19">
        <v>0</v>
      </c>
      <c r="CJ47" s="19">
        <v>2</v>
      </c>
      <c r="CK47" s="19">
        <v>0</v>
      </c>
      <c r="CL47" s="19">
        <v>2</v>
      </c>
      <c r="CM47" s="19">
        <v>2</v>
      </c>
      <c r="CN47" s="19">
        <v>0</v>
      </c>
      <c r="CO47" s="19">
        <v>0</v>
      </c>
      <c r="CP47" s="19">
        <v>0</v>
      </c>
      <c r="CQ47" s="19">
        <v>0</v>
      </c>
      <c r="CR47" s="19">
        <v>0</v>
      </c>
      <c r="CS47" s="19">
        <v>0</v>
      </c>
      <c r="CT47" s="19">
        <v>0</v>
      </c>
      <c r="CU47" s="19">
        <v>2</v>
      </c>
      <c r="CV47" s="19">
        <v>0</v>
      </c>
      <c r="CW47" s="19">
        <v>0</v>
      </c>
      <c r="CX47" s="19">
        <v>0</v>
      </c>
      <c r="CY47" s="19">
        <v>0</v>
      </c>
      <c r="CZ47" s="19">
        <v>0</v>
      </c>
      <c r="DA47" s="17"/>
      <c r="DB47" s="17">
        <v>46</v>
      </c>
      <c r="DC47" s="17"/>
      <c r="DD47" s="19" t="s">
        <v>18</v>
      </c>
      <c r="DE47" s="19">
        <v>0</v>
      </c>
      <c r="DF47" s="19">
        <v>0</v>
      </c>
      <c r="DG47" s="19">
        <v>0</v>
      </c>
      <c r="DH47" s="19">
        <v>2</v>
      </c>
      <c r="DI47" s="19">
        <v>2</v>
      </c>
      <c r="DJ47" s="19">
        <v>4</v>
      </c>
      <c r="DK47" s="19">
        <v>4</v>
      </c>
      <c r="DL47" s="19">
        <v>6</v>
      </c>
      <c r="DM47" s="19">
        <v>6</v>
      </c>
      <c r="DN47" s="19">
        <v>8</v>
      </c>
      <c r="DO47" s="19">
        <v>8</v>
      </c>
      <c r="DP47" s="19">
        <v>10</v>
      </c>
      <c r="DQ47" s="19">
        <v>10</v>
      </c>
      <c r="DR47" s="19">
        <v>12</v>
      </c>
      <c r="DS47" s="19">
        <v>12</v>
      </c>
      <c r="DT47" s="19">
        <v>14</v>
      </c>
      <c r="DU47" s="19">
        <v>14</v>
      </c>
      <c r="DV47" s="19">
        <v>16</v>
      </c>
      <c r="DW47" s="19">
        <v>16</v>
      </c>
      <c r="DX47" s="19">
        <v>18</v>
      </c>
      <c r="DY47" s="19">
        <v>18</v>
      </c>
      <c r="DZ47" s="19"/>
      <c r="EA47" s="19"/>
      <c r="EB47" s="26" t="s">
        <v>236</v>
      </c>
      <c r="EC47" s="19">
        <v>0</v>
      </c>
      <c r="ED47" s="19">
        <v>0</v>
      </c>
      <c r="EE47" s="19">
        <v>0</v>
      </c>
      <c r="EF47" s="19">
        <v>0</v>
      </c>
      <c r="EG47" s="19">
        <v>0</v>
      </c>
      <c r="EH47" s="19">
        <v>0</v>
      </c>
      <c r="EI47" s="19">
        <v>2</v>
      </c>
      <c r="EJ47" s="19">
        <v>0</v>
      </c>
      <c r="EK47" s="19">
        <v>4</v>
      </c>
      <c r="EL47" s="19">
        <v>0</v>
      </c>
      <c r="EM47" s="19">
        <v>0</v>
      </c>
      <c r="EN47" s="19">
        <v>0</v>
      </c>
      <c r="EO47" s="19">
        <v>0</v>
      </c>
      <c r="EP47" s="19">
        <v>0</v>
      </c>
      <c r="EQ47" s="19">
        <v>0</v>
      </c>
      <c r="ER47" s="19">
        <v>0</v>
      </c>
      <c r="ES47" s="19">
        <v>0</v>
      </c>
      <c r="ET47" s="19">
        <v>0</v>
      </c>
      <c r="EU47" s="19">
        <v>0</v>
      </c>
      <c r="EV47" s="19">
        <v>2</v>
      </c>
      <c r="EW47" s="19">
        <v>0</v>
      </c>
      <c r="EX47" s="19">
        <v>2</v>
      </c>
      <c r="EY47" s="19">
        <v>0</v>
      </c>
      <c r="EZ47" s="19">
        <v>0</v>
      </c>
      <c r="FA47" s="19">
        <v>0</v>
      </c>
      <c r="FB47" s="19">
        <v>0</v>
      </c>
      <c r="FC47" s="19">
        <v>0</v>
      </c>
      <c r="FD47" s="19">
        <v>0</v>
      </c>
      <c r="FE47" s="19">
        <v>0</v>
      </c>
      <c r="FF47" s="19">
        <v>0</v>
      </c>
      <c r="FG47" s="19">
        <v>2</v>
      </c>
      <c r="FH47" s="19">
        <v>0</v>
      </c>
      <c r="FI47" s="19">
        <v>0</v>
      </c>
      <c r="FJ47" s="19">
        <v>0</v>
      </c>
      <c r="FK47" s="19">
        <v>0</v>
      </c>
      <c r="FL47" s="19">
        <v>0</v>
      </c>
      <c r="FM47" s="19">
        <v>0</v>
      </c>
      <c r="FN47" s="19">
        <v>0</v>
      </c>
      <c r="FO47" s="19">
        <v>0</v>
      </c>
      <c r="FP47" s="19">
        <v>0</v>
      </c>
      <c r="FQ47" s="19">
        <v>0</v>
      </c>
      <c r="FR47" s="19">
        <v>0</v>
      </c>
      <c r="FS47" s="19">
        <v>0</v>
      </c>
      <c r="FT47" s="19">
        <v>2</v>
      </c>
      <c r="FU47" s="19">
        <v>0</v>
      </c>
      <c r="FV47" s="19">
        <v>2</v>
      </c>
      <c r="FW47" s="19">
        <v>0</v>
      </c>
      <c r="FX47" s="19">
        <v>0</v>
      </c>
      <c r="FY47" s="19">
        <v>0</v>
      </c>
      <c r="FZ47" s="19">
        <v>0</v>
      </c>
      <c r="GA47" s="19">
        <v>0</v>
      </c>
      <c r="GC47" s="19"/>
      <c r="GD47" s="19"/>
      <c r="GE47" s="26" t="s">
        <v>236</v>
      </c>
      <c r="GF47" s="19">
        <v>0</v>
      </c>
      <c r="GG47" s="19">
        <v>0</v>
      </c>
      <c r="GH47" s="19">
        <v>0</v>
      </c>
      <c r="GI47" s="19">
        <v>0</v>
      </c>
      <c r="GJ47" s="19">
        <v>0</v>
      </c>
      <c r="GK47" s="19">
        <v>0</v>
      </c>
      <c r="GL47" s="19">
        <v>0</v>
      </c>
      <c r="GM47" s="19">
        <v>0</v>
      </c>
      <c r="GN47" s="19">
        <v>0</v>
      </c>
      <c r="GO47" s="19">
        <v>2</v>
      </c>
      <c r="GP47" s="19">
        <v>4</v>
      </c>
      <c r="GQ47" s="19">
        <v>0</v>
      </c>
      <c r="GR47" s="19">
        <v>2</v>
      </c>
      <c r="GS47" s="19">
        <v>0</v>
      </c>
      <c r="GT47" s="19">
        <v>2</v>
      </c>
      <c r="GU47" s="19">
        <v>2</v>
      </c>
      <c r="GV47" s="19">
        <v>0</v>
      </c>
      <c r="GW47" s="19">
        <v>0</v>
      </c>
      <c r="GX47" s="19">
        <v>0</v>
      </c>
      <c r="GY47" s="19">
        <v>0</v>
      </c>
      <c r="GZ47" s="19">
        <v>0</v>
      </c>
      <c r="HA47" s="19">
        <v>0</v>
      </c>
      <c r="HB47" s="19">
        <v>2</v>
      </c>
      <c r="HC47" s="19">
        <v>0</v>
      </c>
      <c r="HD47" s="19">
        <v>0</v>
      </c>
      <c r="HE47" s="19">
        <v>0</v>
      </c>
      <c r="HF47" s="19">
        <v>0</v>
      </c>
      <c r="HG47" s="19">
        <v>0</v>
      </c>
      <c r="HH47" s="19">
        <v>0</v>
      </c>
      <c r="HI47" s="19">
        <v>0</v>
      </c>
      <c r="HJ47" s="19">
        <v>0</v>
      </c>
      <c r="HK47" s="19">
        <v>0</v>
      </c>
      <c r="HL47" s="19">
        <v>0</v>
      </c>
      <c r="HM47" s="19">
        <v>0</v>
      </c>
      <c r="HN47" s="19">
        <v>0</v>
      </c>
      <c r="HO47" s="19">
        <v>0</v>
      </c>
      <c r="HP47" s="19">
        <v>0</v>
      </c>
      <c r="HQ47" s="19">
        <v>2</v>
      </c>
      <c r="HR47" s="19">
        <v>0</v>
      </c>
      <c r="HS47" s="19">
        <v>0</v>
      </c>
      <c r="HT47" s="19">
        <v>0</v>
      </c>
      <c r="HU47" s="19">
        <v>0</v>
      </c>
      <c r="HV47" s="19">
        <v>0</v>
      </c>
      <c r="HW47" s="19">
        <v>0</v>
      </c>
      <c r="HX47" s="19">
        <v>0</v>
      </c>
      <c r="HY47" s="19">
        <v>0</v>
      </c>
      <c r="HZ47" s="19">
        <v>0</v>
      </c>
      <c r="IA47" s="19">
        <v>0</v>
      </c>
      <c r="IB47" s="19">
        <v>0</v>
      </c>
      <c r="IC47" s="19">
        <v>2</v>
      </c>
      <c r="ID47" s="19">
        <v>0</v>
      </c>
      <c r="IF47" s="20" t="s">
        <v>236</v>
      </c>
      <c r="IG47" s="20">
        <v>0</v>
      </c>
      <c r="IH47" s="20">
        <v>0</v>
      </c>
      <c r="II47" s="20">
        <v>0</v>
      </c>
      <c r="IJ47" s="20">
        <v>4</v>
      </c>
      <c r="IK47" s="20">
        <v>2</v>
      </c>
      <c r="IL47" s="20">
        <v>0</v>
      </c>
      <c r="IM47" s="20">
        <v>0</v>
      </c>
      <c r="IN47" s="20">
        <v>0</v>
      </c>
      <c r="IO47" s="20">
        <v>0</v>
      </c>
      <c r="IP47" s="20">
        <v>0</v>
      </c>
      <c r="IQ47" s="20">
        <v>2</v>
      </c>
      <c r="IR47" s="20">
        <v>2</v>
      </c>
      <c r="IS47" s="20">
        <v>0</v>
      </c>
      <c r="IT47" s="20">
        <v>0</v>
      </c>
      <c r="IU47" s="20">
        <v>0</v>
      </c>
      <c r="IV47" s="20">
        <v>2</v>
      </c>
      <c r="IW47" s="20">
        <v>0</v>
      </c>
      <c r="IX47" s="20">
        <v>0</v>
      </c>
      <c r="IY47" s="20">
        <v>2</v>
      </c>
      <c r="IZ47" s="20">
        <v>0</v>
      </c>
      <c r="JA47" s="20">
        <v>0</v>
      </c>
      <c r="JB47" s="20">
        <v>0</v>
      </c>
      <c r="JC47" s="20">
        <v>2</v>
      </c>
      <c r="JD47" s="20">
        <v>2</v>
      </c>
      <c r="JE47" s="20">
        <v>0</v>
      </c>
      <c r="JF47" s="20">
        <v>0</v>
      </c>
    </row>
    <row r="48" spans="1:266" x14ac:dyDescent="0.25">
      <c r="A48" s="8"/>
      <c r="B48" s="5" t="s">
        <v>61</v>
      </c>
      <c r="C48" s="8"/>
      <c r="D48" s="6" t="s">
        <v>452</v>
      </c>
      <c r="E48" s="8" t="s">
        <v>196</v>
      </c>
      <c r="F48" s="5" t="s">
        <v>61</v>
      </c>
      <c r="G48" s="8" t="s">
        <v>60</v>
      </c>
      <c r="H48" s="5" t="s">
        <v>61</v>
      </c>
      <c r="I48" s="8">
        <v>30</v>
      </c>
      <c r="J48" s="5" t="s">
        <v>62</v>
      </c>
      <c r="K48" s="4"/>
      <c r="L48" s="6" t="str">
        <f>IF($E$55=$AK$22,"PAL40H40/1,15",IF($E$55=$AK$23,"PAL30H32/1,15","-------"))</f>
        <v>PAL40H40/1,15</v>
      </c>
      <c r="M48" s="14">
        <f>INDEX(cenník!$C$2:$I$568,MATCH($L48,cenník!$B$2:$B$557,0),MATCH(M$24,cenník!$C$1:$I$1,0))</f>
        <v>894510</v>
      </c>
      <c r="N48" s="14" t="str">
        <f>INDEX(cenník!$C$2:$I$568,MATCH($L48,cenník!$B$2:$B$557,0),MATCH(N$24,cenník!$C$1:$I$1,0))</f>
        <v>ks</v>
      </c>
      <c r="O48" s="14">
        <f>IF(L48="-------",0,SUM(Z47:Z62))</f>
        <v>0</v>
      </c>
      <c r="P48" s="21">
        <f>INDEX(cenník!$C$2:$I$568,MATCH($L48,cenník!$B$2:$B$557,0),MATCH(P$24,cenník!$C$1:$I$1,0))</f>
        <v>11.08</v>
      </c>
      <c r="Q48" s="21">
        <f>O48*P48</f>
        <v>0</v>
      </c>
      <c r="R48" s="22">
        <f t="shared" ref="R48:R66" si="28">$E$53</f>
        <v>0</v>
      </c>
      <c r="S48" s="21">
        <f t="shared" ref="S48:S66" si="29">P48*((100-$E$53)/100)</f>
        <v>11.08</v>
      </c>
      <c r="T48" s="21">
        <f>O48*S48</f>
        <v>0</v>
      </c>
      <c r="U48" s="21">
        <f>INDEX(cenník!$C$2:$I$568,MATCH($L48,cenník!$B$2:$B$557,0),MATCH(U$24,cenník!$C$1:$I$1,0))*O48</f>
        <v>0</v>
      </c>
      <c r="V48" s="19" t="s">
        <v>396</v>
      </c>
      <c r="W48" s="19">
        <f>IF(E48=$AH$30,$AJ$30,IF(E48=$AH$31,$AJ$31,IF(E48=$AH$32,$AJ$32,IF(E48=$AH$33,$AJ$33,IF(E48=$AH$34,$AJ$34,IF(E48=$AH$35,$AJ$35,IF(E48=$AH$36,$AJ$36,IF(E48=$AH$37,$AJ$37,IF(E48=$AH$38,$AJ$38,IF(E48=$AH$39,$AJ$39,IF(E48=$AH$40,$AJ$40,IF(E48=$AH$41,$AJ$41,IF(E48=$AH$42,$AJ$42,IF(E48=$AH$43,$AJ$43,IF(E48=$AH$44,$AJ$44,IF(E48=$AH$45,$AJ$45,IF(E48=$AH$46,$AJ$46,IF(E48=$AH$47,$AJ$47,0))))))))))))))))))</f>
        <v>1900</v>
      </c>
      <c r="X48" s="25">
        <f t="shared" si="27"/>
        <v>0</v>
      </c>
      <c r="Y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48,$BB$2:$CA$2,0),MATCH($W$46,$AH$22:$AH$47,0)))*C48</f>
        <v>0</v>
      </c>
      <c r="Z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48,$BB$2:$CA$2,0),MATCH($W$46,$AH$22:$AH$47,0)))*C48</f>
        <v>0</v>
      </c>
      <c r="AA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48,$BB$2:$CA$2,0),MATCH($W$46,$AH$22:$AH$47,0)))*C48</f>
        <v>0</v>
      </c>
      <c r="AB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48,$BB$2:$CA$2,0),MATCH($W$46,$AH$22:$AH$47,0)))*C48</f>
        <v>0</v>
      </c>
      <c r="AC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48,$BB$2:$CA$2,0),MATCH($W$46,$AH$22:$AH$47,0)))*C48</f>
        <v>0</v>
      </c>
      <c r="AD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48,$BB$2:$CA$2,0),MATCH($W$46,$AH$22:$AH$47,0)))*C48</f>
        <v>0</v>
      </c>
      <c r="AE48" s="19"/>
      <c r="AF48" s="19"/>
      <c r="AG48" s="19"/>
      <c r="AH48" s="19"/>
      <c r="AI48" s="19"/>
      <c r="AJ48" s="19"/>
      <c r="AK48" s="19"/>
      <c r="AL48" s="19"/>
      <c r="AM48" s="19">
        <v>40</v>
      </c>
      <c r="AN48" s="19" t="s">
        <v>26</v>
      </c>
      <c r="AO48" s="19" t="s">
        <v>27</v>
      </c>
      <c r="AP48" s="19" t="s">
        <v>54</v>
      </c>
      <c r="AQ48" s="19" t="s">
        <v>13</v>
      </c>
      <c r="AS48" s="19">
        <v>40</v>
      </c>
      <c r="AT48" s="19" t="s">
        <v>38</v>
      </c>
      <c r="AU48" s="19" t="s">
        <v>39</v>
      </c>
      <c r="AV48" s="19" t="s">
        <v>84</v>
      </c>
      <c r="AW48" s="19" t="s">
        <v>84</v>
      </c>
      <c r="AX48" s="19"/>
      <c r="AY48" s="19"/>
      <c r="AZ48" s="19"/>
      <c r="BA48" s="26" t="s">
        <v>237</v>
      </c>
      <c r="BB48" s="19">
        <v>0</v>
      </c>
      <c r="BC48" s="19">
        <v>0</v>
      </c>
      <c r="BD48" s="19">
        <v>0</v>
      </c>
      <c r="BE48" s="19">
        <v>0</v>
      </c>
      <c r="BF48" s="19">
        <v>2</v>
      </c>
      <c r="BG48" s="19">
        <v>4</v>
      </c>
      <c r="BH48" s="19">
        <v>2</v>
      </c>
      <c r="BI48" s="19">
        <v>4</v>
      </c>
      <c r="BJ48" s="19">
        <v>6</v>
      </c>
      <c r="BK48" s="19">
        <v>4</v>
      </c>
      <c r="BL48" s="19">
        <v>6</v>
      </c>
      <c r="BM48" s="19">
        <v>8</v>
      </c>
      <c r="BN48" s="19">
        <v>6</v>
      </c>
      <c r="BO48" s="19">
        <v>8</v>
      </c>
      <c r="BP48" s="19">
        <v>8</v>
      </c>
      <c r="BQ48" s="19">
        <v>8</v>
      </c>
      <c r="BR48" s="19">
        <v>6</v>
      </c>
      <c r="BS48" s="19">
        <v>8</v>
      </c>
      <c r="BT48" s="19">
        <v>4</v>
      </c>
      <c r="BU48" s="19">
        <v>6</v>
      </c>
      <c r="BV48" s="19">
        <v>6</v>
      </c>
      <c r="BW48" s="19">
        <v>4</v>
      </c>
      <c r="BX48" s="19">
        <v>8</v>
      </c>
      <c r="BY48" s="19">
        <v>6</v>
      </c>
      <c r="BZ48" s="19">
        <v>4</v>
      </c>
      <c r="CA48" s="19">
        <v>4</v>
      </c>
      <c r="CB48" s="19">
        <v>4</v>
      </c>
      <c r="CC48" s="19">
        <v>4</v>
      </c>
      <c r="CD48" s="19">
        <v>18</v>
      </c>
      <c r="CE48" s="19">
        <v>2</v>
      </c>
      <c r="CF48" s="19">
        <v>16</v>
      </c>
      <c r="CG48" s="19">
        <v>16</v>
      </c>
      <c r="CH48" s="19">
        <v>2</v>
      </c>
      <c r="CI48" s="19">
        <v>14</v>
      </c>
      <c r="CJ48" s="19">
        <v>0</v>
      </c>
      <c r="CK48" s="19">
        <v>0</v>
      </c>
      <c r="CL48" s="19">
        <v>14</v>
      </c>
      <c r="CM48" s="19">
        <v>4</v>
      </c>
      <c r="CN48" s="19">
        <v>0</v>
      </c>
      <c r="CO48" s="19">
        <v>28</v>
      </c>
      <c r="CP48" s="19">
        <v>12</v>
      </c>
      <c r="CQ48" s="19">
        <v>0</v>
      </c>
      <c r="CR48" s="19">
        <v>0</v>
      </c>
      <c r="CS48" s="19">
        <v>12</v>
      </c>
      <c r="CT48" s="19">
        <v>0</v>
      </c>
      <c r="CU48" s="19">
        <v>10</v>
      </c>
      <c r="CV48" s="19">
        <v>10</v>
      </c>
      <c r="CW48" s="19">
        <v>0</v>
      </c>
      <c r="CX48" s="19">
        <v>24</v>
      </c>
      <c r="CY48" s="19">
        <v>8</v>
      </c>
      <c r="CZ48" s="19">
        <v>0</v>
      </c>
      <c r="DA48" s="17"/>
      <c r="DB48" s="17">
        <v>47</v>
      </c>
      <c r="DC48" s="17"/>
      <c r="DD48" s="19" t="s">
        <v>179</v>
      </c>
      <c r="DE48" s="19">
        <v>0</v>
      </c>
      <c r="DF48" s="19">
        <v>0</v>
      </c>
      <c r="DG48" s="19">
        <v>4</v>
      </c>
      <c r="DH48" s="19">
        <v>4</v>
      </c>
      <c r="DI48" s="19">
        <v>8</v>
      </c>
      <c r="DJ48" s="19">
        <v>8</v>
      </c>
      <c r="DK48" s="19">
        <v>12</v>
      </c>
      <c r="DL48" s="19">
        <v>12</v>
      </c>
      <c r="DM48" s="19">
        <v>16</v>
      </c>
      <c r="DN48" s="19">
        <v>16</v>
      </c>
      <c r="DO48" s="19">
        <v>20</v>
      </c>
      <c r="DP48" s="19">
        <v>20</v>
      </c>
      <c r="DQ48" s="19">
        <v>24</v>
      </c>
      <c r="DR48" s="19">
        <v>24</v>
      </c>
      <c r="DS48" s="19">
        <v>28</v>
      </c>
      <c r="DT48" s="19">
        <v>28</v>
      </c>
      <c r="DU48" s="19">
        <v>32</v>
      </c>
      <c r="DV48" s="19">
        <v>32</v>
      </c>
      <c r="DW48" s="19">
        <v>36</v>
      </c>
      <c r="DX48" s="19">
        <v>36</v>
      </c>
      <c r="DY48" s="19">
        <v>40</v>
      </c>
      <c r="DZ48" s="19"/>
      <c r="EA48" s="19"/>
      <c r="EB48" s="26" t="s">
        <v>237</v>
      </c>
      <c r="EC48" s="19">
        <v>0</v>
      </c>
      <c r="ED48" s="19">
        <v>0</v>
      </c>
      <c r="EE48" s="19">
        <v>0</v>
      </c>
      <c r="EF48" s="19">
        <v>0</v>
      </c>
      <c r="EG48" s="19">
        <v>2</v>
      </c>
      <c r="EH48" s="19">
        <v>6</v>
      </c>
      <c r="EI48" s="19">
        <v>2</v>
      </c>
      <c r="EJ48" s="19">
        <v>8</v>
      </c>
      <c r="EK48" s="19">
        <v>0</v>
      </c>
      <c r="EL48" s="19">
        <v>6</v>
      </c>
      <c r="EM48" s="19">
        <v>10</v>
      </c>
      <c r="EN48" s="19">
        <v>2</v>
      </c>
      <c r="EO48" s="19">
        <v>8</v>
      </c>
      <c r="EP48" s="19">
        <v>0</v>
      </c>
      <c r="EQ48" s="19">
        <v>2</v>
      </c>
      <c r="ER48" s="19">
        <v>6</v>
      </c>
      <c r="ES48" s="19">
        <v>14</v>
      </c>
      <c r="ET48" s="19">
        <v>6</v>
      </c>
      <c r="EU48" s="19">
        <v>10</v>
      </c>
      <c r="EV48" s="19">
        <v>16</v>
      </c>
      <c r="EW48" s="19">
        <v>8</v>
      </c>
      <c r="EX48" s="19">
        <v>12</v>
      </c>
      <c r="EY48" s="19">
        <v>4</v>
      </c>
      <c r="EZ48" s="19">
        <v>24</v>
      </c>
      <c r="FA48" s="19">
        <v>0</v>
      </c>
      <c r="FB48" s="19">
        <v>20</v>
      </c>
      <c r="FC48" s="19">
        <v>0</v>
      </c>
      <c r="FD48" s="19">
        <v>16</v>
      </c>
      <c r="FE48" s="19">
        <v>20</v>
      </c>
      <c r="FF48" s="19">
        <v>12</v>
      </c>
      <c r="FG48" s="19">
        <v>18</v>
      </c>
      <c r="FH48" s="19">
        <v>10</v>
      </c>
      <c r="FI48" s="19">
        <v>4</v>
      </c>
      <c r="FJ48" s="19">
        <v>6</v>
      </c>
      <c r="FK48" s="19">
        <v>26</v>
      </c>
      <c r="FL48" s="19">
        <v>2</v>
      </c>
      <c r="FM48" s="19">
        <v>22</v>
      </c>
      <c r="FN48" s="19">
        <v>0</v>
      </c>
      <c r="FO48" s="19">
        <v>18</v>
      </c>
      <c r="FP48" s="19">
        <v>0</v>
      </c>
      <c r="FQ48" s="19">
        <v>14</v>
      </c>
      <c r="FR48" s="19">
        <v>34</v>
      </c>
      <c r="FS48" s="19">
        <v>10</v>
      </c>
      <c r="FT48" s="19">
        <v>16</v>
      </c>
      <c r="FU48" s="19">
        <v>8</v>
      </c>
      <c r="FV48" s="19">
        <v>12</v>
      </c>
      <c r="FW48" s="19">
        <v>4</v>
      </c>
      <c r="FX48" s="19">
        <v>2</v>
      </c>
      <c r="FY48" s="19">
        <v>0</v>
      </c>
      <c r="FZ48" s="19">
        <v>20</v>
      </c>
      <c r="GA48" s="19">
        <v>0</v>
      </c>
      <c r="GC48" s="19"/>
      <c r="GD48" s="19"/>
      <c r="GE48" s="26" t="s">
        <v>237</v>
      </c>
      <c r="GF48" s="19">
        <v>0</v>
      </c>
      <c r="GG48" s="19">
        <v>0</v>
      </c>
      <c r="GH48" s="19">
        <v>0</v>
      </c>
      <c r="GI48" s="19">
        <v>4</v>
      </c>
      <c r="GJ48" s="19">
        <v>4</v>
      </c>
      <c r="GK48" s="19">
        <v>4</v>
      </c>
      <c r="GL48" s="19">
        <v>8</v>
      </c>
      <c r="GM48" s="19">
        <v>2</v>
      </c>
      <c r="GN48" s="19">
        <v>2</v>
      </c>
      <c r="GO48" s="19">
        <v>4</v>
      </c>
      <c r="GP48" s="19">
        <v>6</v>
      </c>
      <c r="GQ48" s="19">
        <v>8</v>
      </c>
      <c r="GR48" s="19">
        <v>10</v>
      </c>
      <c r="GS48" s="19">
        <v>0</v>
      </c>
      <c r="GT48" s="19">
        <v>0</v>
      </c>
      <c r="GU48" s="19">
        <v>18</v>
      </c>
      <c r="GV48" s="19">
        <v>4</v>
      </c>
      <c r="GW48" s="19">
        <v>22</v>
      </c>
      <c r="GX48" s="19">
        <v>22</v>
      </c>
      <c r="GY48" s="19">
        <v>12</v>
      </c>
      <c r="GZ48" s="19">
        <v>12</v>
      </c>
      <c r="HA48" s="19">
        <v>0</v>
      </c>
      <c r="HB48" s="19">
        <v>8</v>
      </c>
      <c r="HC48" s="19">
        <v>18</v>
      </c>
      <c r="HD48" s="19">
        <v>8</v>
      </c>
      <c r="HE48" s="19">
        <v>24</v>
      </c>
      <c r="HF48" s="19">
        <v>0</v>
      </c>
      <c r="HG48" s="19">
        <v>14</v>
      </c>
      <c r="HH48" s="19">
        <v>30</v>
      </c>
      <c r="HI48" s="19">
        <v>4</v>
      </c>
      <c r="HJ48" s="19">
        <v>20</v>
      </c>
      <c r="HK48" s="19">
        <v>0</v>
      </c>
      <c r="HL48" s="19">
        <v>10</v>
      </c>
      <c r="HM48" s="19">
        <v>26</v>
      </c>
      <c r="HN48" s="19">
        <v>0</v>
      </c>
      <c r="HO48" s="19">
        <v>16</v>
      </c>
      <c r="HP48" s="19">
        <v>32</v>
      </c>
      <c r="HQ48" s="19">
        <v>0</v>
      </c>
      <c r="HR48" s="19">
        <v>22</v>
      </c>
      <c r="HS48" s="19">
        <v>0</v>
      </c>
      <c r="HT48" s="19">
        <v>12</v>
      </c>
      <c r="HU48" s="19">
        <v>28</v>
      </c>
      <c r="HV48" s="19">
        <v>2</v>
      </c>
      <c r="HW48" s="19">
        <v>18</v>
      </c>
      <c r="HX48" s="19">
        <v>0</v>
      </c>
      <c r="HY48" s="19">
        <v>8</v>
      </c>
      <c r="HZ48" s="19">
        <v>24</v>
      </c>
      <c r="IA48" s="19">
        <v>0</v>
      </c>
      <c r="IB48" s="19">
        <v>14</v>
      </c>
      <c r="IC48" s="19">
        <v>16</v>
      </c>
      <c r="ID48" s="19">
        <v>4</v>
      </c>
      <c r="IF48" s="20" t="s">
        <v>237</v>
      </c>
      <c r="IG48" s="20">
        <v>0</v>
      </c>
      <c r="IH48" s="20">
        <v>2</v>
      </c>
      <c r="II48" s="20">
        <v>2</v>
      </c>
      <c r="IJ48" s="20">
        <v>2</v>
      </c>
      <c r="IK48" s="20">
        <v>0</v>
      </c>
      <c r="IL48" s="20">
        <v>8</v>
      </c>
      <c r="IM48" s="20">
        <v>4</v>
      </c>
      <c r="IN48" s="20">
        <v>4</v>
      </c>
      <c r="IO48" s="20">
        <v>10</v>
      </c>
      <c r="IP48" s="20">
        <v>8</v>
      </c>
      <c r="IQ48" s="20">
        <v>4</v>
      </c>
      <c r="IR48" s="20">
        <v>16</v>
      </c>
      <c r="IS48" s="20">
        <v>0</v>
      </c>
      <c r="IT48" s="20">
        <v>8</v>
      </c>
      <c r="IU48" s="20">
        <v>18</v>
      </c>
      <c r="IV48" s="20">
        <v>14</v>
      </c>
      <c r="IW48" s="20">
        <v>0</v>
      </c>
      <c r="IX48" s="20">
        <v>6</v>
      </c>
      <c r="IY48" s="20">
        <v>2</v>
      </c>
      <c r="IZ48" s="20">
        <v>28</v>
      </c>
      <c r="JA48" s="20">
        <v>0</v>
      </c>
      <c r="JB48" s="20">
        <v>6</v>
      </c>
      <c r="JC48" s="20">
        <v>8</v>
      </c>
      <c r="JD48" s="20">
        <v>12</v>
      </c>
      <c r="JE48" s="20">
        <v>0</v>
      </c>
      <c r="JF48" s="20">
        <v>4</v>
      </c>
    </row>
    <row r="49" spans="1:266" x14ac:dyDescent="0.25">
      <c r="A49" s="8"/>
      <c r="B49" s="5" t="s">
        <v>61</v>
      </c>
      <c r="C49" s="8"/>
      <c r="D49" s="6" t="s">
        <v>453</v>
      </c>
      <c r="E49" s="8">
        <v>800</v>
      </c>
      <c r="F49" s="5"/>
      <c r="G49" s="5"/>
      <c r="H49" s="5"/>
      <c r="I49" s="5"/>
      <c r="J49" s="5" t="s">
        <v>62</v>
      </c>
      <c r="K49" s="4"/>
      <c r="L49" s="6" t="str">
        <f>IF($E$55=$AK$22,"PAL40H40/2,1",IF($E$55=$AK$23,"PAL30H32/2,1","-------"))</f>
        <v>PAL40H40/2,1</v>
      </c>
      <c r="M49" s="14">
        <f>INDEX(cenník!$C$2:$I$568,MATCH($L49,cenník!$B$2:$B$557,0),MATCH(M$24,cenník!$C$1:$I$1,0))</f>
        <v>894621</v>
      </c>
      <c r="N49" s="14" t="str">
        <f>INDEX(cenník!$C$2:$I$568,MATCH($L49,cenník!$B$2:$B$557,0),MATCH(N$24,cenník!$C$1:$I$1,0))</f>
        <v>ks</v>
      </c>
      <c r="O49" s="14">
        <f>IF(L49="-------",0,SUM(AA47:AA62))</f>
        <v>0</v>
      </c>
      <c r="P49" s="21">
        <f>INDEX(cenník!$C$2:$I$568,MATCH($L49,cenník!$B$2:$B$557,0),MATCH(P$24,cenník!$C$1:$I$1,0))</f>
        <v>20.05</v>
      </c>
      <c r="Q49" s="21">
        <f>O49*P49</f>
        <v>0</v>
      </c>
      <c r="R49" s="22">
        <f t="shared" si="28"/>
        <v>0</v>
      </c>
      <c r="S49" s="21">
        <f t="shared" si="29"/>
        <v>20.05</v>
      </c>
      <c r="T49" s="21">
        <f t="shared" ref="T49:T64" si="30">O49*S49</f>
        <v>0</v>
      </c>
      <c r="U49" s="21">
        <f>INDEX(cenník!$C$2:$I$568,MATCH($L49,cenník!$B$2:$B$557,0),MATCH(U$24,cenník!$C$1:$I$1,0))*O49</f>
        <v>0</v>
      </c>
      <c r="V49" s="19"/>
      <c r="W49" s="19"/>
      <c r="X49" s="25">
        <f t="shared" si="27"/>
        <v>0</v>
      </c>
      <c r="Y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49,$BB$2:$CA$2,0),MATCH($W$46,$AH$22:$AH$47,0)))*C49</f>
        <v>0</v>
      </c>
      <c r="Z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49,$BB$2:$CA$2,0),MATCH($W$46,$AH$22:$AH$47,0)))*C49</f>
        <v>0</v>
      </c>
      <c r="AA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49,$BB$2:$CA$2,0),MATCH($W$46,$AH$22:$AH$47,0)))*C49</f>
        <v>0</v>
      </c>
      <c r="AB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49,$BB$2:$CA$2,0),MATCH($W$46,$AH$22:$AH$47,0)))*C49</f>
        <v>0</v>
      </c>
      <c r="AC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49,$BB$2:$CA$2,0),MATCH($W$46,$AH$22:$AH$47,0)))*C49</f>
        <v>0</v>
      </c>
      <c r="AD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49,$BB$2:$CA$2,0),MATCH($W$46,$AH$22:$AH$47,0)))*C49</f>
        <v>0</v>
      </c>
      <c r="AE49" s="19"/>
      <c r="AF49" s="19"/>
      <c r="AG49" s="19"/>
      <c r="AH49" s="19"/>
      <c r="AI49" s="19"/>
      <c r="AJ49" s="19"/>
      <c r="AK49" s="19"/>
      <c r="AL49" s="19"/>
      <c r="AM49" s="19">
        <v>42</v>
      </c>
      <c r="AN49" s="19" t="s">
        <v>28</v>
      </c>
      <c r="AO49" s="19"/>
      <c r="AP49" s="19" t="s">
        <v>54</v>
      </c>
      <c r="AQ49" s="19" t="s">
        <v>13</v>
      </c>
      <c r="AS49" s="19">
        <v>42</v>
      </c>
      <c r="AT49" s="19" t="s">
        <v>40</v>
      </c>
      <c r="AU49" s="19"/>
      <c r="AV49" s="19" t="s">
        <v>84</v>
      </c>
      <c r="AW49" s="19" t="s">
        <v>84</v>
      </c>
      <c r="AX49" s="19"/>
      <c r="AY49" s="19"/>
      <c r="AZ49" s="19"/>
      <c r="BA49" s="26" t="s">
        <v>238</v>
      </c>
      <c r="BB49" s="19">
        <v>0</v>
      </c>
      <c r="BC49" s="19">
        <v>0</v>
      </c>
      <c r="BD49" s="19">
        <v>0</v>
      </c>
      <c r="BE49" s="19">
        <v>0</v>
      </c>
      <c r="BF49" s="19">
        <v>0</v>
      </c>
      <c r="BG49" s="19">
        <v>0</v>
      </c>
      <c r="BH49" s="19">
        <v>0</v>
      </c>
      <c r="BI49" s="19">
        <v>0</v>
      </c>
      <c r="BJ49" s="19">
        <v>0</v>
      </c>
      <c r="BK49" s="19">
        <v>0</v>
      </c>
      <c r="BL49" s="19">
        <v>0</v>
      </c>
      <c r="BM49" s="19">
        <v>0</v>
      </c>
      <c r="BN49" s="19">
        <v>0</v>
      </c>
      <c r="BO49" s="19">
        <v>0</v>
      </c>
      <c r="BP49" s="19">
        <v>2</v>
      </c>
      <c r="BQ49" s="19">
        <v>0</v>
      </c>
      <c r="BR49" s="19">
        <v>4</v>
      </c>
      <c r="BS49" s="19">
        <v>4</v>
      </c>
      <c r="BT49" s="19">
        <v>6</v>
      </c>
      <c r="BU49" s="19">
        <v>6</v>
      </c>
      <c r="BV49" s="19">
        <v>8</v>
      </c>
      <c r="BW49" s="19">
        <v>8</v>
      </c>
      <c r="BX49" s="19">
        <v>6</v>
      </c>
      <c r="BY49" s="19">
        <v>10</v>
      </c>
      <c r="BZ49" s="19">
        <v>10</v>
      </c>
      <c r="CA49" s="19">
        <v>12</v>
      </c>
      <c r="CB49" s="19">
        <v>14</v>
      </c>
      <c r="CC49" s="19">
        <v>12</v>
      </c>
      <c r="CD49" s="19">
        <v>2</v>
      </c>
      <c r="CE49" s="19">
        <v>18</v>
      </c>
      <c r="CF49" s="19">
        <v>4</v>
      </c>
      <c r="CG49" s="19">
        <v>6</v>
      </c>
      <c r="CH49" s="19">
        <v>20</v>
      </c>
      <c r="CI49" s="19">
        <v>8</v>
      </c>
      <c r="CJ49" s="19">
        <v>22</v>
      </c>
      <c r="CK49" s="19">
        <v>24</v>
      </c>
      <c r="CL49" s="19">
        <v>10</v>
      </c>
      <c r="CM49" s="19">
        <v>20</v>
      </c>
      <c r="CN49" s="19">
        <v>26</v>
      </c>
      <c r="CO49" s="19">
        <v>0</v>
      </c>
      <c r="CP49" s="19">
        <v>16</v>
      </c>
      <c r="CQ49" s="19">
        <v>28</v>
      </c>
      <c r="CR49" s="19">
        <v>26</v>
      </c>
      <c r="CS49" s="19">
        <v>18</v>
      </c>
      <c r="CT49" s="19">
        <v>30</v>
      </c>
      <c r="CU49" s="19">
        <v>20</v>
      </c>
      <c r="CV49" s="19">
        <v>22</v>
      </c>
      <c r="CW49" s="19">
        <v>32</v>
      </c>
      <c r="CX49" s="19">
        <v>10</v>
      </c>
      <c r="CY49" s="19">
        <v>26</v>
      </c>
      <c r="CZ49" s="19">
        <v>34</v>
      </c>
      <c r="DA49" s="17"/>
      <c r="DB49" s="17">
        <v>48</v>
      </c>
      <c r="DC49" s="17"/>
      <c r="DD49" s="19" t="s">
        <v>236</v>
      </c>
      <c r="DE49" s="19">
        <v>0</v>
      </c>
      <c r="DF49" s="19">
        <v>2</v>
      </c>
      <c r="DG49" s="19">
        <v>4</v>
      </c>
      <c r="DH49" s="19">
        <v>2</v>
      </c>
      <c r="DI49" s="19">
        <v>4</v>
      </c>
      <c r="DJ49" s="19">
        <v>2</v>
      </c>
      <c r="DK49" s="19">
        <v>4</v>
      </c>
      <c r="DL49" s="19">
        <v>2</v>
      </c>
      <c r="DM49" s="19">
        <v>4</v>
      </c>
      <c r="DN49" s="19">
        <v>2</v>
      </c>
      <c r="DO49" s="19">
        <v>4</v>
      </c>
      <c r="DP49" s="19">
        <v>2</v>
      </c>
      <c r="DQ49" s="19">
        <v>4</v>
      </c>
      <c r="DR49" s="19">
        <v>2</v>
      </c>
      <c r="DS49" s="19">
        <v>4</v>
      </c>
      <c r="DT49" s="19">
        <v>2</v>
      </c>
      <c r="DU49" s="19">
        <v>4</v>
      </c>
      <c r="DV49" s="19">
        <v>2</v>
      </c>
      <c r="DW49" s="19">
        <v>4</v>
      </c>
      <c r="DX49" s="19">
        <v>2</v>
      </c>
      <c r="DY49" s="19">
        <v>4</v>
      </c>
      <c r="DZ49" s="19"/>
      <c r="EA49" s="19"/>
      <c r="EB49" s="26" t="s">
        <v>238</v>
      </c>
      <c r="EC49" s="19">
        <v>0</v>
      </c>
      <c r="ED49" s="19">
        <v>0</v>
      </c>
      <c r="EE49" s="19">
        <v>0</v>
      </c>
      <c r="EF49" s="19">
        <v>2</v>
      </c>
      <c r="EG49" s="19">
        <v>0</v>
      </c>
      <c r="EH49" s="19">
        <v>0</v>
      </c>
      <c r="EI49" s="19">
        <v>2</v>
      </c>
      <c r="EJ49" s="19">
        <v>0</v>
      </c>
      <c r="EK49" s="19">
        <v>6</v>
      </c>
      <c r="EL49" s="19">
        <v>4</v>
      </c>
      <c r="EM49" s="19">
        <v>0</v>
      </c>
      <c r="EN49" s="19">
        <v>10</v>
      </c>
      <c r="EO49" s="19">
        <v>4</v>
      </c>
      <c r="EP49" s="19">
        <v>14</v>
      </c>
      <c r="EQ49" s="19">
        <v>12</v>
      </c>
      <c r="ER49" s="19">
        <v>8</v>
      </c>
      <c r="ES49" s="19">
        <v>4</v>
      </c>
      <c r="ET49" s="19">
        <v>10</v>
      </c>
      <c r="EU49" s="19">
        <v>10</v>
      </c>
      <c r="EV49" s="19">
        <v>4</v>
      </c>
      <c r="EW49" s="19">
        <v>14</v>
      </c>
      <c r="EX49" s="19">
        <v>10</v>
      </c>
      <c r="EY49" s="19">
        <v>20</v>
      </c>
      <c r="EZ49" s="19">
        <v>2</v>
      </c>
      <c r="FA49" s="19">
        <v>26</v>
      </c>
      <c r="FB49" s="19">
        <v>8</v>
      </c>
      <c r="FC49" s="19">
        <v>28</v>
      </c>
      <c r="FD49" s="19">
        <v>14</v>
      </c>
      <c r="FE49" s="19">
        <v>10</v>
      </c>
      <c r="FF49" s="19">
        <v>20</v>
      </c>
      <c r="FG49" s="19">
        <v>14</v>
      </c>
      <c r="FH49" s="19">
        <v>24</v>
      </c>
      <c r="FI49" s="19">
        <v>28</v>
      </c>
      <c r="FJ49" s="19">
        <v>30</v>
      </c>
      <c r="FK49" s="19">
        <v>12</v>
      </c>
      <c r="FL49" s="19">
        <v>36</v>
      </c>
      <c r="FM49" s="19">
        <v>18</v>
      </c>
      <c r="FN49" s="19">
        <v>40</v>
      </c>
      <c r="FO49" s="19">
        <v>24</v>
      </c>
      <c r="FP49" s="19">
        <v>42</v>
      </c>
      <c r="FQ49" s="19">
        <v>30</v>
      </c>
      <c r="FR49" s="19">
        <v>12</v>
      </c>
      <c r="FS49" s="19">
        <v>36</v>
      </c>
      <c r="FT49" s="19">
        <v>30</v>
      </c>
      <c r="FU49" s="19">
        <v>40</v>
      </c>
      <c r="FV49" s="19">
        <v>36</v>
      </c>
      <c r="FW49" s="19">
        <v>46</v>
      </c>
      <c r="FX49" s="19">
        <v>46</v>
      </c>
      <c r="FY49" s="19">
        <v>52</v>
      </c>
      <c r="FZ49" s="19">
        <v>34</v>
      </c>
      <c r="GA49" s="19">
        <v>54</v>
      </c>
      <c r="GC49" s="19"/>
      <c r="GD49" s="19"/>
      <c r="GE49" s="26" t="s">
        <v>238</v>
      </c>
      <c r="GF49" s="19">
        <v>0</v>
      </c>
      <c r="GG49" s="19">
        <v>0</v>
      </c>
      <c r="GH49" s="19">
        <v>0</v>
      </c>
      <c r="GI49" s="19">
        <v>0</v>
      </c>
      <c r="GJ49" s="19">
        <v>0</v>
      </c>
      <c r="GK49" s="19">
        <v>0</v>
      </c>
      <c r="GL49" s="19">
        <v>0</v>
      </c>
      <c r="GM49" s="19">
        <v>6</v>
      </c>
      <c r="GN49" s="19">
        <v>8</v>
      </c>
      <c r="GO49" s="19">
        <v>6</v>
      </c>
      <c r="GP49" s="19">
        <v>4</v>
      </c>
      <c r="GQ49" s="19">
        <v>6</v>
      </c>
      <c r="GR49" s="19">
        <v>4</v>
      </c>
      <c r="GS49" s="19">
        <v>16</v>
      </c>
      <c r="GT49" s="19">
        <v>16</v>
      </c>
      <c r="GU49" s="19">
        <v>0</v>
      </c>
      <c r="GV49" s="19">
        <v>16</v>
      </c>
      <c r="GW49" s="19">
        <v>0</v>
      </c>
      <c r="GX49" s="19">
        <v>0</v>
      </c>
      <c r="GY49" s="19">
        <v>12</v>
      </c>
      <c r="GZ49" s="19">
        <v>12</v>
      </c>
      <c r="HA49" s="19">
        <v>26</v>
      </c>
      <c r="HB49" s="19">
        <v>18</v>
      </c>
      <c r="HC49" s="19">
        <v>10</v>
      </c>
      <c r="HD49" s="19">
        <v>22</v>
      </c>
      <c r="HE49" s="19">
        <v>8</v>
      </c>
      <c r="HF49" s="19">
        <v>32</v>
      </c>
      <c r="HG49" s="19">
        <v>20</v>
      </c>
      <c r="HH49" s="19">
        <v>6</v>
      </c>
      <c r="HI49" s="19">
        <v>32</v>
      </c>
      <c r="HJ49" s="19">
        <v>18</v>
      </c>
      <c r="HK49" s="19">
        <v>38</v>
      </c>
      <c r="HL49" s="19">
        <v>30</v>
      </c>
      <c r="HM49" s="19">
        <v>16</v>
      </c>
      <c r="HN49" s="19">
        <v>42</v>
      </c>
      <c r="HO49" s="19">
        <v>28</v>
      </c>
      <c r="HP49" s="19">
        <v>14</v>
      </c>
      <c r="HQ49" s="19">
        <v>44</v>
      </c>
      <c r="HR49" s="19">
        <v>26</v>
      </c>
      <c r="HS49" s="19">
        <v>48</v>
      </c>
      <c r="HT49" s="19">
        <v>38</v>
      </c>
      <c r="HU49" s="19">
        <v>24</v>
      </c>
      <c r="HV49" s="19">
        <v>50</v>
      </c>
      <c r="HW49" s="19">
        <v>36</v>
      </c>
      <c r="HX49" s="19">
        <v>54</v>
      </c>
      <c r="HY49" s="19">
        <v>48</v>
      </c>
      <c r="HZ49" s="19">
        <v>34</v>
      </c>
      <c r="IA49" s="19">
        <v>58</v>
      </c>
      <c r="IB49" s="19">
        <v>46</v>
      </c>
      <c r="IC49" s="19">
        <v>44</v>
      </c>
      <c r="ID49" s="19">
        <v>58</v>
      </c>
      <c r="IF49" s="20" t="s">
        <v>238</v>
      </c>
      <c r="IG49" s="20">
        <v>0</v>
      </c>
      <c r="IH49" s="20">
        <v>0</v>
      </c>
      <c r="II49" s="20">
        <v>0</v>
      </c>
      <c r="IJ49" s="20">
        <v>0</v>
      </c>
      <c r="IK49" s="20">
        <v>4</v>
      </c>
      <c r="IL49" s="20">
        <v>0</v>
      </c>
      <c r="IM49" s="20">
        <v>4</v>
      </c>
      <c r="IN49" s="20">
        <v>6</v>
      </c>
      <c r="IO49" s="20">
        <v>0</v>
      </c>
      <c r="IP49" s="20">
        <v>6</v>
      </c>
      <c r="IQ49" s="20">
        <v>10</v>
      </c>
      <c r="IR49" s="20">
        <v>0</v>
      </c>
      <c r="IS49" s="20">
        <v>18</v>
      </c>
      <c r="IT49" s="20">
        <v>12</v>
      </c>
      <c r="IU49" s="20">
        <v>4</v>
      </c>
      <c r="IV49" s="20">
        <v>8</v>
      </c>
      <c r="IW49" s="20">
        <v>24</v>
      </c>
      <c r="IX49" s="20">
        <v>20</v>
      </c>
      <c r="IY49" s="20">
        <v>24</v>
      </c>
      <c r="IZ49" s="20">
        <v>2</v>
      </c>
      <c r="JA49" s="20">
        <v>30</v>
      </c>
      <c r="JB49" s="20">
        <v>26</v>
      </c>
      <c r="JC49" s="20">
        <v>24</v>
      </c>
      <c r="JD49" s="20">
        <v>22</v>
      </c>
      <c r="JE49" s="20">
        <v>36</v>
      </c>
      <c r="JF49" s="20">
        <v>34</v>
      </c>
    </row>
    <row r="50" spans="1:266" x14ac:dyDescent="0.25">
      <c r="A50" s="8"/>
      <c r="B50" s="5" t="s">
        <v>61</v>
      </c>
      <c r="C50" s="8"/>
      <c r="D50" s="6" t="s">
        <v>454</v>
      </c>
      <c r="E50" s="8" t="s">
        <v>462</v>
      </c>
      <c r="F50" s="5"/>
      <c r="G50" s="5"/>
      <c r="H50" s="5"/>
      <c r="I50" s="5"/>
      <c r="J50" s="5"/>
      <c r="K50" s="4"/>
      <c r="L50" s="6" t="str">
        <f>IF($E$55=$AK$22,"PAL40H40/2,2",IF($E$55=$AK$23,"PAL30H32/2,2",IF($E$55=$AK$24,"CWP40H35/2,2MC","-------")))</f>
        <v>PAL40H40/2,2</v>
      </c>
      <c r="M50" s="14">
        <f>INDEX(cenník!$C$2:$I$568,MATCH($L50,cenník!$B$2:$B$557,0),MATCH(M$24,cenník!$C$1:$I$1,0))</f>
        <v>894622</v>
      </c>
      <c r="N50" s="14" t="str">
        <f>INDEX(cenník!$C$2:$I$568,MATCH($L50,cenník!$B$2:$B$557,0),MATCH(N$24,cenník!$C$1:$I$1,0))</f>
        <v>ks</v>
      </c>
      <c r="O50" s="14">
        <f>SUM(AB47:AB62)</f>
        <v>0</v>
      </c>
      <c r="P50" s="21">
        <f>INDEX(cenník!$C$2:$I$568,MATCH($L50,cenník!$B$2:$B$557,0),MATCH(P$24,cenník!$C$1:$I$1,0))</f>
        <v>21.11</v>
      </c>
      <c r="Q50" s="21">
        <f t="shared" ref="Q50:Q64" si="31">O50*P50</f>
        <v>0</v>
      </c>
      <c r="R50" s="22">
        <f t="shared" si="28"/>
        <v>0</v>
      </c>
      <c r="S50" s="21">
        <f t="shared" si="29"/>
        <v>21.11</v>
      </c>
      <c r="T50" s="21">
        <f t="shared" si="30"/>
        <v>0</v>
      </c>
      <c r="U50" s="21">
        <f>INDEX(cenník!$C$2:$I$568,MATCH($L50,cenník!$B$2:$B$557,0),MATCH(U$24,cenník!$C$1:$I$1,0))*O50</f>
        <v>0</v>
      </c>
      <c r="V50" s="19"/>
      <c r="W50" s="19"/>
      <c r="X50" s="25">
        <f t="shared" si="27"/>
        <v>0</v>
      </c>
      <c r="Y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50,$BB$2:$CA$2,0),MATCH($W$46,$AH$22:$AH$47,0)))*C50</f>
        <v>0</v>
      </c>
      <c r="Z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50,$BB$2:$CA$2,0),MATCH($W$46,$AH$22:$AH$47,0)))*C50</f>
        <v>0</v>
      </c>
      <c r="AA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50,$BB$2:$CA$2,0),MATCH($W$46,$AH$22:$AH$47,0)))*C50</f>
        <v>0</v>
      </c>
      <c r="AB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50,$BB$2:$CA$2,0),MATCH($W$46,$AH$22:$AH$47,0)))*C50</f>
        <v>0</v>
      </c>
      <c r="AC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50,$BB$2:$CA$2,0),MATCH($W$46,$AH$22:$AH$47,0)))*C50</f>
        <v>0</v>
      </c>
      <c r="AD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50,$BB$2:$CA$2,0),MATCH($W$46,$AH$22:$AH$47,0)))*C50</f>
        <v>0</v>
      </c>
      <c r="AF50" s="19"/>
      <c r="AG50" s="19"/>
      <c r="AH50" s="19"/>
      <c r="AI50" s="19"/>
      <c r="AJ50" s="19"/>
      <c r="AK50" s="19"/>
      <c r="AL50" s="19"/>
      <c r="AM50" s="19">
        <v>45</v>
      </c>
      <c r="AN50" s="19" t="s">
        <v>29</v>
      </c>
      <c r="AO50" s="19"/>
      <c r="AP50" s="19" t="s">
        <v>82</v>
      </c>
      <c r="AQ50" s="19" t="s">
        <v>13</v>
      </c>
      <c r="AS50" s="19">
        <v>45</v>
      </c>
      <c r="AT50" s="19" t="s">
        <v>41</v>
      </c>
      <c r="AU50" s="19"/>
      <c r="AV50" s="19" t="s">
        <v>84</v>
      </c>
      <c r="AW50" s="19" t="s">
        <v>84</v>
      </c>
      <c r="AX50" s="19"/>
      <c r="AY50" s="19"/>
      <c r="AZ50" s="19"/>
      <c r="BA50" s="26" t="s">
        <v>239</v>
      </c>
      <c r="BB50" s="19">
        <v>0</v>
      </c>
      <c r="BC50" s="19">
        <v>0</v>
      </c>
      <c r="BD50" s="19">
        <v>4</v>
      </c>
      <c r="BE50" s="19">
        <v>8</v>
      </c>
      <c r="BF50" s="19">
        <v>4</v>
      </c>
      <c r="BG50" s="19">
        <v>4</v>
      </c>
      <c r="BH50" s="19">
        <v>8</v>
      </c>
      <c r="BI50" s="19">
        <v>8</v>
      </c>
      <c r="BJ50" s="19">
        <v>8</v>
      </c>
      <c r="BK50" s="19">
        <v>12</v>
      </c>
      <c r="BL50" s="19">
        <v>12</v>
      </c>
      <c r="BM50" s="19">
        <v>12</v>
      </c>
      <c r="BN50" s="19">
        <v>16</v>
      </c>
      <c r="BO50" s="19">
        <v>16</v>
      </c>
      <c r="BP50" s="19">
        <v>16</v>
      </c>
      <c r="BQ50" s="19">
        <v>20</v>
      </c>
      <c r="BR50" s="19">
        <v>20</v>
      </c>
      <c r="BS50" s="19">
        <v>20</v>
      </c>
      <c r="BT50" s="19">
        <v>24</v>
      </c>
      <c r="BU50" s="19">
        <v>24</v>
      </c>
      <c r="BV50" s="19">
        <v>24</v>
      </c>
      <c r="BW50" s="19">
        <v>28</v>
      </c>
      <c r="BX50" s="19">
        <v>28</v>
      </c>
      <c r="BY50" s="19">
        <v>28</v>
      </c>
      <c r="BZ50" s="19">
        <v>32</v>
      </c>
      <c r="CA50" s="19">
        <v>32</v>
      </c>
      <c r="CB50" s="19">
        <v>32</v>
      </c>
      <c r="CC50" s="19">
        <v>36</v>
      </c>
      <c r="CD50" s="19">
        <v>36</v>
      </c>
      <c r="CE50" s="19">
        <v>36</v>
      </c>
      <c r="CF50" s="19">
        <v>40</v>
      </c>
      <c r="CG50" s="19">
        <v>40</v>
      </c>
      <c r="CH50" s="19">
        <v>40</v>
      </c>
      <c r="CI50" s="19">
        <v>44</v>
      </c>
      <c r="CJ50" s="19">
        <v>44</v>
      </c>
      <c r="CK50" s="19">
        <v>44</v>
      </c>
      <c r="CL50" s="19">
        <v>48</v>
      </c>
      <c r="CM50" s="19">
        <v>48</v>
      </c>
      <c r="CN50" s="19">
        <v>48</v>
      </c>
      <c r="CO50" s="19">
        <v>52</v>
      </c>
      <c r="CP50" s="19">
        <v>52</v>
      </c>
      <c r="CQ50" s="19">
        <v>52</v>
      </c>
      <c r="CR50" s="19">
        <v>56</v>
      </c>
      <c r="CS50" s="19">
        <v>56</v>
      </c>
      <c r="CT50" s="19">
        <v>56</v>
      </c>
      <c r="CU50" s="19">
        <v>60</v>
      </c>
      <c r="CV50" s="19">
        <v>60</v>
      </c>
      <c r="CW50" s="19">
        <v>60</v>
      </c>
      <c r="CX50" s="19">
        <v>64</v>
      </c>
      <c r="CY50" s="19">
        <v>64</v>
      </c>
      <c r="CZ50" s="19">
        <v>64</v>
      </c>
      <c r="DA50" s="17"/>
      <c r="DB50" s="17">
        <v>49</v>
      </c>
      <c r="DC50" s="17"/>
      <c r="DD50" s="19" t="s">
        <v>238</v>
      </c>
      <c r="DE50" s="19">
        <v>0</v>
      </c>
      <c r="DF50" s="19">
        <v>0</v>
      </c>
      <c r="DG50" s="19">
        <v>0</v>
      </c>
      <c r="DH50" s="19">
        <v>2</v>
      </c>
      <c r="DI50" s="19">
        <v>2</v>
      </c>
      <c r="DJ50" s="19">
        <v>4</v>
      </c>
      <c r="DK50" s="19">
        <v>4</v>
      </c>
      <c r="DL50" s="19">
        <v>6</v>
      </c>
      <c r="DM50" s="19">
        <v>6</v>
      </c>
      <c r="DN50" s="19">
        <v>8</v>
      </c>
      <c r="DO50" s="19">
        <v>8</v>
      </c>
      <c r="DP50" s="19">
        <v>10</v>
      </c>
      <c r="DQ50" s="19">
        <v>10</v>
      </c>
      <c r="DR50" s="19">
        <v>12</v>
      </c>
      <c r="DS50" s="19">
        <v>12</v>
      </c>
      <c r="DT50" s="19">
        <v>14</v>
      </c>
      <c r="DU50" s="19">
        <v>14</v>
      </c>
      <c r="DV50" s="19">
        <v>16</v>
      </c>
      <c r="DW50" s="19">
        <v>16</v>
      </c>
      <c r="DX50" s="19">
        <v>18</v>
      </c>
      <c r="DY50" s="19">
        <v>18</v>
      </c>
      <c r="DZ50" s="19"/>
      <c r="EA50" s="19"/>
      <c r="EB50" s="26" t="s">
        <v>239</v>
      </c>
      <c r="EC50" s="19">
        <v>0</v>
      </c>
      <c r="ED50" s="19">
        <v>0</v>
      </c>
      <c r="EE50" s="19">
        <v>4</v>
      </c>
      <c r="EF50" s="19">
        <v>4</v>
      </c>
      <c r="EG50" s="19">
        <v>8</v>
      </c>
      <c r="EH50" s="19">
        <v>8</v>
      </c>
      <c r="EI50" s="19">
        <v>12</v>
      </c>
      <c r="EJ50" s="19">
        <v>12</v>
      </c>
      <c r="EK50" s="19">
        <v>16</v>
      </c>
      <c r="EL50" s="19">
        <v>16</v>
      </c>
      <c r="EM50" s="19">
        <v>20</v>
      </c>
      <c r="EN50" s="19">
        <v>20</v>
      </c>
      <c r="EO50" s="19">
        <v>24</v>
      </c>
      <c r="EP50" s="19">
        <v>24</v>
      </c>
      <c r="EQ50" s="19">
        <v>28</v>
      </c>
      <c r="ER50" s="19">
        <v>32</v>
      </c>
      <c r="ES50" s="19">
        <v>32</v>
      </c>
      <c r="ET50" s="19">
        <v>36</v>
      </c>
      <c r="EU50" s="19">
        <v>36</v>
      </c>
      <c r="EV50" s="19">
        <v>40</v>
      </c>
      <c r="EW50" s="19">
        <v>40</v>
      </c>
      <c r="EX50" s="19">
        <v>44</v>
      </c>
      <c r="EY50" s="19">
        <v>44</v>
      </c>
      <c r="EZ50" s="19">
        <v>48</v>
      </c>
      <c r="FA50" s="19">
        <v>48</v>
      </c>
      <c r="FB50" s="19">
        <v>52</v>
      </c>
      <c r="FC50" s="19">
        <v>52</v>
      </c>
      <c r="FD50" s="19">
        <v>56</v>
      </c>
      <c r="FE50" s="19">
        <v>60</v>
      </c>
      <c r="FF50" s="19">
        <v>60</v>
      </c>
      <c r="FG50" s="19">
        <v>64</v>
      </c>
      <c r="FH50" s="19">
        <v>64</v>
      </c>
      <c r="FI50" s="19">
        <v>68</v>
      </c>
      <c r="FJ50" s="19">
        <v>68</v>
      </c>
      <c r="FK50" s="19">
        <v>72</v>
      </c>
      <c r="FL50" s="19">
        <v>72</v>
      </c>
      <c r="FM50" s="19">
        <v>76</v>
      </c>
      <c r="FN50" s="19">
        <v>76</v>
      </c>
      <c r="FO50" s="19">
        <v>80</v>
      </c>
      <c r="FP50" s="19">
        <v>80</v>
      </c>
      <c r="FQ50" s="19">
        <v>84</v>
      </c>
      <c r="FR50" s="19">
        <v>88</v>
      </c>
      <c r="FS50" s="19">
        <v>88</v>
      </c>
      <c r="FT50" s="19">
        <v>92</v>
      </c>
      <c r="FU50" s="19">
        <v>92</v>
      </c>
      <c r="FV50" s="19">
        <v>96</v>
      </c>
      <c r="FW50" s="19">
        <v>96</v>
      </c>
      <c r="FX50" s="19">
        <v>100</v>
      </c>
      <c r="FY50" s="19">
        <v>100</v>
      </c>
      <c r="FZ50" s="19">
        <v>104</v>
      </c>
      <c r="GA50" s="19">
        <v>104</v>
      </c>
      <c r="GC50" s="19"/>
      <c r="GD50" s="19"/>
      <c r="GE50" s="26" t="s">
        <v>239</v>
      </c>
      <c r="GF50" s="19">
        <v>0</v>
      </c>
      <c r="GG50" s="19">
        <v>0</v>
      </c>
      <c r="GH50" s="19">
        <v>4</v>
      </c>
      <c r="GI50" s="19">
        <v>4</v>
      </c>
      <c r="GJ50" s="19">
        <v>8</v>
      </c>
      <c r="GK50" s="19">
        <v>12</v>
      </c>
      <c r="GL50" s="19">
        <v>12</v>
      </c>
      <c r="GM50" s="19">
        <v>16</v>
      </c>
      <c r="GN50" s="19">
        <v>16</v>
      </c>
      <c r="GO50" s="19">
        <v>20</v>
      </c>
      <c r="GP50" s="19">
        <v>24</v>
      </c>
      <c r="GQ50" s="19">
        <v>24</v>
      </c>
      <c r="GR50" s="19">
        <v>28</v>
      </c>
      <c r="GS50" s="19">
        <v>28</v>
      </c>
      <c r="GT50" s="19">
        <v>32</v>
      </c>
      <c r="GU50" s="19">
        <v>36</v>
      </c>
      <c r="GV50" s="19">
        <v>36</v>
      </c>
      <c r="GW50" s="19">
        <v>40</v>
      </c>
      <c r="GX50" s="19">
        <v>44</v>
      </c>
      <c r="GY50" s="19">
        <v>44</v>
      </c>
      <c r="GZ50" s="19">
        <v>48</v>
      </c>
      <c r="HA50" s="19">
        <v>48</v>
      </c>
      <c r="HB50" s="19">
        <v>52</v>
      </c>
      <c r="HC50" s="19">
        <v>56</v>
      </c>
      <c r="HD50" s="19">
        <v>56</v>
      </c>
      <c r="HE50" s="19">
        <v>60</v>
      </c>
      <c r="HF50" s="19">
        <v>60</v>
      </c>
      <c r="HG50" s="19">
        <v>64</v>
      </c>
      <c r="HH50" s="19">
        <v>68</v>
      </c>
      <c r="HI50" s="19">
        <v>68</v>
      </c>
      <c r="HJ50" s="19">
        <v>72</v>
      </c>
      <c r="HK50" s="19">
        <v>72</v>
      </c>
      <c r="HL50" s="19">
        <v>76</v>
      </c>
      <c r="HM50" s="19">
        <v>80</v>
      </c>
      <c r="HN50" s="19">
        <v>80</v>
      </c>
      <c r="HO50" s="19">
        <v>84</v>
      </c>
      <c r="HP50" s="19">
        <v>88</v>
      </c>
      <c r="HQ50" s="19">
        <v>88</v>
      </c>
      <c r="HR50" s="19">
        <v>92</v>
      </c>
      <c r="HS50" s="19">
        <v>92</v>
      </c>
      <c r="HT50" s="19">
        <v>96</v>
      </c>
      <c r="HU50" s="19">
        <v>100</v>
      </c>
      <c r="HV50" s="19">
        <v>100</v>
      </c>
      <c r="HW50" s="19">
        <v>104</v>
      </c>
      <c r="HX50" s="19">
        <v>104</v>
      </c>
      <c r="HY50" s="19">
        <v>108</v>
      </c>
      <c r="HZ50" s="19">
        <v>112</v>
      </c>
      <c r="IA50" s="19">
        <v>112</v>
      </c>
      <c r="IB50" s="19">
        <v>116</v>
      </c>
      <c r="IC50" s="19">
        <v>120</v>
      </c>
      <c r="ID50" s="19">
        <v>120</v>
      </c>
      <c r="IF50" s="20" t="s">
        <v>239</v>
      </c>
      <c r="IG50" s="20">
        <v>0</v>
      </c>
      <c r="IH50" s="20">
        <v>0</v>
      </c>
      <c r="II50" s="20">
        <v>4</v>
      </c>
      <c r="IJ50" s="20">
        <v>8</v>
      </c>
      <c r="IK50" s="20">
        <v>12</v>
      </c>
      <c r="IL50" s="20">
        <v>12</v>
      </c>
      <c r="IM50" s="20">
        <v>16</v>
      </c>
      <c r="IN50" s="20">
        <v>20</v>
      </c>
      <c r="IO50" s="20">
        <v>24</v>
      </c>
      <c r="IP50" s="20">
        <v>24</v>
      </c>
      <c r="IQ50" s="20">
        <v>28</v>
      </c>
      <c r="IR50" s="20">
        <v>32</v>
      </c>
      <c r="IS50" s="20">
        <v>32</v>
      </c>
      <c r="IT50" s="20">
        <v>36</v>
      </c>
      <c r="IU50" s="20">
        <v>40</v>
      </c>
      <c r="IV50" s="20">
        <v>44</v>
      </c>
      <c r="IW50" s="20">
        <v>44</v>
      </c>
      <c r="IX50" s="20">
        <v>48</v>
      </c>
      <c r="IY50" s="20">
        <v>52</v>
      </c>
      <c r="IZ50" s="20">
        <v>56</v>
      </c>
      <c r="JA50" s="20">
        <v>56</v>
      </c>
      <c r="JB50" s="20">
        <v>60</v>
      </c>
      <c r="JC50" s="20">
        <v>64</v>
      </c>
      <c r="JD50" s="20">
        <v>68</v>
      </c>
      <c r="JE50" s="20">
        <v>68</v>
      </c>
      <c r="JF50" s="20">
        <v>72</v>
      </c>
    </row>
    <row r="51" spans="1:266" x14ac:dyDescent="0.25">
      <c r="A51" s="8"/>
      <c r="B51" s="5" t="s">
        <v>61</v>
      </c>
      <c r="C51" s="8"/>
      <c r="D51" s="6" t="s">
        <v>455</v>
      </c>
      <c r="E51" s="8" t="s">
        <v>464</v>
      </c>
      <c r="F51" s="126" t="str">
        <f>IF(E55="40x35 oceľ","niekompatybilne z profilem stalowym","")</f>
        <v/>
      </c>
      <c r="G51" s="5"/>
      <c r="H51" s="5"/>
      <c r="I51" s="5"/>
      <c r="J51" s="5"/>
      <c r="K51" s="4"/>
      <c r="L51" s="6" t="str">
        <f>IF($E$55=$AK$22,"PAL40H40/3,15",IF($E$55=$AK$23,"PAL30H32/3,15","-------"))</f>
        <v>PAL40H40/3,15</v>
      </c>
      <c r="M51" s="14">
        <f>INDEX(cenník!$C$2:$I$568,MATCH($L51,cenník!$B$2:$B$557,0),MATCH(M$24,cenník!$C$1:$I$1,0))</f>
        <v>894631</v>
      </c>
      <c r="N51" s="14" t="str">
        <f>INDEX(cenník!$C$2:$I$568,MATCH($L51,cenník!$B$2:$B$557,0),MATCH(N$24,cenník!$C$1:$I$1,0))</f>
        <v>ks</v>
      </c>
      <c r="O51" s="14">
        <f>IF(L51="-------",0,SUM(AC47:AC62))</f>
        <v>0</v>
      </c>
      <c r="P51" s="21">
        <f>INDEX(cenník!$C$2:$I$568,MATCH($L51,cenník!$B$2:$B$557,0),MATCH(P$24,cenník!$C$1:$I$1,0))</f>
        <v>30.78</v>
      </c>
      <c r="Q51" s="21">
        <f t="shared" si="31"/>
        <v>0</v>
      </c>
      <c r="R51" s="22">
        <f t="shared" si="28"/>
        <v>0</v>
      </c>
      <c r="S51" s="21">
        <f t="shared" si="29"/>
        <v>30.78</v>
      </c>
      <c r="T51" s="21">
        <f t="shared" si="30"/>
        <v>0</v>
      </c>
      <c r="U51" s="21">
        <f>INDEX(cenník!$C$2:$I$568,MATCH($L51,cenník!$B$2:$B$557,0),MATCH(U$24,cenník!$C$1:$I$1,0))*O51</f>
        <v>0</v>
      </c>
      <c r="V51" s="19"/>
      <c r="W51" s="19"/>
      <c r="X51" s="25">
        <f t="shared" si="27"/>
        <v>0</v>
      </c>
      <c r="Y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51,$BB$2:$CA$2,0),MATCH($W$46,$AH$22:$AH$47,0)))*C51</f>
        <v>0</v>
      </c>
      <c r="Z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51,$BB$2:$CA$2,0),MATCH($W$46,$AH$22:$AH$47,0)))*C51</f>
        <v>0</v>
      </c>
      <c r="AA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51,$BB$2:$CA$2,0),MATCH($W$46,$AH$22:$AH$47,0)))*C51</f>
        <v>0</v>
      </c>
      <c r="AB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51,$BB$2:$CA$2,0),MATCH($W$46,$AH$22:$AH$47,0)))*C51</f>
        <v>0</v>
      </c>
      <c r="AC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51,$BB$2:$CA$2,0),MATCH($W$46,$AH$22:$AH$47,0)))*C51</f>
        <v>0</v>
      </c>
      <c r="AD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51,$BB$2:$CA$2,0),MATCH($W$46,$AH$22:$AH$47,0)))*C51</f>
        <v>0</v>
      </c>
      <c r="AE51" s="19"/>
      <c r="AF51" s="19"/>
      <c r="AG51" s="19"/>
      <c r="AH51" s="19"/>
      <c r="AI51" s="19"/>
      <c r="AJ51" s="19"/>
      <c r="AK51" s="19"/>
      <c r="AL51" s="19"/>
      <c r="AM51" s="19">
        <v>50</v>
      </c>
      <c r="AN51" s="19" t="s">
        <v>30</v>
      </c>
      <c r="AO51" s="19" t="s">
        <v>31</v>
      </c>
      <c r="AP51" s="19" t="s">
        <v>83</v>
      </c>
      <c r="AQ51" s="19" t="s">
        <v>13</v>
      </c>
      <c r="AS51" s="19">
        <v>50</v>
      </c>
      <c r="AT51" s="19" t="s">
        <v>42</v>
      </c>
      <c r="AU51" s="19"/>
      <c r="AV51" s="19" t="s">
        <v>84</v>
      </c>
      <c r="AW51" s="19" t="s">
        <v>84</v>
      </c>
      <c r="AX51" s="19"/>
      <c r="AY51" s="19"/>
      <c r="AZ51" s="19"/>
      <c r="BA51" s="26" t="s">
        <v>326</v>
      </c>
      <c r="BB51" s="19">
        <v>0</v>
      </c>
      <c r="BC51" s="19">
        <v>2</v>
      </c>
      <c r="BD51" s="19">
        <v>0</v>
      </c>
      <c r="BE51" s="19">
        <v>4</v>
      </c>
      <c r="BF51" s="19">
        <v>2</v>
      </c>
      <c r="BG51" s="19">
        <v>0</v>
      </c>
      <c r="BH51" s="19">
        <v>4</v>
      </c>
      <c r="BI51" s="19">
        <v>2</v>
      </c>
      <c r="BJ51" s="19">
        <v>0</v>
      </c>
      <c r="BK51" s="19">
        <v>4</v>
      </c>
      <c r="BL51" s="19">
        <v>2</v>
      </c>
      <c r="BM51" s="19">
        <v>0</v>
      </c>
      <c r="BN51" s="19">
        <v>4</v>
      </c>
      <c r="BO51" s="19">
        <v>2</v>
      </c>
      <c r="BP51" s="19">
        <v>0</v>
      </c>
      <c r="BQ51" s="19">
        <v>4</v>
      </c>
      <c r="BR51" s="19">
        <v>2</v>
      </c>
      <c r="BS51" s="19">
        <v>0</v>
      </c>
      <c r="BT51" s="19">
        <v>4</v>
      </c>
      <c r="BU51" s="19">
        <v>2</v>
      </c>
      <c r="BV51" s="19">
        <v>0</v>
      </c>
      <c r="BW51" s="19">
        <v>4</v>
      </c>
      <c r="BX51" s="19">
        <v>2</v>
      </c>
      <c r="BY51" s="19">
        <v>0</v>
      </c>
      <c r="BZ51" s="19">
        <v>4</v>
      </c>
      <c r="CA51" s="19">
        <v>2</v>
      </c>
      <c r="CB51" s="19"/>
      <c r="CC51" s="19"/>
      <c r="CD51" s="19"/>
      <c r="CE51" s="19"/>
      <c r="CF51" s="19"/>
      <c r="CG51" s="19"/>
      <c r="CH51" s="19"/>
      <c r="CI51" s="19"/>
      <c r="CJ51" s="19"/>
      <c r="CK51" s="19"/>
      <c r="CL51" s="19"/>
      <c r="CM51" s="19"/>
      <c r="CN51" s="19"/>
      <c r="CO51" s="19"/>
      <c r="CP51" s="19"/>
      <c r="CQ51" s="19"/>
      <c r="CR51" s="19"/>
      <c r="CS51" s="19"/>
      <c r="CT51" s="19"/>
      <c r="CU51" s="19"/>
      <c r="CV51" s="19"/>
      <c r="CW51" s="19"/>
      <c r="CX51" s="19"/>
      <c r="CY51" s="19"/>
      <c r="CZ51" s="19"/>
      <c r="DA51" s="17"/>
      <c r="DB51" s="17">
        <v>50</v>
      </c>
      <c r="DC51" s="17"/>
      <c r="DD51" s="19" t="s">
        <v>239</v>
      </c>
      <c r="DE51" s="19">
        <v>0</v>
      </c>
      <c r="DF51" s="19">
        <v>0</v>
      </c>
      <c r="DG51" s="19">
        <v>4</v>
      </c>
      <c r="DH51" s="19">
        <v>4</v>
      </c>
      <c r="DI51" s="19">
        <v>8</v>
      </c>
      <c r="DJ51" s="19">
        <v>8</v>
      </c>
      <c r="DK51" s="19">
        <v>12</v>
      </c>
      <c r="DL51" s="19">
        <v>12</v>
      </c>
      <c r="DM51" s="19">
        <v>16</v>
      </c>
      <c r="DN51" s="19">
        <v>16</v>
      </c>
      <c r="DO51" s="19">
        <v>20</v>
      </c>
      <c r="DP51" s="19">
        <v>20</v>
      </c>
      <c r="DQ51" s="19">
        <v>24</v>
      </c>
      <c r="DR51" s="19">
        <v>24</v>
      </c>
      <c r="DS51" s="19">
        <v>28</v>
      </c>
      <c r="DT51" s="19">
        <v>28</v>
      </c>
      <c r="DU51" s="19">
        <v>32</v>
      </c>
      <c r="DV51" s="19">
        <v>32</v>
      </c>
      <c r="DW51" s="19">
        <v>36</v>
      </c>
      <c r="DX51" s="19">
        <v>36</v>
      </c>
      <c r="DY51" s="19">
        <v>40</v>
      </c>
      <c r="DZ51" s="19"/>
      <c r="EA51" s="19"/>
      <c r="EB51" s="26" t="s">
        <v>326</v>
      </c>
      <c r="EC51" s="19">
        <v>0</v>
      </c>
      <c r="ED51" s="19">
        <v>0</v>
      </c>
      <c r="EE51" s="19">
        <v>2</v>
      </c>
      <c r="EF51" s="19">
        <v>4</v>
      </c>
      <c r="EG51" s="19">
        <v>2</v>
      </c>
      <c r="EH51" s="19">
        <v>4</v>
      </c>
      <c r="EI51" s="19">
        <v>0</v>
      </c>
      <c r="EJ51" s="19">
        <v>4</v>
      </c>
      <c r="EK51" s="19">
        <v>0</v>
      </c>
      <c r="EL51" s="19">
        <v>4</v>
      </c>
      <c r="EM51" s="19">
        <v>0</v>
      </c>
      <c r="EN51" s="19">
        <v>2</v>
      </c>
      <c r="EO51" s="19">
        <v>0</v>
      </c>
      <c r="EP51" s="19">
        <v>2</v>
      </c>
      <c r="EQ51" s="19">
        <v>0</v>
      </c>
      <c r="ER51" s="19">
        <v>2</v>
      </c>
      <c r="ES51" s="19">
        <v>4</v>
      </c>
      <c r="ET51" s="19">
        <v>2</v>
      </c>
      <c r="EU51" s="19">
        <v>4</v>
      </c>
      <c r="EV51" s="19">
        <v>0</v>
      </c>
      <c r="EW51" s="19">
        <v>4</v>
      </c>
      <c r="EX51" s="19">
        <v>0</v>
      </c>
      <c r="EY51" s="19">
        <v>4</v>
      </c>
      <c r="EZ51" s="19">
        <v>0</v>
      </c>
      <c r="FA51" s="19">
        <v>2</v>
      </c>
      <c r="FB51" s="19">
        <v>0</v>
      </c>
      <c r="FC51" s="19">
        <v>2</v>
      </c>
      <c r="FD51" s="19"/>
      <c r="FE51" s="19"/>
      <c r="FF51" s="19"/>
      <c r="FG51" s="19"/>
      <c r="FH51" s="19"/>
      <c r="FI51" s="19"/>
      <c r="FJ51" s="19"/>
      <c r="FK51" s="19"/>
      <c r="FL51" s="19"/>
      <c r="FM51" s="19"/>
      <c r="FN51" s="19"/>
      <c r="FO51" s="19"/>
      <c r="FP51" s="19"/>
      <c r="FQ51" s="19"/>
      <c r="FR51" s="19"/>
      <c r="FS51" s="19"/>
      <c r="FT51" s="19"/>
      <c r="FU51" s="19"/>
      <c r="FV51" s="19"/>
      <c r="FW51" s="19"/>
      <c r="FX51" s="19"/>
      <c r="FY51" s="19"/>
      <c r="FZ51" s="19"/>
      <c r="GA51" s="19"/>
      <c r="GC51" s="19"/>
      <c r="GD51" s="19"/>
      <c r="GE51" s="26" t="s">
        <v>326</v>
      </c>
      <c r="GF51" s="19">
        <v>0</v>
      </c>
      <c r="GG51" s="19">
        <v>2</v>
      </c>
      <c r="GH51" s="19">
        <v>4</v>
      </c>
      <c r="GI51" s="19">
        <v>0</v>
      </c>
      <c r="GJ51" s="19">
        <v>2</v>
      </c>
      <c r="GK51" s="19">
        <v>4</v>
      </c>
      <c r="GL51" s="19">
        <v>0</v>
      </c>
      <c r="GM51" s="19">
        <v>4</v>
      </c>
      <c r="GN51" s="19">
        <v>0</v>
      </c>
      <c r="GO51" s="19">
        <v>2</v>
      </c>
      <c r="GP51" s="19">
        <v>4</v>
      </c>
      <c r="GQ51" s="19">
        <v>0</v>
      </c>
      <c r="GR51" s="19">
        <v>2</v>
      </c>
      <c r="GS51" s="19">
        <v>0</v>
      </c>
      <c r="GT51" s="19">
        <v>2</v>
      </c>
      <c r="GU51" s="19">
        <v>4</v>
      </c>
      <c r="GV51" s="19">
        <v>0</v>
      </c>
      <c r="GW51" s="19">
        <v>2</v>
      </c>
      <c r="GX51" s="19">
        <v>4</v>
      </c>
      <c r="GY51" s="19">
        <v>2</v>
      </c>
      <c r="GZ51" s="19">
        <v>4</v>
      </c>
      <c r="HA51" s="19">
        <v>0</v>
      </c>
      <c r="HB51" s="19">
        <v>2</v>
      </c>
      <c r="HC51" s="19">
        <v>4</v>
      </c>
      <c r="HD51" s="19">
        <v>0</v>
      </c>
      <c r="HE51" s="19">
        <v>4</v>
      </c>
      <c r="HF51" s="19"/>
      <c r="HG51" s="19"/>
      <c r="HH51" s="19"/>
      <c r="HI51" s="19"/>
      <c r="HJ51" s="19"/>
      <c r="HK51" s="19"/>
      <c r="HL51" s="19"/>
      <c r="HM51" s="19"/>
      <c r="HN51" s="19"/>
      <c r="HO51" s="19"/>
      <c r="HP51" s="19"/>
      <c r="HQ51" s="19"/>
      <c r="HR51" s="19"/>
      <c r="HS51" s="19"/>
      <c r="HT51" s="19"/>
      <c r="HU51" s="19"/>
      <c r="HV51" s="19"/>
      <c r="HW51" s="19"/>
      <c r="HX51" s="19"/>
      <c r="HY51" s="19"/>
      <c r="HZ51" s="19"/>
      <c r="IA51" s="19"/>
      <c r="IB51" s="19"/>
      <c r="IC51" s="19"/>
      <c r="ID51" s="19"/>
      <c r="IF51" s="20" t="s">
        <v>326</v>
      </c>
      <c r="IG51" s="20">
        <v>0</v>
      </c>
      <c r="IH51" s="20">
        <v>0</v>
      </c>
      <c r="II51" s="20">
        <v>2</v>
      </c>
      <c r="IJ51" s="20">
        <v>4</v>
      </c>
      <c r="IK51" s="20">
        <v>4</v>
      </c>
      <c r="IL51" s="20">
        <v>0</v>
      </c>
      <c r="IM51" s="20">
        <v>2</v>
      </c>
      <c r="IN51" s="20">
        <v>4</v>
      </c>
      <c r="IO51" s="20">
        <v>4</v>
      </c>
      <c r="IP51" s="20">
        <v>0</v>
      </c>
      <c r="IQ51" s="20">
        <v>2</v>
      </c>
      <c r="IR51" s="20">
        <v>4</v>
      </c>
      <c r="IS51" s="20">
        <v>0</v>
      </c>
      <c r="IT51" s="20">
        <v>0</v>
      </c>
      <c r="IU51" s="20">
        <v>2</v>
      </c>
      <c r="IV51" s="20">
        <v>4</v>
      </c>
      <c r="IW51" s="20">
        <v>0</v>
      </c>
      <c r="IX51" s="20">
        <v>0</v>
      </c>
      <c r="IY51" s="20">
        <v>2</v>
      </c>
      <c r="IZ51" s="20">
        <v>4</v>
      </c>
      <c r="JA51" s="20">
        <v>0</v>
      </c>
      <c r="JB51" s="20">
        <v>0</v>
      </c>
      <c r="JC51" s="20">
        <v>2</v>
      </c>
      <c r="JD51" s="20">
        <v>4</v>
      </c>
      <c r="JE51" s="20">
        <v>0</v>
      </c>
      <c r="JF51" s="20">
        <v>0</v>
      </c>
    </row>
    <row r="52" spans="1:266" x14ac:dyDescent="0.25">
      <c r="A52" s="8"/>
      <c r="B52" s="5" t="s">
        <v>61</v>
      </c>
      <c r="C52" s="8"/>
      <c r="D52" s="6" t="s">
        <v>456</v>
      </c>
      <c r="E52" s="8" t="s">
        <v>467</v>
      </c>
      <c r="F52" s="5"/>
      <c r="G52" s="5"/>
      <c r="H52" s="5"/>
      <c r="I52" s="5"/>
      <c r="J52" s="5"/>
      <c r="K52" s="4"/>
      <c r="L52" s="6" t="str">
        <f>IF($E$55=$AK$22,"PAL40H40/3,3",IF($E$55=$AK$23,"PAL30H32/3,3",IF($E$55=$AK$24,"CWP40H35/3,3MC","-------")))</f>
        <v>PAL40H40/3,3</v>
      </c>
      <c r="M52" s="14">
        <f>INDEX(cenník!$C$2:$I$568,MATCH($L52,cenník!$B$2:$B$557,0),MATCH(M$24,cenník!$C$1:$I$1,0))</f>
        <v>894633</v>
      </c>
      <c r="N52" s="14" t="str">
        <f>INDEX(cenník!$C$2:$I$568,MATCH($L52,cenník!$B$2:$B$557,0),MATCH(N$24,cenník!$C$1:$I$1,0))</f>
        <v>ks</v>
      </c>
      <c r="O52" s="14">
        <f>SUM(AD47:AD62)</f>
        <v>0</v>
      </c>
      <c r="P52" s="21">
        <f>INDEX(cenník!$C$2:$I$568,MATCH($L52,cenník!$B$2:$B$557,0),MATCH(P$24,cenník!$C$1:$I$1,0))</f>
        <v>32.159999999999997</v>
      </c>
      <c r="Q52" s="21">
        <f t="shared" si="31"/>
        <v>0</v>
      </c>
      <c r="R52" s="22">
        <f t="shared" si="28"/>
        <v>0</v>
      </c>
      <c r="S52" s="21">
        <f t="shared" si="29"/>
        <v>32.159999999999997</v>
      </c>
      <c r="T52" s="21">
        <f t="shared" si="30"/>
        <v>0</v>
      </c>
      <c r="U52" s="21">
        <f>INDEX(cenník!$C$2:$I$568,MATCH($L52,cenník!$B$2:$B$557,0),MATCH(U$24,cenník!$C$1:$I$1,0))*O52</f>
        <v>0</v>
      </c>
      <c r="V52" s="19"/>
      <c r="W52" s="19"/>
      <c r="X52" s="25">
        <f t="shared" si="27"/>
        <v>0</v>
      </c>
      <c r="Y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52,$BB$2:$CA$2,0),MATCH($W$46,$AH$22:$AH$47,0)))*C52</f>
        <v>0</v>
      </c>
      <c r="Z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52,$BB$2:$CA$2,0),MATCH($W$46,$AH$22:$AH$47,0)))*C52</f>
        <v>0</v>
      </c>
      <c r="AA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52,$BB$2:$CA$2,0),MATCH($W$46,$AH$22:$AH$47,0)))*C52</f>
        <v>0</v>
      </c>
      <c r="AB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52,$BB$2:$CA$2,0),MATCH($W$46,$AH$22:$AH$47,0)))*C52</f>
        <v>0</v>
      </c>
      <c r="AC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52,$BB$2:$CA$2,0),MATCH($W$46,$AH$22:$AH$47,0)))*C52</f>
        <v>0</v>
      </c>
      <c r="AD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52,$BB$2:$CA$2,0),MATCH($W$46,$AH$22:$AH$47,0)))*C52</f>
        <v>0</v>
      </c>
      <c r="AE52" s="19"/>
      <c r="AF52" s="19"/>
      <c r="AG52" s="19"/>
      <c r="AH52" s="19" t="s">
        <v>464</v>
      </c>
      <c r="AI52" s="19" t="s">
        <v>465</v>
      </c>
      <c r="AJ52" s="19"/>
      <c r="AK52" s="19"/>
      <c r="AL52" s="19"/>
      <c r="AM52" s="19"/>
      <c r="AN52" s="19" t="s">
        <v>12</v>
      </c>
      <c r="AO52" s="19" t="s">
        <v>47</v>
      </c>
      <c r="AP52" s="19"/>
      <c r="AQ52" s="19"/>
      <c r="AS52" s="19"/>
      <c r="AT52" s="19" t="s">
        <v>6</v>
      </c>
      <c r="AU52" s="19" t="s">
        <v>48</v>
      </c>
      <c r="AV52" s="19"/>
      <c r="AW52" s="19"/>
      <c r="AX52" s="19"/>
      <c r="AY52" s="19"/>
      <c r="AZ52" s="19"/>
      <c r="BA52" s="26" t="s">
        <v>327</v>
      </c>
      <c r="BB52" s="19">
        <v>0</v>
      </c>
      <c r="BC52" s="19">
        <v>0</v>
      </c>
      <c r="BD52" s="19">
        <v>2</v>
      </c>
      <c r="BE52" s="19">
        <v>0</v>
      </c>
      <c r="BF52" s="19">
        <v>2</v>
      </c>
      <c r="BG52" s="19">
        <v>4</v>
      </c>
      <c r="BH52" s="19">
        <v>2</v>
      </c>
      <c r="BI52" s="19">
        <v>4</v>
      </c>
      <c r="BJ52" s="19">
        <v>6</v>
      </c>
      <c r="BK52" s="19">
        <v>4</v>
      </c>
      <c r="BL52" s="19">
        <v>6</v>
      </c>
      <c r="BM52" s="19">
        <v>8</v>
      </c>
      <c r="BN52" s="19">
        <v>6</v>
      </c>
      <c r="BO52" s="19">
        <v>8</v>
      </c>
      <c r="BP52" s="19">
        <v>10</v>
      </c>
      <c r="BQ52" s="19">
        <v>8</v>
      </c>
      <c r="BR52" s="19">
        <v>10</v>
      </c>
      <c r="BS52" s="19">
        <v>12</v>
      </c>
      <c r="BT52" s="19">
        <v>10</v>
      </c>
      <c r="BU52" s="19">
        <v>12</v>
      </c>
      <c r="BV52" s="19">
        <v>14</v>
      </c>
      <c r="BW52" s="19">
        <v>12</v>
      </c>
      <c r="BX52" s="19">
        <v>14</v>
      </c>
      <c r="BY52" s="19">
        <v>16</v>
      </c>
      <c r="BZ52" s="19">
        <v>14</v>
      </c>
      <c r="CA52" s="19">
        <v>16</v>
      </c>
      <c r="CB52" s="19"/>
      <c r="CC52" s="19"/>
      <c r="CD52" s="19"/>
      <c r="CE52" s="19"/>
      <c r="CF52" s="19"/>
      <c r="CG52" s="19"/>
      <c r="CH52" s="19"/>
      <c r="CI52" s="19"/>
      <c r="CJ52" s="19"/>
      <c r="CK52" s="19"/>
      <c r="CL52" s="19"/>
      <c r="CM52" s="19"/>
      <c r="CN52" s="19"/>
      <c r="CO52" s="19"/>
      <c r="CP52" s="19"/>
      <c r="CQ52" s="19"/>
      <c r="CR52" s="19"/>
      <c r="CS52" s="19"/>
      <c r="CT52" s="19"/>
      <c r="CU52" s="19"/>
      <c r="CV52" s="19"/>
      <c r="CW52" s="19"/>
      <c r="CX52" s="19"/>
      <c r="CY52" s="19"/>
      <c r="CZ52" s="19"/>
      <c r="DA52" s="17"/>
      <c r="DB52" s="17"/>
      <c r="DC52" s="17"/>
      <c r="DD52" s="26" t="s">
        <v>326</v>
      </c>
      <c r="DE52" s="19">
        <v>0</v>
      </c>
      <c r="DF52" s="19"/>
      <c r="DG52" s="19"/>
      <c r="DH52" s="19"/>
      <c r="DI52" s="19"/>
      <c r="DJ52" s="19"/>
      <c r="DK52" s="19"/>
      <c r="DL52" s="19"/>
      <c r="DM52" s="19"/>
      <c r="DN52" s="19"/>
      <c r="DO52" s="19"/>
      <c r="DP52" s="19"/>
      <c r="DQ52" s="19"/>
      <c r="DR52" s="19"/>
      <c r="DS52" s="19"/>
      <c r="DT52" s="19"/>
      <c r="DU52" s="19"/>
      <c r="DV52" s="19"/>
      <c r="DW52" s="19"/>
      <c r="DX52" s="19"/>
      <c r="DY52" s="19"/>
      <c r="DZ52" s="19"/>
      <c r="EA52" s="19"/>
      <c r="EB52" s="26" t="s">
        <v>327</v>
      </c>
      <c r="EC52" s="19">
        <v>0</v>
      </c>
      <c r="ED52" s="19">
        <v>0</v>
      </c>
      <c r="EE52" s="19">
        <v>0</v>
      </c>
      <c r="EF52" s="19">
        <v>0</v>
      </c>
      <c r="EG52" s="19">
        <v>2</v>
      </c>
      <c r="EH52" s="19">
        <v>2</v>
      </c>
      <c r="EI52" s="19">
        <v>6</v>
      </c>
      <c r="EJ52" s="19">
        <v>4</v>
      </c>
      <c r="EK52" s="19">
        <v>8</v>
      </c>
      <c r="EL52" s="19">
        <v>6</v>
      </c>
      <c r="EM52" s="19">
        <v>10</v>
      </c>
      <c r="EN52" s="19">
        <v>10</v>
      </c>
      <c r="EO52" s="19">
        <v>12</v>
      </c>
      <c r="EP52" s="19">
        <v>12</v>
      </c>
      <c r="EQ52" s="19">
        <v>14</v>
      </c>
      <c r="ER52" s="19">
        <v>14</v>
      </c>
      <c r="ES52" s="19">
        <v>14</v>
      </c>
      <c r="ET52" s="19">
        <v>16</v>
      </c>
      <c r="EU52" s="19">
        <v>16</v>
      </c>
      <c r="EV52" s="19">
        <v>20</v>
      </c>
      <c r="EW52" s="19">
        <v>18</v>
      </c>
      <c r="EX52" s="19">
        <v>22</v>
      </c>
      <c r="EY52" s="19">
        <v>20</v>
      </c>
      <c r="EZ52" s="19">
        <v>24</v>
      </c>
      <c r="FA52" s="19">
        <v>24</v>
      </c>
      <c r="FB52" s="19">
        <v>26</v>
      </c>
      <c r="FC52" s="19">
        <v>26</v>
      </c>
      <c r="FD52" s="19"/>
      <c r="FE52" s="19"/>
      <c r="FF52" s="19"/>
      <c r="FG52" s="19"/>
      <c r="FH52" s="19"/>
      <c r="FI52" s="19"/>
      <c r="FJ52" s="19"/>
      <c r="FK52" s="19"/>
      <c r="FL52" s="19"/>
      <c r="FM52" s="19"/>
      <c r="FN52" s="19"/>
      <c r="FO52" s="19"/>
      <c r="FP52" s="19"/>
      <c r="FQ52" s="19"/>
      <c r="FR52" s="19"/>
      <c r="FS52" s="19"/>
      <c r="FT52" s="19"/>
      <c r="FU52" s="19"/>
      <c r="FV52" s="19"/>
      <c r="FW52" s="19"/>
      <c r="FX52" s="19"/>
      <c r="FY52" s="19"/>
      <c r="FZ52" s="19"/>
      <c r="GA52" s="19"/>
      <c r="GC52" s="19"/>
      <c r="GD52" s="19"/>
      <c r="GE52" s="26" t="s">
        <v>327</v>
      </c>
      <c r="GF52" s="19">
        <v>0</v>
      </c>
      <c r="GG52" s="19">
        <v>0</v>
      </c>
      <c r="GH52" s="19">
        <v>0</v>
      </c>
      <c r="GI52" s="19">
        <v>4</v>
      </c>
      <c r="GJ52" s="19">
        <v>4</v>
      </c>
      <c r="GK52" s="19">
        <v>4</v>
      </c>
      <c r="GL52" s="19">
        <v>8</v>
      </c>
      <c r="GM52" s="19">
        <v>6</v>
      </c>
      <c r="GN52" s="19">
        <v>10</v>
      </c>
      <c r="GO52" s="19">
        <v>10</v>
      </c>
      <c r="GP52" s="19">
        <v>10</v>
      </c>
      <c r="GQ52" s="19">
        <v>14</v>
      </c>
      <c r="GR52" s="19">
        <v>14</v>
      </c>
      <c r="GS52" s="19">
        <v>16</v>
      </c>
      <c r="GT52" s="19">
        <v>16</v>
      </c>
      <c r="GU52" s="19">
        <v>16</v>
      </c>
      <c r="GV52" s="19">
        <v>20</v>
      </c>
      <c r="GW52" s="19">
        <v>20</v>
      </c>
      <c r="GX52" s="19">
        <v>20</v>
      </c>
      <c r="GY52" s="19">
        <v>22</v>
      </c>
      <c r="GZ52" s="19">
        <v>22</v>
      </c>
      <c r="HA52" s="19">
        <v>26</v>
      </c>
      <c r="HB52" s="19">
        <v>26</v>
      </c>
      <c r="HC52" s="19">
        <v>26</v>
      </c>
      <c r="HD52" s="19">
        <v>30</v>
      </c>
      <c r="HE52" s="19">
        <v>28</v>
      </c>
      <c r="HF52" s="19"/>
      <c r="HG52" s="19"/>
      <c r="HH52" s="19"/>
      <c r="HI52" s="19"/>
      <c r="HJ52" s="19"/>
      <c r="HK52" s="19"/>
      <c r="HL52" s="19"/>
      <c r="HM52" s="19"/>
      <c r="HN52" s="19"/>
      <c r="HO52" s="19"/>
      <c r="HP52" s="19"/>
      <c r="HQ52" s="19"/>
      <c r="HR52" s="19"/>
      <c r="HS52" s="19"/>
      <c r="HT52" s="19"/>
      <c r="HU52" s="19"/>
      <c r="HV52" s="19"/>
      <c r="HW52" s="19"/>
      <c r="HX52" s="19"/>
      <c r="HY52" s="19"/>
      <c r="HZ52" s="19"/>
      <c r="IA52" s="19"/>
      <c r="IB52" s="19"/>
      <c r="IC52" s="19"/>
      <c r="ID52" s="19"/>
      <c r="IF52" s="20" t="s">
        <v>327</v>
      </c>
      <c r="IG52" s="20">
        <v>0</v>
      </c>
      <c r="IH52" s="20">
        <v>2</v>
      </c>
      <c r="II52" s="20">
        <v>2</v>
      </c>
      <c r="IJ52" s="20">
        <v>2</v>
      </c>
      <c r="IK52" s="20">
        <v>4</v>
      </c>
      <c r="IL52" s="20">
        <v>8</v>
      </c>
      <c r="IM52" s="20">
        <v>8</v>
      </c>
      <c r="IN52" s="20">
        <v>8</v>
      </c>
      <c r="IO52" s="20">
        <v>10</v>
      </c>
      <c r="IP52" s="20">
        <v>14</v>
      </c>
      <c r="IQ52" s="20">
        <v>14</v>
      </c>
      <c r="IR52" s="20">
        <v>14</v>
      </c>
      <c r="IS52" s="20">
        <v>18</v>
      </c>
      <c r="IT52" s="20">
        <v>20</v>
      </c>
      <c r="IU52" s="20">
        <v>20</v>
      </c>
      <c r="IV52" s="20">
        <v>20</v>
      </c>
      <c r="IW52" s="20">
        <v>24</v>
      </c>
      <c r="IX52" s="20">
        <v>26</v>
      </c>
      <c r="IY52" s="20">
        <v>26</v>
      </c>
      <c r="IZ52" s="20">
        <v>26</v>
      </c>
      <c r="JA52" s="20">
        <v>30</v>
      </c>
      <c r="JB52" s="20">
        <v>32</v>
      </c>
      <c r="JC52" s="20">
        <v>32</v>
      </c>
      <c r="JD52" s="20">
        <v>32</v>
      </c>
      <c r="JE52" s="20">
        <v>36</v>
      </c>
      <c r="JF52" s="20">
        <v>38</v>
      </c>
    </row>
    <row r="53" spans="1:266" x14ac:dyDescent="0.25">
      <c r="A53" s="8"/>
      <c r="B53" s="5" t="s">
        <v>61</v>
      </c>
      <c r="C53" s="8"/>
      <c r="D53" s="6" t="s">
        <v>458</v>
      </c>
      <c r="E53" s="8">
        <v>0</v>
      </c>
      <c r="F53" s="5"/>
      <c r="G53" s="5"/>
      <c r="H53" s="5"/>
      <c r="I53" s="5"/>
      <c r="J53" s="5" t="s">
        <v>95</v>
      </c>
      <c r="K53" s="4"/>
      <c r="L53" s="6" t="str">
        <f>IF($E$55=$AK$22,"LPAN40",IF($E$55=$AK$23,"LPAN30",IF($E$55=$AK$24,"LC40H35MC",0)))</f>
        <v>LPAN40</v>
      </c>
      <c r="M53" s="14">
        <f>INDEX(cenník!$C$2:$I$568,MATCH($L53,cenník!$B$2:$B$557,0),MATCH(M$24,cenník!$C$1:$I$1,0))</f>
        <v>890512</v>
      </c>
      <c r="N53" s="14" t="str">
        <f>INDEX(cenník!$C$2:$I$568,MATCH($L53,cenník!$B$2:$B$557,0),MATCH(N$24,cenník!$C$1:$I$1,0))</f>
        <v>ks</v>
      </c>
      <c r="O53" s="14">
        <f>SUM(Y47:Y62)</f>
        <v>0</v>
      </c>
      <c r="P53" s="21">
        <f>INDEX(cenník!$C$2:$I$568,MATCH($L53,cenník!$B$2:$B$557,0),MATCH(P$24,cenník!$C$1:$I$1,0))</f>
        <v>1.48</v>
      </c>
      <c r="Q53" s="21">
        <f t="shared" si="31"/>
        <v>0</v>
      </c>
      <c r="R53" s="22">
        <f t="shared" si="28"/>
        <v>0</v>
      </c>
      <c r="S53" s="21">
        <f t="shared" si="29"/>
        <v>1.48</v>
      </c>
      <c r="T53" s="21">
        <f t="shared" si="30"/>
        <v>0</v>
      </c>
      <c r="U53" s="21">
        <f>INDEX(cenník!$C$2:$I$568,MATCH($L53,cenník!$B$2:$B$557,0),MATCH(U$24,cenník!$C$1:$I$1,0))*O53</f>
        <v>0</v>
      </c>
      <c r="V53" s="19"/>
      <c r="W53" s="19"/>
      <c r="X53" s="25">
        <f t="shared" si="27"/>
        <v>0</v>
      </c>
      <c r="Y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53,$BB$2:$CA$2,0),MATCH($W$46,$AH$22:$AH$47,0)))*C53</f>
        <v>0</v>
      </c>
      <c r="Z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53,$BB$2:$CA$2,0),MATCH($W$46,$AH$22:$AH$47,0)))*C53</f>
        <v>0</v>
      </c>
      <c r="AA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53,$BB$2:$CA$2,0),MATCH($W$46,$AH$22:$AH$47,0)))*C53</f>
        <v>0</v>
      </c>
      <c r="AB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53,$BB$2:$CA$2,0),MATCH($W$46,$AH$22:$AH$47,0)))*C53</f>
        <v>0</v>
      </c>
      <c r="AC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53,$BB$2:$CA$2,0),MATCH($W$46,$AH$22:$AH$47,0)))*C53</f>
        <v>0</v>
      </c>
      <c r="AD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53,$BB$2:$CA$2,0),MATCH($W$46,$AH$22:$AH$47,0)))*C53</f>
        <v>0</v>
      </c>
      <c r="AE53" s="19"/>
      <c r="AF53" s="19"/>
      <c r="AG53" s="19">
        <v>30</v>
      </c>
      <c r="AH53" s="19" t="s">
        <v>426</v>
      </c>
      <c r="AI53" s="19">
        <v>0</v>
      </c>
      <c r="AJ53" s="19"/>
      <c r="AK53" s="19"/>
      <c r="AL53" s="19"/>
      <c r="AM53" s="19"/>
      <c r="AN53" s="19"/>
      <c r="AO53" s="19"/>
      <c r="AP53" s="19"/>
      <c r="AQ53" s="19"/>
      <c r="AS53" s="19"/>
      <c r="AT53" s="19"/>
      <c r="AU53" s="19"/>
      <c r="AV53" s="19"/>
      <c r="AW53" s="19"/>
      <c r="AX53" s="19"/>
      <c r="AY53" s="19"/>
      <c r="AZ53" s="19"/>
      <c r="BA53" s="26" t="s">
        <v>328</v>
      </c>
      <c r="BB53" s="19">
        <v>0</v>
      </c>
      <c r="BC53" s="19">
        <v>0</v>
      </c>
      <c r="BD53" s="19">
        <v>0</v>
      </c>
      <c r="BE53" s="19">
        <v>2</v>
      </c>
      <c r="BF53" s="19">
        <v>2</v>
      </c>
      <c r="BG53" s="19">
        <v>2</v>
      </c>
      <c r="BH53" s="19">
        <v>4</v>
      </c>
      <c r="BI53" s="19">
        <v>4</v>
      </c>
      <c r="BJ53" s="19">
        <v>4</v>
      </c>
      <c r="BK53" s="19">
        <v>6</v>
      </c>
      <c r="BL53" s="19">
        <v>6</v>
      </c>
      <c r="BM53" s="19">
        <v>6</v>
      </c>
      <c r="BN53" s="19">
        <v>8</v>
      </c>
      <c r="BO53" s="19">
        <v>8</v>
      </c>
      <c r="BP53" s="19">
        <v>8</v>
      </c>
      <c r="BQ53" s="19">
        <v>10</v>
      </c>
      <c r="BR53" s="19">
        <v>10</v>
      </c>
      <c r="BS53" s="19">
        <v>10</v>
      </c>
      <c r="BT53" s="19">
        <v>12</v>
      </c>
      <c r="BU53" s="19">
        <v>12</v>
      </c>
      <c r="BV53" s="19">
        <v>12</v>
      </c>
      <c r="BW53" s="19">
        <v>14</v>
      </c>
      <c r="BX53" s="19">
        <v>14</v>
      </c>
      <c r="BY53" s="19">
        <v>14</v>
      </c>
      <c r="BZ53" s="19">
        <v>16</v>
      </c>
      <c r="CA53" s="19">
        <v>16</v>
      </c>
      <c r="CB53" s="19"/>
      <c r="CC53" s="19"/>
      <c r="CD53" s="19"/>
      <c r="CE53" s="19"/>
      <c r="CF53" s="19"/>
      <c r="CG53" s="19"/>
      <c r="CH53" s="19"/>
      <c r="CI53" s="19"/>
      <c r="CJ53" s="19"/>
      <c r="CK53" s="19"/>
      <c r="CL53" s="19"/>
      <c r="CM53" s="19"/>
      <c r="CN53" s="19"/>
      <c r="CO53" s="19"/>
      <c r="CP53" s="19"/>
      <c r="CQ53" s="19"/>
      <c r="CR53" s="19"/>
      <c r="CS53" s="19"/>
      <c r="CT53" s="19"/>
      <c r="CU53" s="19"/>
      <c r="CV53" s="19"/>
      <c r="CW53" s="19"/>
      <c r="CX53" s="19"/>
      <c r="CY53" s="19"/>
      <c r="CZ53" s="19"/>
      <c r="DA53" s="17"/>
      <c r="DB53" s="17"/>
      <c r="DC53" s="17"/>
      <c r="DD53" s="26" t="s">
        <v>327</v>
      </c>
      <c r="DE53" s="19">
        <v>0</v>
      </c>
      <c r="DF53" s="19"/>
      <c r="DG53" s="19"/>
      <c r="DH53" s="19"/>
      <c r="DI53" s="19"/>
      <c r="DJ53" s="19"/>
      <c r="DK53" s="19"/>
      <c r="DL53" s="19"/>
      <c r="DM53" s="19"/>
      <c r="DN53" s="19"/>
      <c r="DO53" s="19"/>
      <c r="DP53" s="19"/>
      <c r="DQ53" s="19"/>
      <c r="DR53" s="19"/>
      <c r="DS53" s="19"/>
      <c r="DT53" s="19"/>
      <c r="DU53" s="19"/>
      <c r="DV53" s="19"/>
      <c r="DW53" s="19"/>
      <c r="DX53" s="19"/>
      <c r="DY53" s="19"/>
      <c r="DZ53" s="19"/>
      <c r="EA53" s="19"/>
      <c r="EB53" s="26" t="s">
        <v>328</v>
      </c>
      <c r="EC53" s="19">
        <v>0</v>
      </c>
      <c r="ED53" s="19">
        <v>0</v>
      </c>
      <c r="EE53" s="19">
        <v>0</v>
      </c>
      <c r="EF53" s="19">
        <v>2</v>
      </c>
      <c r="EG53" s="19">
        <v>2</v>
      </c>
      <c r="EH53" s="19">
        <v>4</v>
      </c>
      <c r="EI53" s="19">
        <v>4</v>
      </c>
      <c r="EJ53" s="19">
        <v>6</v>
      </c>
      <c r="EK53" s="19">
        <v>6</v>
      </c>
      <c r="EL53" s="19">
        <v>8</v>
      </c>
      <c r="EM53" s="19">
        <v>8</v>
      </c>
      <c r="EN53" s="19">
        <v>10</v>
      </c>
      <c r="EO53" s="19">
        <v>10</v>
      </c>
      <c r="EP53" s="19">
        <v>12</v>
      </c>
      <c r="EQ53" s="19">
        <v>12</v>
      </c>
      <c r="ER53" s="19">
        <v>14</v>
      </c>
      <c r="ES53" s="19">
        <v>16</v>
      </c>
      <c r="ET53" s="19">
        <v>16</v>
      </c>
      <c r="EU53" s="19">
        <v>18</v>
      </c>
      <c r="EV53" s="19">
        <v>18</v>
      </c>
      <c r="EW53" s="19">
        <v>20</v>
      </c>
      <c r="EX53" s="19">
        <v>20</v>
      </c>
      <c r="EY53" s="19">
        <v>22</v>
      </c>
      <c r="EZ53" s="19">
        <v>22</v>
      </c>
      <c r="FA53" s="19">
        <v>24</v>
      </c>
      <c r="FB53" s="19">
        <v>24</v>
      </c>
      <c r="FC53" s="19">
        <v>26</v>
      </c>
      <c r="FD53" s="19"/>
      <c r="FE53" s="19"/>
      <c r="FF53" s="19"/>
      <c r="FG53" s="19"/>
      <c r="FH53" s="19"/>
      <c r="FI53" s="19"/>
      <c r="FJ53" s="19"/>
      <c r="FK53" s="19"/>
      <c r="FL53" s="19"/>
      <c r="FM53" s="19"/>
      <c r="FN53" s="19"/>
      <c r="FO53" s="19"/>
      <c r="FP53" s="19"/>
      <c r="FQ53" s="19"/>
      <c r="FR53" s="19"/>
      <c r="FS53" s="19"/>
      <c r="FT53" s="19"/>
      <c r="FU53" s="19"/>
      <c r="FV53" s="19"/>
      <c r="FW53" s="19"/>
      <c r="FX53" s="19"/>
      <c r="FY53" s="19"/>
      <c r="FZ53" s="19"/>
      <c r="GA53" s="19"/>
      <c r="GC53" s="19"/>
      <c r="GD53" s="19"/>
      <c r="GE53" s="26" t="s">
        <v>328</v>
      </c>
      <c r="GF53" s="19">
        <v>0</v>
      </c>
      <c r="GG53" s="19">
        <v>0</v>
      </c>
      <c r="GH53" s="19">
        <v>2</v>
      </c>
      <c r="GI53" s="19">
        <v>2</v>
      </c>
      <c r="GJ53" s="19">
        <v>4</v>
      </c>
      <c r="GK53" s="19">
        <v>6</v>
      </c>
      <c r="GL53" s="19">
        <v>6</v>
      </c>
      <c r="GM53" s="19">
        <v>8</v>
      </c>
      <c r="GN53" s="19">
        <v>8</v>
      </c>
      <c r="GO53" s="19">
        <v>10</v>
      </c>
      <c r="GP53" s="19">
        <v>12</v>
      </c>
      <c r="GQ53" s="19">
        <v>12</v>
      </c>
      <c r="GR53" s="19">
        <v>14</v>
      </c>
      <c r="GS53" s="19">
        <v>14</v>
      </c>
      <c r="GT53" s="19">
        <v>16</v>
      </c>
      <c r="GU53" s="19">
        <v>18</v>
      </c>
      <c r="GV53" s="19">
        <v>18</v>
      </c>
      <c r="GW53" s="19">
        <v>20</v>
      </c>
      <c r="GX53" s="19">
        <v>22</v>
      </c>
      <c r="GY53" s="19">
        <v>22</v>
      </c>
      <c r="GZ53" s="19">
        <v>24</v>
      </c>
      <c r="HA53" s="19">
        <v>24</v>
      </c>
      <c r="HB53" s="19">
        <v>26</v>
      </c>
      <c r="HC53" s="19">
        <v>28</v>
      </c>
      <c r="HD53" s="19">
        <v>28</v>
      </c>
      <c r="HE53" s="19">
        <v>30</v>
      </c>
      <c r="HF53" s="19"/>
      <c r="HG53" s="19"/>
      <c r="HH53" s="19"/>
      <c r="HI53" s="19"/>
      <c r="HJ53" s="19"/>
      <c r="HK53" s="19"/>
      <c r="HL53" s="19"/>
      <c r="HM53" s="19"/>
      <c r="HN53" s="19"/>
      <c r="HO53" s="19"/>
      <c r="HP53" s="19"/>
      <c r="HQ53" s="19"/>
      <c r="HR53" s="19"/>
      <c r="HS53" s="19"/>
      <c r="HT53" s="19"/>
      <c r="HU53" s="19"/>
      <c r="HV53" s="19"/>
      <c r="HW53" s="19"/>
      <c r="HX53" s="19"/>
      <c r="HY53" s="19"/>
      <c r="HZ53" s="19"/>
      <c r="IA53" s="19"/>
      <c r="IB53" s="19"/>
      <c r="IC53" s="19"/>
      <c r="ID53" s="19"/>
      <c r="IF53" s="20" t="s">
        <v>328</v>
      </c>
      <c r="IG53" s="20">
        <v>0</v>
      </c>
      <c r="IH53" s="20">
        <v>0</v>
      </c>
      <c r="II53" s="20">
        <v>2</v>
      </c>
      <c r="IJ53" s="20">
        <v>4</v>
      </c>
      <c r="IK53" s="20">
        <v>6</v>
      </c>
      <c r="IL53" s="20">
        <v>6</v>
      </c>
      <c r="IM53" s="20">
        <v>8</v>
      </c>
      <c r="IN53" s="20">
        <v>10</v>
      </c>
      <c r="IO53" s="20">
        <v>12</v>
      </c>
      <c r="IP53" s="20">
        <v>12</v>
      </c>
      <c r="IQ53" s="20">
        <v>14</v>
      </c>
      <c r="IR53" s="20">
        <v>16</v>
      </c>
      <c r="IS53" s="20">
        <v>16</v>
      </c>
      <c r="IT53" s="20">
        <v>18</v>
      </c>
      <c r="IU53" s="20">
        <v>20</v>
      </c>
      <c r="IV53" s="20">
        <v>22</v>
      </c>
      <c r="IW53" s="20">
        <v>22</v>
      </c>
      <c r="IX53" s="20">
        <v>24</v>
      </c>
      <c r="IY53" s="20">
        <v>26</v>
      </c>
      <c r="IZ53" s="20">
        <v>28</v>
      </c>
      <c r="JA53" s="20">
        <v>28</v>
      </c>
      <c r="JB53" s="20">
        <v>30</v>
      </c>
      <c r="JC53" s="20">
        <v>32</v>
      </c>
      <c r="JD53" s="20">
        <v>34</v>
      </c>
      <c r="JE53" s="20">
        <v>34</v>
      </c>
      <c r="JF53" s="20">
        <v>36</v>
      </c>
    </row>
    <row r="54" spans="1:266" x14ac:dyDescent="0.25">
      <c r="A54" s="8"/>
      <c r="B54" s="5" t="s">
        <v>61</v>
      </c>
      <c r="C54" s="8"/>
      <c r="D54" s="6" t="s">
        <v>552</v>
      </c>
      <c r="E54" s="8" t="s">
        <v>472</v>
      </c>
      <c r="F54" s="4"/>
      <c r="G54" s="4"/>
      <c r="H54" s="4"/>
      <c r="I54" s="4"/>
      <c r="J54" s="4"/>
      <c r="K54" s="4"/>
      <c r="L54" s="6" t="str">
        <f>IF($E$54=AF46,"DUFR60E",IF($E$54=AF45,"DUF60E",0))</f>
        <v>DUFR60E</v>
      </c>
      <c r="M54" s="14">
        <f>INDEX(cenník!$C$2:$I$568,MATCH($L54,cenník!$B$2:$B$557,0),MATCH(M$24,cenník!$C$1:$I$1,0))</f>
        <v>897860</v>
      </c>
      <c r="N54" s="14" t="str">
        <f>INDEX(cenník!$C$2:$I$568,MATCH($L54,cenník!$B$2:$B$557,0),MATCH(N$24,cenník!$C$1:$I$1,0))</f>
        <v>ks</v>
      </c>
      <c r="O54" s="14">
        <f>SUM(X46:X61)</f>
        <v>0</v>
      </c>
      <c r="P54" s="21">
        <f>INDEX(cenník!$C$2:$I$568,MATCH($L54,cenník!$B$2:$B$557,0),MATCH(P$24,cenník!$C$1:$I$1,0))</f>
        <v>7.44</v>
      </c>
      <c r="Q54" s="21">
        <f t="shared" si="31"/>
        <v>0</v>
      </c>
      <c r="R54" s="22">
        <f t="shared" si="28"/>
        <v>0</v>
      </c>
      <c r="S54" s="21">
        <f t="shared" si="29"/>
        <v>7.44</v>
      </c>
      <c r="T54" s="21">
        <f t="shared" si="30"/>
        <v>0</v>
      </c>
      <c r="U54" s="21">
        <f>INDEX(cenník!$C$2:$I$568,MATCH($L54,cenník!$B$2:$B$557,0),MATCH(U$24,cenník!$C$1:$I$1,0))*O54</f>
        <v>0</v>
      </c>
      <c r="V54" s="19"/>
      <c r="W54" s="19"/>
      <c r="X54" s="25">
        <f t="shared" si="27"/>
        <v>0</v>
      </c>
      <c r="Y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54,$BB$2:$CA$2,0),MATCH($W$46,$AH$22:$AH$47,0)))*C54</f>
        <v>0</v>
      </c>
      <c r="Z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54,$BB$2:$CA$2,0),MATCH($W$46,$AH$22:$AH$47,0)))*C54</f>
        <v>0</v>
      </c>
      <c r="AA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54,$BB$2:$CA$2,0),MATCH($W$46,$AH$22:$AH$47,0)))*C54</f>
        <v>0</v>
      </c>
      <c r="AB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54,$BB$2:$CA$2,0),MATCH($W$46,$AH$22:$AH$47,0)))*C54</f>
        <v>0</v>
      </c>
      <c r="AC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54,$BB$2:$CA$2,0),MATCH($W$46,$AH$22:$AH$47,0)))*C54</f>
        <v>0</v>
      </c>
      <c r="AD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54,$BB$2:$CA$2,0),MATCH($W$46,$AH$22:$AH$47,0)))*C54</f>
        <v>0</v>
      </c>
      <c r="AE54" s="19" t="str">
        <f>INDEX(($AH$53:$AI$62),MATCH(I48,$AG$53:$AG$62,0),MATCH(E51,$AH$52:$AI$52,0))</f>
        <v>suma</v>
      </c>
      <c r="AF54" s="19"/>
      <c r="AG54" s="19">
        <v>32</v>
      </c>
      <c r="AH54" s="19" t="s">
        <v>426</v>
      </c>
      <c r="AI54" s="19">
        <v>0</v>
      </c>
      <c r="AJ54" s="19"/>
      <c r="AK54" s="19"/>
      <c r="AL54" s="19"/>
      <c r="AN54" s="19"/>
      <c r="AO54" s="19"/>
      <c r="AP54" s="19"/>
      <c r="AQ54" s="19"/>
      <c r="AS54" s="19"/>
      <c r="AT54" s="19"/>
      <c r="AU54" s="19"/>
      <c r="AV54" s="19"/>
      <c r="AW54" s="19"/>
      <c r="AX54" s="19"/>
      <c r="AY54" s="19"/>
      <c r="AZ54" s="19"/>
      <c r="BA54" s="26"/>
      <c r="BB54" s="19"/>
      <c r="BC54" s="19"/>
      <c r="BD54" s="19"/>
      <c r="BE54" s="19"/>
      <c r="BF54" s="19"/>
      <c r="BG54" s="19"/>
      <c r="BH54" s="19"/>
      <c r="BI54" s="19"/>
      <c r="BJ54" s="19"/>
      <c r="BK54" s="19"/>
      <c r="BL54" s="19"/>
      <c r="BM54" s="19"/>
      <c r="BN54" s="19"/>
      <c r="BO54" s="19"/>
      <c r="BP54" s="19"/>
      <c r="BQ54" s="19"/>
      <c r="BR54" s="19"/>
      <c r="BS54" s="19"/>
      <c r="BT54" s="19"/>
      <c r="BU54" s="19"/>
      <c r="BV54" s="19"/>
      <c r="BW54" s="19"/>
      <c r="BX54" s="19"/>
      <c r="BY54" s="19"/>
      <c r="BZ54" s="19"/>
      <c r="CA54" s="19"/>
      <c r="CB54" s="19"/>
      <c r="CC54" s="19"/>
      <c r="CD54" s="19"/>
      <c r="CE54" s="19"/>
      <c r="CF54" s="19"/>
      <c r="CG54" s="19"/>
      <c r="CH54" s="19"/>
      <c r="CI54" s="19"/>
      <c r="CJ54" s="19"/>
      <c r="CK54" s="19"/>
      <c r="CL54" s="19"/>
      <c r="CM54" s="19"/>
      <c r="CN54" s="19"/>
      <c r="CO54" s="19"/>
      <c r="CP54" s="19"/>
      <c r="CQ54" s="19"/>
      <c r="CR54" s="19"/>
      <c r="CS54" s="19"/>
      <c r="CT54" s="19"/>
      <c r="CU54" s="19"/>
      <c r="CV54" s="19"/>
      <c r="CW54" s="19"/>
      <c r="CX54" s="19"/>
      <c r="CY54" s="19"/>
      <c r="CZ54" s="19"/>
      <c r="DA54" s="17"/>
      <c r="DB54" s="17"/>
      <c r="DC54" s="17"/>
      <c r="DD54" s="26" t="s">
        <v>328</v>
      </c>
      <c r="DE54" s="19">
        <v>0</v>
      </c>
      <c r="DF54" s="19"/>
      <c r="DG54" s="19"/>
      <c r="DH54" s="19"/>
      <c r="DI54" s="19"/>
      <c r="DJ54" s="19"/>
      <c r="DK54" s="19"/>
      <c r="DL54" s="19"/>
      <c r="DM54" s="19"/>
      <c r="DN54" s="19"/>
      <c r="DO54" s="19"/>
      <c r="DP54" s="19"/>
      <c r="DQ54" s="19"/>
      <c r="DR54" s="19"/>
      <c r="DS54" s="19"/>
      <c r="DT54" s="19"/>
      <c r="DU54" s="19"/>
      <c r="DV54" s="19"/>
      <c r="DW54" s="19"/>
      <c r="DX54" s="19"/>
      <c r="DY54" s="19"/>
      <c r="DZ54" s="19"/>
      <c r="EA54" s="19"/>
      <c r="EB54" s="19"/>
      <c r="EC54" s="19"/>
      <c r="ED54" s="19"/>
      <c r="EE54" s="19"/>
      <c r="EF54" s="19"/>
      <c r="EG54" s="19"/>
      <c r="EH54" s="19"/>
      <c r="EI54" s="19"/>
      <c r="EJ54" s="19"/>
      <c r="EK54" s="19"/>
      <c r="EL54" s="19"/>
      <c r="EM54" s="19"/>
      <c r="EN54" s="19"/>
      <c r="EO54" s="19"/>
      <c r="EP54" s="19"/>
      <c r="EQ54" s="19"/>
      <c r="ER54" s="19"/>
      <c r="ES54" s="19"/>
      <c r="ET54" s="19"/>
      <c r="EU54" s="19"/>
      <c r="EV54" s="19"/>
      <c r="EW54" s="19"/>
      <c r="EX54" s="19"/>
      <c r="EY54" s="19"/>
      <c r="EZ54" s="19"/>
      <c r="FA54" s="19"/>
      <c r="FB54" s="19"/>
      <c r="FC54" s="19"/>
      <c r="FD54" s="19"/>
      <c r="FE54" s="19"/>
      <c r="FF54" s="19"/>
      <c r="FG54" s="19"/>
      <c r="FH54" s="19"/>
      <c r="FI54" s="19"/>
      <c r="FJ54" s="19"/>
      <c r="FK54" s="19"/>
      <c r="FL54" s="19"/>
      <c r="FM54" s="19"/>
      <c r="FN54" s="19"/>
      <c r="FO54" s="19"/>
      <c r="FP54" s="19"/>
      <c r="FQ54" s="19"/>
      <c r="FR54" s="19"/>
      <c r="FS54" s="19"/>
      <c r="FT54" s="19"/>
      <c r="FU54" s="19"/>
      <c r="FV54" s="19"/>
      <c r="FW54" s="19"/>
      <c r="FX54" s="19"/>
      <c r="FY54" s="19"/>
      <c r="FZ54" s="19"/>
      <c r="GA54" s="19"/>
      <c r="GC54" s="19"/>
      <c r="GD54" s="19"/>
      <c r="GE54" s="19"/>
      <c r="GF54" s="19"/>
      <c r="GG54" s="19"/>
      <c r="GH54" s="19"/>
      <c r="GI54" s="19"/>
      <c r="GJ54" s="19"/>
      <c r="GK54" s="19"/>
      <c r="GL54" s="19"/>
      <c r="GM54" s="19"/>
      <c r="GN54" s="19"/>
      <c r="GO54" s="19"/>
      <c r="GP54" s="19"/>
      <c r="GQ54" s="19"/>
      <c r="GR54" s="19"/>
      <c r="GS54" s="19"/>
      <c r="GT54" s="19"/>
      <c r="GU54" s="19"/>
      <c r="GV54" s="19"/>
      <c r="GW54" s="19"/>
      <c r="GX54" s="19"/>
      <c r="GY54" s="19"/>
      <c r="GZ54" s="19"/>
      <c r="HA54" s="19"/>
      <c r="HB54" s="19"/>
      <c r="HC54" s="19"/>
      <c r="HD54" s="19"/>
      <c r="HE54" s="19"/>
      <c r="HF54" s="19"/>
      <c r="HG54" s="19"/>
      <c r="HH54" s="19"/>
      <c r="HI54" s="19"/>
      <c r="HJ54" s="19"/>
      <c r="HK54" s="19"/>
      <c r="HL54" s="19"/>
      <c r="HM54" s="19"/>
      <c r="HN54" s="19"/>
      <c r="HO54" s="19"/>
      <c r="HP54" s="19"/>
      <c r="HQ54" s="19"/>
      <c r="HR54" s="19"/>
      <c r="HS54" s="19"/>
      <c r="HT54" s="19"/>
      <c r="HU54" s="19"/>
      <c r="HV54" s="19"/>
      <c r="HW54" s="19"/>
      <c r="HX54" s="19"/>
      <c r="HY54" s="19"/>
      <c r="HZ54" s="19"/>
      <c r="IA54" s="19"/>
      <c r="IB54" s="19"/>
      <c r="IC54" s="19"/>
      <c r="ID54" s="19"/>
    </row>
    <row r="55" spans="1:266" x14ac:dyDescent="0.25">
      <c r="A55" s="8"/>
      <c r="B55" s="5" t="s">
        <v>61</v>
      </c>
      <c r="C55" s="8"/>
      <c r="D55" s="6" t="s">
        <v>459</v>
      </c>
      <c r="E55" s="8" t="s">
        <v>469</v>
      </c>
      <c r="F55" s="222" t="str">
        <f>IF(E55="30x32 hliník","možno použiť vo veternej zóne 1 a snehovej zóne 1,2,3 s maximálnou vzdialenosťou podpier 0,8 m podľa noriem PN-EN 1991-1-3 a PN-EN 1991-1-4","")</f>
        <v/>
      </c>
      <c r="G55" s="222"/>
      <c r="H55" s="222"/>
      <c r="I55" s="222"/>
      <c r="J55" s="4"/>
      <c r="K55" s="4"/>
      <c r="L55" s="6" t="s">
        <v>1</v>
      </c>
      <c r="M55" s="14">
        <f>INDEX(cenník!$C$2:$I$568,MATCH($L55,cenník!$B$2:$B$557,0),MATCH(M$24,cenník!$C$1:$I$1,0))</f>
        <v>890661</v>
      </c>
      <c r="N55" s="14" t="str">
        <f>INDEX(cenník!$C$2:$I$568,MATCH($L55,cenník!$B$2:$B$557,0),MATCH(N$24,cenník!$C$1:$I$1,0))</f>
        <v>100ks</v>
      </c>
      <c r="O55" s="14">
        <f>ROUNDUP((O54*2)/100,0)</f>
        <v>0</v>
      </c>
      <c r="P55" s="21">
        <f>INDEX(cenník!$C$2:$I$568,MATCH($L55,cenník!$B$2:$B$557,0),MATCH(P$24,cenník!$C$1:$I$1,0))</f>
        <v>35.67</v>
      </c>
      <c r="Q55" s="21">
        <f t="shared" si="31"/>
        <v>0</v>
      </c>
      <c r="R55" s="22">
        <f t="shared" si="28"/>
        <v>0</v>
      </c>
      <c r="S55" s="21">
        <f t="shared" si="29"/>
        <v>35.67</v>
      </c>
      <c r="T55" s="21">
        <f t="shared" si="30"/>
        <v>0</v>
      </c>
      <c r="U55" s="21">
        <f>INDEX(cenník!$C$2:$I$568,MATCH($L55,cenník!$B$2:$B$557,0),MATCH(U$24,cenník!$C$1:$I$1,0))*O55</f>
        <v>0</v>
      </c>
      <c r="V55" s="19"/>
      <c r="W55" s="19"/>
      <c r="X55" s="25">
        <f t="shared" si="27"/>
        <v>0</v>
      </c>
      <c r="Y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55,$BB$2:$CA$2,0),MATCH($W$46,$AH$22:$AH$47,0)))*C55</f>
        <v>0</v>
      </c>
      <c r="Z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55,$BB$2:$CA$2,0),MATCH($W$46,$AH$22:$AH$47,0)))*C55</f>
        <v>0</v>
      </c>
      <c r="AA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55,$BB$2:$CA$2,0),MATCH($W$46,$AH$22:$AH$47,0)))*C55</f>
        <v>0</v>
      </c>
      <c r="AB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55,$BB$2:$CA$2,0),MATCH($W$46,$AH$22:$AH$47,0)))*C55</f>
        <v>0</v>
      </c>
      <c r="AC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55,$BB$2:$CA$2,0),MATCH($W$46,$AH$22:$AH$47,0)))*C55</f>
        <v>0</v>
      </c>
      <c r="AD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55,$BB$2:$CA$2,0),MATCH($W$46,$AH$22:$AH$47,0)))*C55</f>
        <v>0</v>
      </c>
      <c r="AE55" s="19"/>
      <c r="AF55" s="19"/>
      <c r="AG55" s="19">
        <v>33</v>
      </c>
      <c r="AH55" s="19" t="s">
        <v>426</v>
      </c>
      <c r="AI55" s="19">
        <v>0</v>
      </c>
      <c r="AJ55" s="19"/>
      <c r="AK55" s="19"/>
      <c r="AL55" s="19"/>
      <c r="AM55" s="19" t="s">
        <v>468</v>
      </c>
      <c r="AN55" s="19" t="s">
        <v>466</v>
      </c>
      <c r="AO55" s="19" t="s">
        <v>467</v>
      </c>
      <c r="AP55" s="19"/>
      <c r="AQ55" s="19"/>
      <c r="AS55" s="19" t="s">
        <v>468</v>
      </c>
      <c r="AT55" s="19" t="s">
        <v>466</v>
      </c>
      <c r="AU55" s="19" t="s">
        <v>467</v>
      </c>
      <c r="AV55" s="19"/>
      <c r="AW55" s="19"/>
      <c r="AX55" s="19"/>
      <c r="AY55" s="19"/>
      <c r="AZ55" s="19"/>
      <c r="BA55" s="19" t="s">
        <v>205</v>
      </c>
      <c r="BB55" s="19"/>
      <c r="BC55" s="19"/>
      <c r="BD55" s="19"/>
      <c r="BE55" s="19"/>
      <c r="BF55" s="19"/>
      <c r="BG55" s="19"/>
      <c r="BH55" s="19"/>
      <c r="BI55" s="19"/>
      <c r="BJ55" s="19"/>
      <c r="BK55" s="19"/>
      <c r="BL55" s="19"/>
      <c r="BM55" s="19"/>
      <c r="BN55" s="19"/>
      <c r="BO55" s="19"/>
      <c r="BP55" s="19"/>
      <c r="BQ55" s="19"/>
      <c r="BR55" s="19"/>
      <c r="BS55" s="19"/>
      <c r="BT55" s="19"/>
      <c r="BU55" s="19"/>
      <c r="BV55" s="19"/>
      <c r="BW55" s="19"/>
      <c r="BX55" s="19"/>
      <c r="BY55" s="19"/>
      <c r="BZ55" s="19"/>
      <c r="CA55" s="19"/>
      <c r="CB55" s="19"/>
      <c r="CC55" s="19"/>
      <c r="CD55" s="19"/>
      <c r="CE55" s="19"/>
      <c r="CF55" s="19"/>
      <c r="CG55" s="19"/>
      <c r="CH55" s="19"/>
      <c r="CI55" s="19"/>
      <c r="CJ55" s="19"/>
      <c r="CK55" s="19"/>
      <c r="CL55" s="19"/>
      <c r="CM55" s="19"/>
      <c r="CN55" s="19"/>
      <c r="CO55" s="19"/>
      <c r="CP55" s="19"/>
      <c r="CQ55" s="19"/>
      <c r="CR55" s="19"/>
      <c r="CS55" s="19"/>
      <c r="CT55" s="19"/>
      <c r="CU55" s="19"/>
      <c r="CV55" s="19"/>
      <c r="CW55" s="19"/>
      <c r="CX55" s="19"/>
      <c r="CY55" s="19"/>
      <c r="CZ55" s="19"/>
      <c r="DA55" s="17"/>
      <c r="DB55" s="17"/>
      <c r="DC55" s="17"/>
      <c r="DD55" s="19"/>
      <c r="DE55" s="19"/>
      <c r="DF55" s="19"/>
      <c r="DG55" s="19"/>
      <c r="DH55" s="19"/>
      <c r="DI55" s="19"/>
      <c r="DJ55" s="19"/>
      <c r="DK55" s="19"/>
      <c r="DL55" s="19"/>
      <c r="DM55" s="19"/>
      <c r="DN55" s="19"/>
      <c r="DO55" s="19"/>
      <c r="DP55" s="19"/>
      <c r="DQ55" s="19"/>
      <c r="DR55" s="19"/>
      <c r="DS55" s="19"/>
      <c r="DT55" s="19"/>
      <c r="DU55" s="19"/>
      <c r="DV55" s="19"/>
      <c r="DW55" s="19"/>
      <c r="DX55" s="19"/>
      <c r="DY55" s="19"/>
      <c r="DZ55" s="19"/>
      <c r="EA55" s="19"/>
      <c r="EB55" s="19" t="s">
        <v>195</v>
      </c>
      <c r="EC55" s="19"/>
      <c r="ED55" s="19"/>
      <c r="EE55" s="19"/>
      <c r="EF55" s="19"/>
      <c r="EG55" s="19"/>
      <c r="EH55" s="19"/>
      <c r="EI55" s="19"/>
      <c r="EJ55" s="19"/>
      <c r="EK55" s="19"/>
      <c r="EL55" s="19"/>
      <c r="EM55" s="19"/>
      <c r="EN55" s="19"/>
      <c r="EO55" s="19"/>
      <c r="EP55" s="19"/>
      <c r="EQ55" s="19"/>
      <c r="ER55" s="19"/>
      <c r="ES55" s="19"/>
      <c r="ET55" s="19"/>
      <c r="EU55" s="19"/>
      <c r="EV55" s="19"/>
      <c r="EW55" s="19"/>
      <c r="EX55" s="19"/>
      <c r="EY55" s="19"/>
      <c r="EZ55" s="19"/>
      <c r="FA55" s="19"/>
      <c r="FB55" s="19"/>
      <c r="FC55" s="19"/>
      <c r="FD55" s="19"/>
      <c r="FE55" s="19"/>
      <c r="FF55" s="19"/>
      <c r="FG55" s="19"/>
      <c r="FH55" s="19"/>
      <c r="FI55" s="19"/>
      <c r="FJ55" s="19"/>
      <c r="FK55" s="19"/>
      <c r="FL55" s="19"/>
      <c r="FM55" s="19"/>
      <c r="FN55" s="19"/>
      <c r="FO55" s="19"/>
      <c r="FP55" s="19"/>
      <c r="FQ55" s="19"/>
      <c r="FR55" s="19"/>
      <c r="FS55" s="19"/>
      <c r="FT55" s="19"/>
      <c r="FU55" s="19"/>
      <c r="FV55" s="19"/>
      <c r="FW55" s="19"/>
      <c r="FX55" s="19"/>
      <c r="FY55" s="19"/>
      <c r="FZ55" s="19"/>
      <c r="GA55" s="19"/>
      <c r="GC55" s="19"/>
      <c r="GD55" s="19"/>
      <c r="GE55" s="19" t="s">
        <v>71</v>
      </c>
      <c r="GF55" s="19"/>
      <c r="GG55" s="19"/>
      <c r="GH55" s="19"/>
      <c r="GI55" s="19"/>
      <c r="GJ55" s="19"/>
      <c r="GK55" s="19"/>
      <c r="GL55" s="19"/>
      <c r="GM55" s="19"/>
      <c r="GN55" s="19"/>
      <c r="GO55" s="19"/>
      <c r="GP55" s="19"/>
      <c r="GQ55" s="19"/>
      <c r="GR55" s="19"/>
      <c r="GS55" s="19"/>
      <c r="GT55" s="19"/>
      <c r="GU55" s="19"/>
      <c r="GV55" s="19"/>
      <c r="GW55" s="19"/>
      <c r="GX55" s="19"/>
      <c r="GY55" s="19"/>
      <c r="GZ55" s="19"/>
      <c r="HA55" s="19"/>
      <c r="HB55" s="19"/>
      <c r="HC55" s="19"/>
      <c r="HD55" s="19"/>
      <c r="HE55" s="19"/>
      <c r="HF55" s="19"/>
      <c r="HG55" s="19"/>
      <c r="HH55" s="19"/>
      <c r="HI55" s="19"/>
      <c r="HJ55" s="19"/>
      <c r="HK55" s="19"/>
      <c r="HL55" s="19"/>
      <c r="HM55" s="19"/>
      <c r="HN55" s="19"/>
      <c r="HO55" s="19"/>
      <c r="HP55" s="19"/>
      <c r="HQ55" s="19"/>
      <c r="HR55" s="19"/>
      <c r="HS55" s="19"/>
      <c r="HT55" s="19"/>
      <c r="HU55" s="19"/>
      <c r="HV55" s="19"/>
      <c r="HW55" s="19"/>
      <c r="HX55" s="19"/>
      <c r="HY55" s="19"/>
      <c r="HZ55" s="19"/>
      <c r="IA55" s="19"/>
      <c r="IB55" s="19"/>
      <c r="IC55" s="19"/>
      <c r="ID55" s="19"/>
      <c r="IF55" s="20" t="s">
        <v>387</v>
      </c>
    </row>
    <row r="56" spans="1:266" x14ac:dyDescent="0.25">
      <c r="A56" s="8"/>
      <c r="B56" s="5" t="s">
        <v>61</v>
      </c>
      <c r="C56" s="8"/>
      <c r="D56" s="6" t="s">
        <v>460</v>
      </c>
      <c r="E56" s="8">
        <v>0</v>
      </c>
      <c r="F56" s="222"/>
      <c r="G56" s="222"/>
      <c r="H56" s="222"/>
      <c r="I56" s="222"/>
      <c r="J56" s="5" t="s">
        <v>461</v>
      </c>
      <c r="K56" s="4"/>
      <c r="L56" s="6" t="str">
        <f>IF(E55=$AK$22,"SSZ10x20E A2",IF(E55=$AK$23,"SSZ10x20E A2",IF(E55=$AK$24,"SGKFM10X20PV",0)))</f>
        <v>SSZ10x20E A2</v>
      </c>
      <c r="M56" s="14">
        <f>INDEX(cenník!$C$2:$I$568,MATCH($L56,cenník!$B$2:$B$557,0),MATCH(M$24,cenník!$C$1:$I$1,0))</f>
        <v>991020</v>
      </c>
      <c r="N56" s="14" t="str">
        <f>INDEX(cenník!$C$2:$I$568,MATCH($L56,cenník!$B$2:$B$557,0),MATCH(N$24,cenník!$C$1:$I$1,0))</f>
        <v>100ks</v>
      </c>
      <c r="O56" s="14">
        <f>ROUNDUP(((O54+IF(E55=$AK$24,E56+O53*4,0))/100),0)</f>
        <v>0</v>
      </c>
      <c r="P56" s="21">
        <f>INDEX(cenník!$C$2:$I$568,MATCH($L56,cenník!$B$2:$B$557,0),MATCH(P$24,cenník!$C$1:$I$1,0))</f>
        <v>24.13</v>
      </c>
      <c r="Q56" s="21">
        <f t="shared" si="31"/>
        <v>0</v>
      </c>
      <c r="R56" s="22">
        <f t="shared" si="28"/>
        <v>0</v>
      </c>
      <c r="S56" s="21">
        <f t="shared" si="29"/>
        <v>24.13</v>
      </c>
      <c r="T56" s="21">
        <f t="shared" si="30"/>
        <v>0</v>
      </c>
      <c r="U56" s="21">
        <f>INDEX(cenník!$C$2:$I$568,MATCH($L56,cenník!$B$2:$B$557,0),MATCH(U$24,cenník!$C$1:$I$1,0))*O56</f>
        <v>0</v>
      </c>
      <c r="V56" s="19"/>
      <c r="W56" s="19"/>
      <c r="X56" s="25">
        <f t="shared" si="27"/>
        <v>0</v>
      </c>
      <c r="Y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56,$BB$2:$CA$2,0),MATCH($W$46,$AH$22:$AH$47,0)))*C56</f>
        <v>0</v>
      </c>
      <c r="Z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56,$BB$2:$CA$2,0),MATCH($W$46,$AH$22:$AH$47,0)))*C56</f>
        <v>0</v>
      </c>
      <c r="AA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56,$BB$2:$CA$2,0),MATCH($W$46,$AH$22:$AH$47,0)))*C56</f>
        <v>0</v>
      </c>
      <c r="AB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56,$BB$2:$CA$2,0),MATCH($W$46,$AH$22:$AH$47,0)))*C56</f>
        <v>0</v>
      </c>
      <c r="AC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56,$BB$2:$CA$2,0),MATCH($W$46,$AH$22:$AH$47,0)))*C56</f>
        <v>0</v>
      </c>
      <c r="AD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56,$BB$2:$CA$2,0),MATCH($W$46,$AH$22:$AH$47,0)))*C56</f>
        <v>0</v>
      </c>
      <c r="AE56" s="19"/>
      <c r="AF56" s="19"/>
      <c r="AG56" s="19">
        <v>34</v>
      </c>
      <c r="AH56" s="19" t="s">
        <v>426</v>
      </c>
      <c r="AI56" s="19">
        <v>0</v>
      </c>
      <c r="AJ56" s="19"/>
      <c r="AK56" s="19"/>
      <c r="AL56" s="19"/>
      <c r="AM56" s="19">
        <v>30</v>
      </c>
      <c r="AN56" s="19" t="s">
        <v>200</v>
      </c>
      <c r="AO56" s="19" t="s">
        <v>201</v>
      </c>
      <c r="AP56" s="19" t="s">
        <v>202</v>
      </c>
      <c r="AQ56" s="19" t="s">
        <v>129</v>
      </c>
      <c r="AS56" s="19">
        <v>30</v>
      </c>
      <c r="AT56" s="19" t="s">
        <v>473</v>
      </c>
      <c r="AU56" s="19" t="s">
        <v>473</v>
      </c>
      <c r="AV56" s="19" t="s">
        <v>473</v>
      </c>
      <c r="AW56" s="19" t="s">
        <v>473</v>
      </c>
      <c r="AX56" s="19"/>
      <c r="AY56" s="19"/>
      <c r="AZ56" s="19"/>
      <c r="BB56" s="19">
        <v>0</v>
      </c>
      <c r="BC56" s="19">
        <v>1</v>
      </c>
      <c r="BD56" s="19">
        <v>2</v>
      </c>
      <c r="BE56" s="19">
        <v>3</v>
      </c>
      <c r="BF56" s="19">
        <v>4</v>
      </c>
      <c r="BG56" s="19">
        <v>5</v>
      </c>
      <c r="BH56" s="19">
        <v>6</v>
      </c>
      <c r="BI56" s="19">
        <v>7</v>
      </c>
      <c r="BJ56" s="19">
        <v>8</v>
      </c>
      <c r="BK56" s="19">
        <v>9</v>
      </c>
      <c r="BL56" s="19">
        <v>10</v>
      </c>
      <c r="BM56" s="19">
        <v>11</v>
      </c>
      <c r="BN56" s="19">
        <v>12</v>
      </c>
      <c r="BO56" s="19">
        <v>13</v>
      </c>
      <c r="BP56" s="19">
        <v>14</v>
      </c>
      <c r="BQ56" s="19">
        <v>15</v>
      </c>
      <c r="BR56" s="19">
        <v>16</v>
      </c>
      <c r="BS56" s="19">
        <v>17</v>
      </c>
      <c r="BT56" s="19">
        <v>18</v>
      </c>
      <c r="BU56" s="19">
        <v>19</v>
      </c>
      <c r="BV56" s="19">
        <v>20</v>
      </c>
      <c r="BW56" s="19">
        <v>21</v>
      </c>
      <c r="BX56" s="19">
        <v>22</v>
      </c>
      <c r="BY56" s="19">
        <v>23</v>
      </c>
      <c r="BZ56" s="19">
        <v>24</v>
      </c>
      <c r="CA56" s="19">
        <v>25</v>
      </c>
      <c r="CB56" s="19">
        <v>26</v>
      </c>
      <c r="CC56" s="19">
        <v>27</v>
      </c>
      <c r="CD56" s="19">
        <v>28</v>
      </c>
      <c r="CE56" s="19">
        <v>29</v>
      </c>
      <c r="CF56" s="19">
        <v>30</v>
      </c>
      <c r="CG56" s="19">
        <v>31</v>
      </c>
      <c r="CH56" s="19">
        <v>32</v>
      </c>
      <c r="CI56" s="19">
        <v>33</v>
      </c>
      <c r="CJ56" s="19">
        <v>34</v>
      </c>
      <c r="CK56" s="19">
        <v>35</v>
      </c>
      <c r="CL56" s="19">
        <v>36</v>
      </c>
      <c r="CM56" s="19">
        <v>37</v>
      </c>
      <c r="CN56" s="19">
        <v>38</v>
      </c>
      <c r="CO56" s="19">
        <v>39</v>
      </c>
      <c r="CP56" s="19">
        <v>40</v>
      </c>
      <c r="CQ56" s="19">
        <v>41</v>
      </c>
      <c r="CR56" s="19">
        <v>42</v>
      </c>
      <c r="CS56" s="19">
        <v>43</v>
      </c>
      <c r="CT56" s="19">
        <v>44</v>
      </c>
      <c r="CU56" s="19">
        <v>45</v>
      </c>
      <c r="CV56" s="19">
        <v>46</v>
      </c>
      <c r="CW56" s="19">
        <v>47</v>
      </c>
      <c r="CX56" s="19">
        <v>48</v>
      </c>
      <c r="CY56" s="19">
        <v>49</v>
      </c>
      <c r="CZ56" s="19">
        <v>50</v>
      </c>
      <c r="DA56" s="17"/>
      <c r="DB56" s="17"/>
      <c r="DC56" s="17"/>
      <c r="DD56" s="19" t="s">
        <v>57</v>
      </c>
      <c r="DE56" s="19">
        <v>0</v>
      </c>
      <c r="DF56" s="19">
        <v>1</v>
      </c>
      <c r="DG56" s="19">
        <v>2</v>
      </c>
      <c r="DH56" s="19">
        <v>3</v>
      </c>
      <c r="DI56" s="19">
        <v>4</v>
      </c>
      <c r="DJ56" s="19">
        <v>5</v>
      </c>
      <c r="DK56" s="19">
        <v>6</v>
      </c>
      <c r="DL56" s="19">
        <v>7</v>
      </c>
      <c r="DM56" s="19">
        <v>8</v>
      </c>
      <c r="DN56" s="19">
        <v>9</v>
      </c>
      <c r="DO56" s="19">
        <v>10</v>
      </c>
      <c r="DP56" s="19">
        <v>11</v>
      </c>
      <c r="DQ56" s="19">
        <v>12</v>
      </c>
      <c r="DR56" s="19">
        <v>13</v>
      </c>
      <c r="DS56" s="19">
        <v>14</v>
      </c>
      <c r="DT56" s="19">
        <v>15</v>
      </c>
      <c r="DU56" s="19">
        <v>16</v>
      </c>
      <c r="DV56" s="19">
        <v>17</v>
      </c>
      <c r="DW56" s="19">
        <v>18</v>
      </c>
      <c r="DX56" s="19">
        <v>19</v>
      </c>
      <c r="DY56" s="19">
        <v>20</v>
      </c>
      <c r="DZ56" s="19"/>
      <c r="EA56" s="19"/>
      <c r="EB56" s="19"/>
      <c r="EC56" s="19">
        <v>0</v>
      </c>
      <c r="ED56" s="19">
        <v>1</v>
      </c>
      <c r="EE56" s="19">
        <v>2</v>
      </c>
      <c r="EF56" s="19">
        <v>3</v>
      </c>
      <c r="EG56" s="19">
        <v>4</v>
      </c>
      <c r="EH56" s="19">
        <v>5</v>
      </c>
      <c r="EI56" s="19">
        <v>6</v>
      </c>
      <c r="EJ56" s="19">
        <v>7</v>
      </c>
      <c r="EK56" s="19">
        <v>8</v>
      </c>
      <c r="EL56" s="19">
        <v>9</v>
      </c>
      <c r="EM56" s="19">
        <v>10</v>
      </c>
      <c r="EN56" s="19">
        <v>11</v>
      </c>
      <c r="EO56" s="19">
        <v>12</v>
      </c>
      <c r="EP56" s="19">
        <v>13</v>
      </c>
      <c r="EQ56" s="19">
        <v>14</v>
      </c>
      <c r="ER56" s="19">
        <v>15</v>
      </c>
      <c r="ES56" s="19">
        <v>16</v>
      </c>
      <c r="ET56" s="19">
        <v>17</v>
      </c>
      <c r="EU56" s="19">
        <v>18</v>
      </c>
      <c r="EV56" s="19">
        <v>19</v>
      </c>
      <c r="EW56" s="19">
        <v>20</v>
      </c>
      <c r="EX56" s="19">
        <v>21</v>
      </c>
      <c r="EY56" s="19">
        <v>22</v>
      </c>
      <c r="EZ56" s="19">
        <v>23</v>
      </c>
      <c r="FA56" s="19">
        <v>24</v>
      </c>
      <c r="FB56" s="19">
        <v>25</v>
      </c>
      <c r="FC56" s="19">
        <v>26</v>
      </c>
      <c r="FD56" s="19">
        <v>27</v>
      </c>
      <c r="FE56" s="19">
        <v>28</v>
      </c>
      <c r="FF56" s="19">
        <v>29</v>
      </c>
      <c r="FG56" s="19">
        <v>30</v>
      </c>
      <c r="FH56" s="19">
        <v>31</v>
      </c>
      <c r="FI56" s="19">
        <v>32</v>
      </c>
      <c r="FJ56" s="19">
        <v>33</v>
      </c>
      <c r="FK56" s="19">
        <v>34</v>
      </c>
      <c r="FL56" s="19">
        <v>35</v>
      </c>
      <c r="FM56" s="19">
        <v>36</v>
      </c>
      <c r="FN56" s="19">
        <v>37</v>
      </c>
      <c r="FO56" s="19">
        <v>38</v>
      </c>
      <c r="FP56" s="19">
        <v>39</v>
      </c>
      <c r="FQ56" s="19">
        <v>40</v>
      </c>
      <c r="FR56" s="19">
        <v>41</v>
      </c>
      <c r="FS56" s="19">
        <v>42</v>
      </c>
      <c r="FT56" s="19">
        <v>43</v>
      </c>
      <c r="FU56" s="19">
        <v>44</v>
      </c>
      <c r="FV56" s="19">
        <v>45</v>
      </c>
      <c r="FW56" s="19">
        <v>46</v>
      </c>
      <c r="FX56" s="19">
        <v>47</v>
      </c>
      <c r="FY56" s="19">
        <v>48</v>
      </c>
      <c r="FZ56" s="19">
        <v>49</v>
      </c>
      <c r="GA56" s="19">
        <v>50</v>
      </c>
      <c r="GC56" s="19"/>
      <c r="GD56" s="19"/>
      <c r="GE56" s="19"/>
      <c r="GF56" s="19">
        <v>0</v>
      </c>
      <c r="GG56" s="19">
        <v>1</v>
      </c>
      <c r="GH56" s="19">
        <v>2</v>
      </c>
      <c r="GI56" s="19">
        <v>3</v>
      </c>
      <c r="GJ56" s="19">
        <v>4</v>
      </c>
      <c r="GK56" s="19">
        <v>5</v>
      </c>
      <c r="GL56" s="19">
        <v>6</v>
      </c>
      <c r="GM56" s="19">
        <v>7</v>
      </c>
      <c r="GN56" s="19">
        <v>8</v>
      </c>
      <c r="GO56" s="19">
        <v>9</v>
      </c>
      <c r="GP56" s="19">
        <v>10</v>
      </c>
      <c r="GQ56" s="19">
        <v>11</v>
      </c>
      <c r="GR56" s="19">
        <v>12</v>
      </c>
      <c r="GS56" s="19">
        <v>13</v>
      </c>
      <c r="GT56" s="19">
        <v>14</v>
      </c>
      <c r="GU56" s="19">
        <v>15</v>
      </c>
      <c r="GV56" s="19">
        <v>16</v>
      </c>
      <c r="GW56" s="19">
        <v>17</v>
      </c>
      <c r="GX56" s="19">
        <v>18</v>
      </c>
      <c r="GY56" s="19">
        <v>19</v>
      </c>
      <c r="GZ56" s="19">
        <v>20</v>
      </c>
      <c r="HA56" s="19">
        <v>21</v>
      </c>
      <c r="HB56" s="19">
        <v>22</v>
      </c>
      <c r="HC56" s="19">
        <v>23</v>
      </c>
      <c r="HD56" s="19">
        <v>24</v>
      </c>
      <c r="HE56" s="19">
        <v>25</v>
      </c>
      <c r="HF56" s="19">
        <v>26</v>
      </c>
      <c r="HG56" s="19">
        <v>27</v>
      </c>
      <c r="HH56" s="19">
        <v>28</v>
      </c>
      <c r="HI56" s="19">
        <v>29</v>
      </c>
      <c r="HJ56" s="19">
        <v>30</v>
      </c>
      <c r="HK56" s="19">
        <v>31</v>
      </c>
      <c r="HL56" s="19">
        <v>32</v>
      </c>
      <c r="HM56" s="19">
        <v>33</v>
      </c>
      <c r="HN56" s="19">
        <v>34</v>
      </c>
      <c r="HO56" s="19">
        <v>35</v>
      </c>
      <c r="HP56" s="19">
        <v>36</v>
      </c>
      <c r="HQ56" s="19">
        <v>37</v>
      </c>
      <c r="HR56" s="19">
        <v>38</v>
      </c>
      <c r="HS56" s="19">
        <v>39</v>
      </c>
      <c r="HT56" s="19">
        <v>40</v>
      </c>
      <c r="HU56" s="19">
        <v>41</v>
      </c>
      <c r="HV56" s="19">
        <v>42</v>
      </c>
      <c r="HW56" s="19">
        <v>43</v>
      </c>
      <c r="HX56" s="19">
        <v>44</v>
      </c>
      <c r="HY56" s="19">
        <v>45</v>
      </c>
      <c r="HZ56" s="19">
        <v>46</v>
      </c>
      <c r="IA56" s="19">
        <v>47</v>
      </c>
      <c r="IB56" s="19">
        <v>48</v>
      </c>
      <c r="IC56" s="19">
        <v>49</v>
      </c>
      <c r="ID56" s="19">
        <v>50</v>
      </c>
      <c r="IG56" s="20">
        <v>0</v>
      </c>
      <c r="IH56" s="20">
        <v>1</v>
      </c>
      <c r="II56" s="20">
        <v>2</v>
      </c>
      <c r="IJ56" s="20">
        <v>3</v>
      </c>
      <c r="IK56" s="20">
        <v>4</v>
      </c>
      <c r="IL56" s="20">
        <v>5</v>
      </c>
      <c r="IM56" s="20">
        <v>6</v>
      </c>
      <c r="IN56" s="20">
        <v>7</v>
      </c>
      <c r="IO56" s="20">
        <v>8</v>
      </c>
      <c r="IP56" s="20">
        <v>9</v>
      </c>
      <c r="IQ56" s="20">
        <v>10</v>
      </c>
      <c r="IR56" s="20">
        <v>11</v>
      </c>
      <c r="IS56" s="20">
        <v>12</v>
      </c>
      <c r="IT56" s="20">
        <v>13</v>
      </c>
      <c r="IU56" s="20">
        <v>14</v>
      </c>
      <c r="IV56" s="20">
        <v>15</v>
      </c>
      <c r="IW56" s="20">
        <v>16</v>
      </c>
      <c r="IX56" s="20">
        <v>17</v>
      </c>
      <c r="IY56" s="20">
        <v>18</v>
      </c>
      <c r="IZ56" s="20">
        <v>19</v>
      </c>
      <c r="JA56" s="20">
        <v>20</v>
      </c>
      <c r="JB56" s="20">
        <v>21</v>
      </c>
      <c r="JC56" s="20">
        <v>22</v>
      </c>
      <c r="JD56" s="20">
        <v>23</v>
      </c>
      <c r="JE56" s="20">
        <v>24</v>
      </c>
      <c r="JF56" s="20">
        <v>25</v>
      </c>
    </row>
    <row r="57" spans="1:266" x14ac:dyDescent="0.25">
      <c r="A57" s="8"/>
      <c r="B57" s="5" t="s">
        <v>61</v>
      </c>
      <c r="C57" s="8"/>
      <c r="D57" s="6" t="s">
        <v>474</v>
      </c>
      <c r="E57" s="4"/>
      <c r="F57" s="222"/>
      <c r="G57" s="222"/>
      <c r="H57" s="222"/>
      <c r="I57" s="222"/>
      <c r="J57" s="4"/>
      <c r="K57" s="4"/>
      <c r="L57" s="6" t="str">
        <f>IF(E55=$AK$22,"NKZM10E A2",IF(E55=$AK$23,"NKZM10E A2",IF(E55=$AK$24,"-------",0)))</f>
        <v>NKZM10E A2</v>
      </c>
      <c r="M57" s="14">
        <f>INDEX(cenník!$C$2:$I$568,MATCH($L57,cenník!$B$2:$B$557,0),MATCH(M$24,cenník!$C$1:$I$1,0))</f>
        <v>890009</v>
      </c>
      <c r="N57" s="14" t="str">
        <f>INDEX(cenník!$C$2:$I$568,MATCH($L57,cenník!$B$2:$B$557,0),MATCH(N$24,cenník!$C$1:$I$1,0))</f>
        <v>100ks</v>
      </c>
      <c r="O57" s="14">
        <f>IF(L57="-------",0,ROUNDUP((O54/100),0))</f>
        <v>0</v>
      </c>
      <c r="P57" s="21">
        <f>INDEX(cenník!$C$2:$I$568,MATCH($L57,cenník!$B$2:$B$557,0),MATCH(P$24,cenník!$C$1:$I$1,0))</f>
        <v>15.96</v>
      </c>
      <c r="Q57" s="21">
        <f t="shared" si="31"/>
        <v>0</v>
      </c>
      <c r="R57" s="22">
        <f t="shared" si="28"/>
        <v>0</v>
      </c>
      <c r="S57" s="21">
        <f t="shared" si="29"/>
        <v>15.96</v>
      </c>
      <c r="T57" s="21">
        <f t="shared" si="30"/>
        <v>0</v>
      </c>
      <c r="U57" s="21">
        <f>INDEX(cenník!$C$2:$I$568,MATCH($L57,cenník!$B$2:$B$557,0),MATCH(U$24,cenník!$C$1:$I$1,0))*O57</f>
        <v>0</v>
      </c>
      <c r="V57" s="19"/>
      <c r="W57" s="19"/>
      <c r="X57" s="25">
        <f t="shared" si="27"/>
        <v>0</v>
      </c>
      <c r="Y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57,$BB$2:$CA$2,0),MATCH($W$46,$AH$22:$AH$47,0)))*C57</f>
        <v>0</v>
      </c>
      <c r="Z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57,$BB$2:$CA$2,0),MATCH($W$46,$AH$22:$AH$47,0)))*C57</f>
        <v>0</v>
      </c>
      <c r="AA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57,$BB$2:$CA$2,0),MATCH($W$46,$AH$22:$AH$47,0)))*C57</f>
        <v>0</v>
      </c>
      <c r="AB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57,$BB$2:$CA$2,0),MATCH($W$46,$AH$22:$AH$47,0)))*C57</f>
        <v>0</v>
      </c>
      <c r="AC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57,$BB$2:$CA$2,0),MATCH($W$46,$AH$22:$AH$47,0)))*C57</f>
        <v>0</v>
      </c>
      <c r="AD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57,$BB$2:$CA$2,0),MATCH($W$46,$AH$22:$AH$47,0)))*C57</f>
        <v>0</v>
      </c>
      <c r="AE57" s="19"/>
      <c r="AF57" s="19"/>
      <c r="AG57" s="19">
        <v>35</v>
      </c>
      <c r="AH57" s="19" t="s">
        <v>426</v>
      </c>
      <c r="AI57" s="19">
        <v>0</v>
      </c>
      <c r="AJ57" s="19"/>
      <c r="AK57" s="19"/>
      <c r="AL57" s="19"/>
      <c r="AM57" s="19">
        <v>32</v>
      </c>
      <c r="AN57" s="19" t="s">
        <v>20</v>
      </c>
      <c r="AO57" s="19" t="s">
        <v>21</v>
      </c>
      <c r="AP57" s="19" t="s">
        <v>55</v>
      </c>
      <c r="AQ57" s="19" t="s">
        <v>129</v>
      </c>
      <c r="AS57" s="19">
        <v>32</v>
      </c>
      <c r="AT57" s="19" t="s">
        <v>473</v>
      </c>
      <c r="AU57" s="19" t="s">
        <v>473</v>
      </c>
      <c r="AV57" s="19" t="s">
        <v>473</v>
      </c>
      <c r="AW57" s="19" t="s">
        <v>473</v>
      </c>
      <c r="AX57" s="19"/>
      <c r="AY57" s="19"/>
      <c r="AZ57" s="19"/>
      <c r="BA57" s="19" t="s">
        <v>63</v>
      </c>
      <c r="BB57" s="19">
        <v>0</v>
      </c>
      <c r="BC57" s="19">
        <v>0</v>
      </c>
      <c r="BD57" s="19">
        <v>0</v>
      </c>
      <c r="BE57" s="19">
        <v>0</v>
      </c>
      <c r="BF57" s="19">
        <v>0</v>
      </c>
      <c r="BG57" s="19">
        <v>0</v>
      </c>
      <c r="BH57" s="19">
        <v>0</v>
      </c>
      <c r="BI57" s="19">
        <v>0</v>
      </c>
      <c r="BJ57" s="19">
        <v>0</v>
      </c>
      <c r="BK57" s="19">
        <v>0</v>
      </c>
      <c r="BL57" s="19">
        <v>0</v>
      </c>
      <c r="BM57" s="19">
        <v>0</v>
      </c>
      <c r="BN57" s="19">
        <v>0</v>
      </c>
      <c r="BO57" s="19">
        <v>0</v>
      </c>
      <c r="BP57" s="19">
        <v>0</v>
      </c>
      <c r="BQ57" s="19">
        <v>2</v>
      </c>
      <c r="BR57" s="19">
        <v>0</v>
      </c>
      <c r="BS57" s="19">
        <v>0</v>
      </c>
      <c r="BT57" s="19">
        <v>0</v>
      </c>
      <c r="BU57" s="19">
        <v>0</v>
      </c>
      <c r="BV57" s="19">
        <v>0</v>
      </c>
      <c r="BW57" s="19">
        <v>0</v>
      </c>
      <c r="BX57" s="19">
        <v>0</v>
      </c>
      <c r="BY57" s="19">
        <v>0</v>
      </c>
      <c r="BZ57" s="19">
        <v>0</v>
      </c>
      <c r="CA57" s="19">
        <v>0</v>
      </c>
      <c r="CB57" s="19">
        <v>0</v>
      </c>
      <c r="CC57" s="19">
        <v>0</v>
      </c>
      <c r="CD57" s="19">
        <v>0</v>
      </c>
      <c r="CE57" s="19">
        <v>0</v>
      </c>
      <c r="CF57" s="19">
        <v>0</v>
      </c>
      <c r="CG57" s="19">
        <v>0</v>
      </c>
      <c r="CH57" s="19">
        <v>0</v>
      </c>
      <c r="CI57" s="19">
        <v>0</v>
      </c>
      <c r="CJ57" s="19">
        <v>0</v>
      </c>
      <c r="CK57" s="19">
        <v>0</v>
      </c>
      <c r="CL57" s="19">
        <v>0</v>
      </c>
      <c r="CM57" s="19">
        <v>0</v>
      </c>
      <c r="CN57" s="19">
        <v>0</v>
      </c>
      <c r="CO57" s="19">
        <v>0</v>
      </c>
      <c r="CP57" s="19">
        <v>0</v>
      </c>
      <c r="CQ57" s="19">
        <v>0</v>
      </c>
      <c r="CR57" s="19">
        <v>0</v>
      </c>
      <c r="CS57" s="19">
        <v>0</v>
      </c>
      <c r="CT57" s="19">
        <v>0</v>
      </c>
      <c r="CU57" s="19">
        <v>0</v>
      </c>
      <c r="CV57" s="19">
        <v>0</v>
      </c>
      <c r="CW57" s="19">
        <v>0</v>
      </c>
      <c r="CX57" s="19">
        <v>0</v>
      </c>
      <c r="CY57" s="19">
        <v>0</v>
      </c>
      <c r="CZ57" s="19">
        <v>0</v>
      </c>
      <c r="DA57" s="17"/>
      <c r="DB57" s="17"/>
      <c r="DC57" s="17"/>
      <c r="DD57" s="19" t="s">
        <v>64</v>
      </c>
      <c r="DE57" s="19">
        <v>0</v>
      </c>
      <c r="DF57" s="19">
        <v>2</v>
      </c>
      <c r="DG57" s="19">
        <v>4</v>
      </c>
      <c r="DH57" s="19">
        <v>2</v>
      </c>
      <c r="DI57" s="19">
        <v>4</v>
      </c>
      <c r="DJ57" s="19">
        <v>2</v>
      </c>
      <c r="DK57" s="19">
        <v>4</v>
      </c>
      <c r="DL57" s="19">
        <v>2</v>
      </c>
      <c r="DM57" s="19">
        <v>4</v>
      </c>
      <c r="DN57" s="19">
        <v>0</v>
      </c>
      <c r="DO57" s="19">
        <v>4</v>
      </c>
      <c r="DP57" s="19">
        <v>0</v>
      </c>
      <c r="DQ57" s="19">
        <v>4</v>
      </c>
      <c r="DR57" s="19">
        <v>0</v>
      </c>
      <c r="DS57" s="19">
        <v>4</v>
      </c>
      <c r="DT57" s="19">
        <v>0</v>
      </c>
      <c r="DU57" s="19">
        <v>2</v>
      </c>
      <c r="DV57" s="19">
        <v>0</v>
      </c>
      <c r="DW57" s="19">
        <v>2</v>
      </c>
      <c r="DX57" s="19">
        <v>0</v>
      </c>
      <c r="DY57" s="19">
        <v>2</v>
      </c>
      <c r="DZ57" s="19"/>
      <c r="EA57" s="19"/>
      <c r="EB57" s="19" t="s">
        <v>63</v>
      </c>
      <c r="EC57" s="19">
        <v>0</v>
      </c>
      <c r="ED57" s="19">
        <v>0</v>
      </c>
      <c r="EE57" s="19">
        <v>0</v>
      </c>
      <c r="EF57" s="19">
        <v>2</v>
      </c>
      <c r="EG57" s="19">
        <v>0</v>
      </c>
      <c r="EH57" s="19">
        <v>0</v>
      </c>
      <c r="EI57" s="19">
        <v>0</v>
      </c>
      <c r="EJ57" s="19">
        <v>0</v>
      </c>
      <c r="EK57" s="19">
        <v>0</v>
      </c>
      <c r="EL57" s="19">
        <v>0</v>
      </c>
      <c r="EM57" s="19">
        <v>0</v>
      </c>
      <c r="EN57" s="19">
        <v>0</v>
      </c>
      <c r="EO57" s="19">
        <v>0</v>
      </c>
      <c r="EP57" s="19">
        <v>0</v>
      </c>
      <c r="EQ57" s="19">
        <v>0</v>
      </c>
      <c r="ER57" s="19">
        <v>0</v>
      </c>
      <c r="ES57" s="19">
        <v>0</v>
      </c>
      <c r="ET57" s="19">
        <v>0</v>
      </c>
      <c r="EU57" s="19">
        <v>0</v>
      </c>
      <c r="EV57" s="19">
        <v>0</v>
      </c>
      <c r="EW57" s="19">
        <v>0</v>
      </c>
      <c r="EX57" s="19">
        <v>0</v>
      </c>
      <c r="EY57" s="19">
        <v>0</v>
      </c>
      <c r="EZ57" s="19">
        <v>0</v>
      </c>
      <c r="FA57" s="19">
        <v>0</v>
      </c>
      <c r="FB57" s="19">
        <v>0</v>
      </c>
      <c r="FC57" s="19">
        <v>0</v>
      </c>
      <c r="FD57" s="19">
        <v>0</v>
      </c>
      <c r="FE57" s="19">
        <v>0</v>
      </c>
      <c r="FF57" s="19">
        <v>0</v>
      </c>
      <c r="FG57" s="19">
        <v>0</v>
      </c>
      <c r="FH57" s="19">
        <v>0</v>
      </c>
      <c r="FI57" s="19">
        <v>0</v>
      </c>
      <c r="FJ57" s="19">
        <v>0</v>
      </c>
      <c r="FK57" s="19">
        <v>0</v>
      </c>
      <c r="FL57" s="19">
        <v>0</v>
      </c>
      <c r="FM57" s="19">
        <v>0</v>
      </c>
      <c r="FN57" s="19">
        <v>0</v>
      </c>
      <c r="FO57" s="19">
        <v>0</v>
      </c>
      <c r="FP57" s="19">
        <v>0</v>
      </c>
      <c r="FQ57" s="19">
        <v>0</v>
      </c>
      <c r="FR57" s="19">
        <v>0</v>
      </c>
      <c r="FS57" s="19">
        <v>0</v>
      </c>
      <c r="FT57" s="19">
        <v>0</v>
      </c>
      <c r="FU57" s="19">
        <v>0</v>
      </c>
      <c r="FV57" s="19">
        <v>0</v>
      </c>
      <c r="FW57" s="19">
        <v>0</v>
      </c>
      <c r="FX57" s="19">
        <v>0</v>
      </c>
      <c r="FY57" s="19">
        <v>0</v>
      </c>
      <c r="FZ57" s="19">
        <v>0</v>
      </c>
      <c r="GA57" s="19">
        <v>0</v>
      </c>
      <c r="GC57" s="19"/>
      <c r="GD57" s="19"/>
      <c r="GE57" s="19" t="s">
        <v>63</v>
      </c>
      <c r="GF57" s="19">
        <v>0</v>
      </c>
      <c r="GG57" s="19">
        <v>0</v>
      </c>
      <c r="GH57" s="19">
        <v>0</v>
      </c>
      <c r="GI57" s="19">
        <v>0</v>
      </c>
      <c r="GJ57" s="19">
        <v>0</v>
      </c>
      <c r="GK57" s="19">
        <v>0</v>
      </c>
      <c r="GL57" s="19">
        <v>0</v>
      </c>
      <c r="GM57" s="19">
        <v>0</v>
      </c>
      <c r="GN57" s="19">
        <v>0</v>
      </c>
      <c r="GO57" s="19">
        <v>0</v>
      </c>
      <c r="GP57" s="19">
        <v>0</v>
      </c>
      <c r="GQ57" s="19">
        <v>0</v>
      </c>
      <c r="GR57" s="19">
        <v>0</v>
      </c>
      <c r="GS57" s="19">
        <v>0</v>
      </c>
      <c r="GT57" s="19">
        <v>0</v>
      </c>
      <c r="GU57" s="19">
        <v>0</v>
      </c>
      <c r="GV57" s="19">
        <v>0</v>
      </c>
      <c r="GW57" s="19">
        <v>0</v>
      </c>
      <c r="GX57" s="19">
        <v>0</v>
      </c>
      <c r="GY57" s="19">
        <v>0</v>
      </c>
      <c r="GZ57" s="19">
        <v>0</v>
      </c>
      <c r="HA57" s="19">
        <v>0</v>
      </c>
      <c r="HB57" s="19">
        <v>0</v>
      </c>
      <c r="HC57" s="19">
        <v>0</v>
      </c>
      <c r="HD57" s="19">
        <v>0</v>
      </c>
      <c r="HE57" s="19">
        <v>0</v>
      </c>
      <c r="HF57" s="19">
        <v>0</v>
      </c>
      <c r="HG57" s="19">
        <v>0</v>
      </c>
      <c r="HH57" s="19">
        <v>0</v>
      </c>
      <c r="HI57" s="19">
        <v>0</v>
      </c>
      <c r="HJ57" s="19">
        <v>0</v>
      </c>
      <c r="HK57" s="19">
        <v>0</v>
      </c>
      <c r="HL57" s="19">
        <v>0</v>
      </c>
      <c r="HM57" s="19">
        <v>0</v>
      </c>
      <c r="HN57" s="19">
        <v>0</v>
      </c>
      <c r="HO57" s="19">
        <v>0</v>
      </c>
      <c r="HP57" s="19">
        <v>0</v>
      </c>
      <c r="HQ57" s="19">
        <v>0</v>
      </c>
      <c r="HR57" s="19">
        <v>0</v>
      </c>
      <c r="HS57" s="19">
        <v>0</v>
      </c>
      <c r="HT57" s="19">
        <v>0</v>
      </c>
      <c r="HU57" s="19">
        <v>0</v>
      </c>
      <c r="HV57" s="19">
        <v>0</v>
      </c>
      <c r="HW57" s="19">
        <v>0</v>
      </c>
      <c r="HX57" s="19">
        <v>0</v>
      </c>
      <c r="HY57" s="19">
        <v>0</v>
      </c>
      <c r="HZ57" s="19">
        <v>0</v>
      </c>
      <c r="IA57" s="19">
        <v>0</v>
      </c>
      <c r="IB57" s="19">
        <v>0</v>
      </c>
      <c r="IC57" s="19">
        <v>0</v>
      </c>
      <c r="ID57" s="19">
        <v>0</v>
      </c>
      <c r="IF57" s="20" t="s">
        <v>63</v>
      </c>
      <c r="IG57" s="20">
        <v>0</v>
      </c>
      <c r="IH57" s="20">
        <v>0</v>
      </c>
      <c r="II57" s="20">
        <v>0</v>
      </c>
      <c r="IJ57" s="20">
        <v>0</v>
      </c>
      <c r="IK57" s="20">
        <v>0</v>
      </c>
      <c r="IL57" s="20">
        <v>0</v>
      </c>
      <c r="IM57" s="20">
        <v>0</v>
      </c>
      <c r="IN57" s="20">
        <v>0</v>
      </c>
      <c r="IO57" s="20">
        <v>0</v>
      </c>
      <c r="IP57" s="20">
        <v>0</v>
      </c>
      <c r="IQ57" s="20">
        <v>0</v>
      </c>
      <c r="IR57" s="20">
        <v>0</v>
      </c>
      <c r="IS57" s="20">
        <v>0</v>
      </c>
      <c r="IT57" s="20">
        <v>0</v>
      </c>
      <c r="IU57" s="20">
        <v>0</v>
      </c>
      <c r="IV57" s="20">
        <v>0</v>
      </c>
      <c r="IW57" s="20">
        <v>0</v>
      </c>
      <c r="IX57" s="20">
        <v>0</v>
      </c>
      <c r="IY57" s="20">
        <v>0</v>
      </c>
      <c r="IZ57" s="20">
        <v>0</v>
      </c>
      <c r="JA57" s="20">
        <v>0</v>
      </c>
      <c r="JB57" s="20">
        <v>0</v>
      </c>
      <c r="JC57" s="20">
        <v>0</v>
      </c>
      <c r="JD57" s="20">
        <v>0</v>
      </c>
      <c r="JE57" s="20">
        <v>0</v>
      </c>
      <c r="JF57" s="20">
        <v>0</v>
      </c>
    </row>
    <row r="58" spans="1:266" x14ac:dyDescent="0.25">
      <c r="A58" s="8"/>
      <c r="B58" s="5" t="s">
        <v>61</v>
      </c>
      <c r="C58" s="8"/>
      <c r="D58" s="44" t="s">
        <v>563</v>
      </c>
      <c r="E58" s="4"/>
      <c r="F58" s="222"/>
      <c r="G58" s="222"/>
      <c r="H58" s="222"/>
      <c r="I58" s="222"/>
      <c r="J58" s="4"/>
      <c r="K58" s="4"/>
      <c r="L58" s="6" t="str">
        <f>IF(E51=$AC$1,INDEX(($AN$28:$AO$37,$AN$42:$AO$51,$AN$56:$AO$65),MATCH(I48,$AM$28:$AM$37,0),MATCH(E52,$AN$27:$AO$27,0),MATCH(E55,$AK$22:$AK$24,0)),IF(E51=$AC$2,INDEX(($AT$28:$AU$37,$AT$42:$AU$51,$AT$56:$AU$65),MATCH(I48,$AS$28:$AS$37,0),MATCH(E52,$AT$27:$AU$27,0),MATCH(E55,$AK$22:$AK$24,0)),0))</f>
        <v>BUF30L</v>
      </c>
      <c r="M58" s="14">
        <f>INDEX(cenník!$C$2:$I$568,MATCH($L58,cenník!$B$2:$B$557,0),MATCH(M$24,cenník!$C$1:$I$1,0))</f>
        <v>8973302</v>
      </c>
      <c r="N58" s="14" t="str">
        <f>INDEX(cenník!$C$2:$I$568,MATCH($L58,cenník!$B$2:$B$557,0),MATCH(N$24,cenník!$C$1:$I$1,0))</f>
        <v>ks</v>
      </c>
      <c r="O58" s="14">
        <f>SUM(IF(A47=0,0,IF((A47&gt;0),C47*4)),IF(A48=0,0,IF((A48&gt;0),C48*4)),IF(A49=0,0,IF((A49&gt;0),C49*4)),IF(A50=0,0,IF((A50&gt;0),C50*4)),IF(A51=0,0,IF((A51&gt;0),C51*4)),IF(A52=0,0,IF((A52&gt;0),C52*4)),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,IF(A62=0,0,IF((A62&gt;0),C62*4)))</f>
        <v>0</v>
      </c>
      <c r="P58" s="21">
        <f>INDEX(cenník!$C$2:$I$568,MATCH($L58,cenník!$B$2:$B$557,0),MATCH(P$24,cenník!$C$1:$I$1,0))</f>
        <v>1.1399999999999999</v>
      </c>
      <c r="Q58" s="21">
        <f t="shared" si="31"/>
        <v>0</v>
      </c>
      <c r="R58" s="22">
        <f t="shared" si="28"/>
        <v>0</v>
      </c>
      <c r="S58" s="21">
        <f t="shared" si="29"/>
        <v>1.1399999999999999</v>
      </c>
      <c r="T58" s="21">
        <f t="shared" si="30"/>
        <v>0</v>
      </c>
      <c r="U58" s="21">
        <f>INDEX(cenník!$C$2:$I$568,MATCH($L58,cenník!$B$2:$B$557,0),MATCH(U$24,cenník!$C$1:$I$1,0))*O58</f>
        <v>0</v>
      </c>
      <c r="V58" s="19"/>
      <c r="W58" s="19"/>
      <c r="X58" s="25">
        <f t="shared" si="27"/>
        <v>0</v>
      </c>
      <c r="Y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58,$BB$2:$CA$2,0),MATCH($W$46,$AH$22:$AH$47,0)))*C58</f>
        <v>0</v>
      </c>
      <c r="Z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58,$BB$2:$CA$2,0),MATCH($W$46,$AH$22:$AH$47,0)))*C58</f>
        <v>0</v>
      </c>
      <c r="AA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58,$BB$2:$CA$2,0),MATCH($W$46,$AH$22:$AH$47,0)))*C58</f>
        <v>0</v>
      </c>
      <c r="AB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58,$BB$2:$CA$2,0),MATCH($W$46,$AH$22:$AH$47,0)))*C58</f>
        <v>0</v>
      </c>
      <c r="AC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58,$BB$2:$CA$2,0),MATCH($W$46,$AH$22:$AH$47,0)))*C58</f>
        <v>0</v>
      </c>
      <c r="AD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58,$BB$2:$CA$2,0),MATCH($W$46,$AH$22:$AH$47,0)))*C58</f>
        <v>0</v>
      </c>
      <c r="AE58" s="19"/>
      <c r="AF58" s="19"/>
      <c r="AG58" s="19">
        <v>38</v>
      </c>
      <c r="AH58" s="19" t="s">
        <v>426</v>
      </c>
      <c r="AI58" s="19">
        <v>0</v>
      </c>
      <c r="AJ58" s="19"/>
      <c r="AK58" s="19"/>
      <c r="AL58" s="19"/>
      <c r="AM58" s="19">
        <v>33</v>
      </c>
      <c r="AN58" s="19" t="s">
        <v>22</v>
      </c>
      <c r="AO58" s="19"/>
      <c r="AP58" s="19" t="s">
        <v>55</v>
      </c>
      <c r="AQ58" s="19" t="s">
        <v>129</v>
      </c>
      <c r="AS58" s="19">
        <v>33</v>
      </c>
      <c r="AT58" s="19" t="s">
        <v>473</v>
      </c>
      <c r="AU58" s="19" t="s">
        <v>473</v>
      </c>
      <c r="AV58" s="19" t="s">
        <v>473</v>
      </c>
      <c r="AW58" s="19" t="s">
        <v>473</v>
      </c>
      <c r="AX58" s="19"/>
      <c r="AY58" s="19"/>
      <c r="AZ58" s="19"/>
      <c r="BA58" s="19" t="s">
        <v>11</v>
      </c>
      <c r="BB58" s="19">
        <v>0</v>
      </c>
      <c r="BC58" s="19">
        <v>2</v>
      </c>
      <c r="BD58" s="19">
        <v>0</v>
      </c>
      <c r="BE58" s="19">
        <v>4</v>
      </c>
      <c r="BF58" s="19">
        <v>2</v>
      </c>
      <c r="BG58" s="19">
        <v>0</v>
      </c>
      <c r="BH58" s="19">
        <v>4</v>
      </c>
      <c r="BI58" s="19">
        <v>2</v>
      </c>
      <c r="BJ58" s="19">
        <v>0</v>
      </c>
      <c r="BK58" s="19">
        <v>0</v>
      </c>
      <c r="BL58" s="19">
        <v>2</v>
      </c>
      <c r="BM58" s="19">
        <v>0</v>
      </c>
      <c r="BN58" s="19">
        <v>4</v>
      </c>
      <c r="BO58" s="19">
        <v>0</v>
      </c>
      <c r="BP58" s="19">
        <v>0</v>
      </c>
      <c r="BQ58" s="19">
        <v>0</v>
      </c>
      <c r="BR58" s="19">
        <v>0</v>
      </c>
      <c r="BS58" s="19">
        <v>4</v>
      </c>
      <c r="BT58" s="19">
        <v>2</v>
      </c>
      <c r="BU58" s="19">
        <v>0</v>
      </c>
      <c r="BV58" s="19">
        <v>2</v>
      </c>
      <c r="BW58" s="19">
        <v>0</v>
      </c>
      <c r="BX58" s="19">
        <v>0</v>
      </c>
      <c r="BY58" s="19">
        <v>0</v>
      </c>
      <c r="BZ58" s="19">
        <v>0</v>
      </c>
      <c r="CA58" s="19">
        <v>0</v>
      </c>
      <c r="CB58" s="19">
        <v>2</v>
      </c>
      <c r="CC58" s="19">
        <v>0</v>
      </c>
      <c r="CD58" s="19">
        <v>0</v>
      </c>
      <c r="CE58" s="19">
        <v>0</v>
      </c>
      <c r="CF58" s="19">
        <v>0</v>
      </c>
      <c r="CG58" s="19">
        <v>0</v>
      </c>
      <c r="CH58" s="19">
        <v>0</v>
      </c>
      <c r="CI58" s="19">
        <v>0</v>
      </c>
      <c r="CJ58" s="19">
        <v>2</v>
      </c>
      <c r="CK58" s="19">
        <v>0</v>
      </c>
      <c r="CL58" s="19">
        <v>0</v>
      </c>
      <c r="CM58" s="19">
        <v>4</v>
      </c>
      <c r="CN58" s="19">
        <v>0</v>
      </c>
      <c r="CO58" s="19">
        <v>0</v>
      </c>
      <c r="CP58" s="19">
        <v>0</v>
      </c>
      <c r="CQ58" s="19">
        <v>0</v>
      </c>
      <c r="CR58" s="19">
        <v>0</v>
      </c>
      <c r="CS58" s="19">
        <v>0</v>
      </c>
      <c r="CT58" s="19">
        <v>0</v>
      </c>
      <c r="CU58" s="19">
        <v>0</v>
      </c>
      <c r="CV58" s="19">
        <v>0</v>
      </c>
      <c r="CW58" s="19">
        <v>0</v>
      </c>
      <c r="CX58" s="19">
        <v>0</v>
      </c>
      <c r="CY58" s="19">
        <v>0</v>
      </c>
      <c r="CZ58" s="19">
        <v>0</v>
      </c>
      <c r="DA58" s="17"/>
      <c r="DB58" s="17"/>
      <c r="DC58" s="17"/>
      <c r="DD58" s="19" t="s">
        <v>18</v>
      </c>
      <c r="DE58" s="19">
        <v>0</v>
      </c>
      <c r="DF58" s="19">
        <v>0</v>
      </c>
      <c r="DG58" s="19">
        <v>0</v>
      </c>
      <c r="DH58" s="19">
        <v>2</v>
      </c>
      <c r="DI58" s="19">
        <v>2</v>
      </c>
      <c r="DJ58" s="19">
        <v>4</v>
      </c>
      <c r="DK58" s="19">
        <v>4</v>
      </c>
      <c r="DL58" s="19">
        <v>6</v>
      </c>
      <c r="DM58" s="19">
        <v>6</v>
      </c>
      <c r="DN58" s="19">
        <v>10</v>
      </c>
      <c r="DO58" s="19">
        <v>8</v>
      </c>
      <c r="DP58" s="19">
        <v>12</v>
      </c>
      <c r="DQ58" s="19">
        <v>10</v>
      </c>
      <c r="DR58" s="19">
        <v>14</v>
      </c>
      <c r="DS58" s="19">
        <v>12</v>
      </c>
      <c r="DT58" s="19">
        <v>16</v>
      </c>
      <c r="DU58" s="19">
        <v>16</v>
      </c>
      <c r="DV58" s="19">
        <v>18</v>
      </c>
      <c r="DW58" s="19">
        <v>18</v>
      </c>
      <c r="DX58" s="19">
        <v>20</v>
      </c>
      <c r="DY58" s="19">
        <v>20</v>
      </c>
      <c r="DZ58" s="19"/>
      <c r="EA58" s="19"/>
      <c r="EB58" s="19" t="s">
        <v>11</v>
      </c>
      <c r="EC58" s="19">
        <v>0</v>
      </c>
      <c r="ED58" s="19">
        <v>2</v>
      </c>
      <c r="EE58" s="19">
        <v>4</v>
      </c>
      <c r="EF58" s="19">
        <v>0</v>
      </c>
      <c r="EG58" s="19">
        <v>4</v>
      </c>
      <c r="EH58" s="19">
        <v>0</v>
      </c>
      <c r="EI58" s="19">
        <v>0</v>
      </c>
      <c r="EJ58" s="19">
        <v>0</v>
      </c>
      <c r="EK58" s="19">
        <v>2</v>
      </c>
      <c r="EL58" s="19">
        <v>0</v>
      </c>
      <c r="EM58" s="19">
        <v>0</v>
      </c>
      <c r="EN58" s="19">
        <v>4</v>
      </c>
      <c r="EO58" s="19">
        <v>0</v>
      </c>
      <c r="EP58" s="19">
        <v>2</v>
      </c>
      <c r="EQ58" s="19">
        <v>0</v>
      </c>
      <c r="ER58" s="19">
        <v>2</v>
      </c>
      <c r="ES58" s="19">
        <v>0</v>
      </c>
      <c r="ET58" s="19">
        <v>0</v>
      </c>
      <c r="EU58" s="19">
        <v>0</v>
      </c>
      <c r="EV58" s="19">
        <v>0</v>
      </c>
      <c r="EW58" s="19">
        <v>2</v>
      </c>
      <c r="EX58" s="19">
        <v>0</v>
      </c>
      <c r="EY58" s="19">
        <v>0</v>
      </c>
      <c r="EZ58" s="19">
        <v>0</v>
      </c>
      <c r="FA58" s="19">
        <v>0</v>
      </c>
      <c r="FB58" s="19">
        <v>0</v>
      </c>
      <c r="FC58" s="19">
        <v>0</v>
      </c>
      <c r="FD58" s="19">
        <v>0</v>
      </c>
      <c r="FE58" s="19">
        <v>0</v>
      </c>
      <c r="FF58" s="19">
        <v>0</v>
      </c>
      <c r="FG58" s="19">
        <v>0</v>
      </c>
      <c r="FH58" s="19">
        <v>0</v>
      </c>
      <c r="FI58" s="19">
        <v>0</v>
      </c>
      <c r="FJ58" s="19">
        <v>0</v>
      </c>
      <c r="FK58" s="19">
        <v>0</v>
      </c>
      <c r="FL58" s="19">
        <v>0</v>
      </c>
      <c r="FM58" s="19">
        <v>0</v>
      </c>
      <c r="FN58" s="19">
        <v>0</v>
      </c>
      <c r="FO58" s="19">
        <v>0</v>
      </c>
      <c r="FP58" s="19">
        <v>0</v>
      </c>
      <c r="FQ58" s="19">
        <v>0</v>
      </c>
      <c r="FR58" s="19">
        <v>0</v>
      </c>
      <c r="FS58" s="19">
        <v>4</v>
      </c>
      <c r="FT58" s="19">
        <v>0</v>
      </c>
      <c r="FU58" s="19">
        <v>0</v>
      </c>
      <c r="FV58" s="19">
        <v>0</v>
      </c>
      <c r="FW58" s="19">
        <v>0</v>
      </c>
      <c r="FX58" s="19">
        <v>0</v>
      </c>
      <c r="FY58" s="19">
        <v>0</v>
      </c>
      <c r="FZ58" s="19">
        <v>0</v>
      </c>
      <c r="GA58" s="19">
        <v>0</v>
      </c>
      <c r="GC58" s="19"/>
      <c r="GD58" s="19"/>
      <c r="GE58" s="19" t="s">
        <v>11</v>
      </c>
      <c r="GF58" s="19">
        <v>0</v>
      </c>
      <c r="GG58" s="19">
        <v>0</v>
      </c>
      <c r="GH58" s="19">
        <v>4</v>
      </c>
      <c r="GI58" s="19">
        <v>0</v>
      </c>
      <c r="GJ58" s="19">
        <v>2</v>
      </c>
      <c r="GK58" s="19">
        <v>4</v>
      </c>
      <c r="GL58" s="19">
        <v>0</v>
      </c>
      <c r="GM58" s="19">
        <v>2</v>
      </c>
      <c r="GN58" s="19">
        <v>4</v>
      </c>
      <c r="GO58" s="19">
        <v>0</v>
      </c>
      <c r="GP58" s="19">
        <v>0</v>
      </c>
      <c r="GQ58" s="19">
        <v>0</v>
      </c>
      <c r="GR58" s="19">
        <v>0</v>
      </c>
      <c r="GS58" s="19">
        <v>0</v>
      </c>
      <c r="GT58" s="19">
        <v>0</v>
      </c>
      <c r="GU58" s="19">
        <v>2</v>
      </c>
      <c r="GV58" s="19">
        <v>0</v>
      </c>
      <c r="GW58" s="19">
        <v>0</v>
      </c>
      <c r="GX58" s="19">
        <v>2</v>
      </c>
      <c r="GY58" s="19">
        <v>0</v>
      </c>
      <c r="GZ58" s="19">
        <v>0</v>
      </c>
      <c r="HA58" s="19">
        <v>2</v>
      </c>
      <c r="HB58" s="19">
        <v>0</v>
      </c>
      <c r="HC58" s="19">
        <v>0</v>
      </c>
      <c r="HD58" s="19">
        <v>0</v>
      </c>
      <c r="HE58" s="19">
        <v>0</v>
      </c>
      <c r="HF58" s="19">
        <v>0</v>
      </c>
      <c r="HG58" s="19">
        <v>0</v>
      </c>
      <c r="HH58" s="19">
        <v>0</v>
      </c>
      <c r="HI58" s="19">
        <v>0</v>
      </c>
      <c r="HJ58" s="19">
        <v>0</v>
      </c>
      <c r="HK58" s="19">
        <v>0</v>
      </c>
      <c r="HL58" s="19">
        <v>4</v>
      </c>
      <c r="HM58" s="19">
        <v>0</v>
      </c>
      <c r="HN58" s="19">
        <v>0</v>
      </c>
      <c r="HO58" s="19">
        <v>0</v>
      </c>
      <c r="HP58" s="19">
        <v>0</v>
      </c>
      <c r="HQ58" s="19">
        <v>4</v>
      </c>
      <c r="HR58" s="19">
        <v>0</v>
      </c>
      <c r="HS58" s="19">
        <v>0</v>
      </c>
      <c r="HT58" s="19">
        <v>0</v>
      </c>
      <c r="HU58" s="19">
        <v>0</v>
      </c>
      <c r="HV58" s="19">
        <v>0</v>
      </c>
      <c r="HW58" s="19">
        <v>0</v>
      </c>
      <c r="HX58" s="19">
        <v>0</v>
      </c>
      <c r="HY58" s="19">
        <v>0</v>
      </c>
      <c r="HZ58" s="19">
        <v>0</v>
      </c>
      <c r="IA58" s="19">
        <v>0</v>
      </c>
      <c r="IB58" s="19">
        <v>0</v>
      </c>
      <c r="IC58" s="19">
        <v>0</v>
      </c>
      <c r="ID58" s="19">
        <v>0</v>
      </c>
      <c r="IF58" s="20" t="s">
        <v>11</v>
      </c>
      <c r="IG58" s="20">
        <v>0</v>
      </c>
      <c r="IH58" s="20">
        <v>0</v>
      </c>
      <c r="II58" s="20">
        <v>2</v>
      </c>
      <c r="IJ58" s="20">
        <v>0</v>
      </c>
      <c r="IK58" s="20">
        <v>4</v>
      </c>
      <c r="IL58" s="20">
        <v>0</v>
      </c>
      <c r="IM58" s="20">
        <v>2</v>
      </c>
      <c r="IN58" s="20">
        <v>2</v>
      </c>
      <c r="IO58" s="20">
        <v>4</v>
      </c>
      <c r="IP58" s="20">
        <v>0</v>
      </c>
      <c r="IQ58" s="20">
        <v>0</v>
      </c>
      <c r="IR58" s="20">
        <v>2</v>
      </c>
      <c r="IS58" s="20">
        <v>4</v>
      </c>
      <c r="IT58" s="20">
        <v>0</v>
      </c>
      <c r="IU58" s="20">
        <v>0</v>
      </c>
      <c r="IV58" s="20">
        <v>0</v>
      </c>
      <c r="IW58" s="20">
        <v>0</v>
      </c>
      <c r="IX58" s="20">
        <v>0</v>
      </c>
      <c r="IY58" s="20">
        <v>0</v>
      </c>
      <c r="IZ58" s="20">
        <v>0</v>
      </c>
      <c r="JA58" s="20">
        <v>0</v>
      </c>
      <c r="JB58" s="20">
        <v>0</v>
      </c>
      <c r="JC58" s="20">
        <v>0</v>
      </c>
      <c r="JD58" s="20">
        <v>0</v>
      </c>
      <c r="JE58" s="20">
        <v>0</v>
      </c>
      <c r="JF58" s="20">
        <v>0</v>
      </c>
    </row>
    <row r="59" spans="1:266" x14ac:dyDescent="0.25">
      <c r="A59" s="8"/>
      <c r="B59" s="5" t="s">
        <v>61</v>
      </c>
      <c r="C59" s="8"/>
      <c r="D59" s="4"/>
      <c r="E59" s="4"/>
      <c r="F59" s="222"/>
      <c r="G59" s="222"/>
      <c r="H59" s="222"/>
      <c r="I59" s="222"/>
      <c r="J59" s="4"/>
      <c r="K59" s="4"/>
      <c r="L59" s="6" t="str">
        <f>IF(E51=$AC$1,INDEX(($AN$38:$AO$38,$AN$52:$AO$52,$AN$66:$AO$66),1,MATCH($E$52,$AN$27:$AO$27,0),MATCH($E$55,$AK$22:$AK$24,0)),IF(E51=$AC$2,INDEX(($AT$38:$AU$38,$AT$52:$AU$52,$AT$66:$AU$66),1,MATCH($E$52,$AT$27:$AU$27,0),MATCH($E$55,$AK$22:$AK$24,0)),0))</f>
        <v>PUFL</v>
      </c>
      <c r="M59" s="14">
        <f>INDEX(cenník!$C$2:$I$568,MATCH($L59,cenník!$B$2:$B$557,0),MATCH(M$24,cenník!$C$1:$I$1,0))</f>
        <v>897302</v>
      </c>
      <c r="N59" s="14" t="str">
        <f>INDEX(cenník!$C$2:$I$568,MATCH($L59,cenník!$B$2:$B$557,0),MATCH(N$24,cenník!$C$1:$I$1,0))</f>
        <v>ks</v>
      </c>
      <c r="O59" s="14">
        <f>SUM(IF(A47=0,0,IF(A47&gt;0,(A47-1)*2*C47)),IF(A48=0,0,IF(A48&gt;0,(A48-1)*2*C48)),IF(A49=0,0,IF(A49&gt;0,(A49-1)*2*C49)),IF(A50=0,0,IF(A50&gt;0,(A50-1)*2*C50)),IF(A51=0,0,IF(A51&gt;0,(A51-1)*2*C51)),IF(A52=0,0,IF(A52&gt;0,(A52-1)*2*C52)),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)</f>
        <v>0</v>
      </c>
      <c r="P59" s="21">
        <f>INDEX(cenník!$C$2:$I$568,MATCH($L59,cenník!$B$2:$B$557,0),MATCH(P$24,cenník!$C$1:$I$1,0))</f>
        <v>1.2</v>
      </c>
      <c r="Q59" s="21">
        <f t="shared" si="31"/>
        <v>0</v>
      </c>
      <c r="R59" s="22">
        <f t="shared" si="28"/>
        <v>0</v>
      </c>
      <c r="S59" s="21">
        <f t="shared" si="29"/>
        <v>1.2</v>
      </c>
      <c r="T59" s="21">
        <f t="shared" si="30"/>
        <v>0</v>
      </c>
      <c r="U59" s="21">
        <f>INDEX(cenník!$C$2:$I$568,MATCH($L59,cenník!$B$2:$B$557,0),MATCH(U$24,cenník!$C$1:$I$1,0))*O59</f>
        <v>0</v>
      </c>
      <c r="V59" s="19"/>
      <c r="W59" s="19"/>
      <c r="X59" s="25">
        <f t="shared" si="27"/>
        <v>0</v>
      </c>
      <c r="Y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59,$BB$2:$CA$2,0),MATCH($W$46,$AH$22:$AH$47,0)))*C59</f>
        <v>0</v>
      </c>
      <c r="Z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59,$BB$2:$CA$2,0),MATCH($W$46,$AH$22:$AH$47,0)))*C59</f>
        <v>0</v>
      </c>
      <c r="AA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59,$BB$2:$CA$2,0),MATCH($W$46,$AH$22:$AH$47,0)))*C59</f>
        <v>0</v>
      </c>
      <c r="AB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59,$BB$2:$CA$2,0),MATCH($W$46,$AH$22:$AH$47,0)))*C59</f>
        <v>0</v>
      </c>
      <c r="AC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59,$BB$2:$CA$2,0),MATCH($W$46,$AH$22:$AH$47,0)))*C59</f>
        <v>0</v>
      </c>
      <c r="AD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59,$BB$2:$CA$2,0),MATCH($W$46,$AH$22:$AH$47,0)))*C59</f>
        <v>0</v>
      </c>
      <c r="AE59" s="19"/>
      <c r="AF59" s="19"/>
      <c r="AG59" s="19">
        <v>40</v>
      </c>
      <c r="AH59" s="19" t="s">
        <v>426</v>
      </c>
      <c r="AI59" s="19">
        <v>0</v>
      </c>
      <c r="AJ59" s="19"/>
      <c r="AK59" s="19"/>
      <c r="AL59" s="19"/>
      <c r="AM59" s="19">
        <v>34</v>
      </c>
      <c r="AN59" s="19"/>
      <c r="AO59" s="19"/>
      <c r="AP59" s="19" t="s">
        <v>55</v>
      </c>
      <c r="AQ59" s="19" t="s">
        <v>129</v>
      </c>
      <c r="AS59" s="19">
        <v>34</v>
      </c>
      <c r="AT59" s="19" t="s">
        <v>473</v>
      </c>
      <c r="AU59" s="19" t="s">
        <v>473</v>
      </c>
      <c r="AV59" s="19" t="s">
        <v>473</v>
      </c>
      <c r="AW59" s="19" t="s">
        <v>473</v>
      </c>
      <c r="AX59" s="19"/>
      <c r="AY59" s="19"/>
      <c r="AZ59" s="19"/>
      <c r="BA59" s="19" t="s">
        <v>64</v>
      </c>
      <c r="BB59" s="19">
        <v>0</v>
      </c>
      <c r="BC59" s="19">
        <v>0</v>
      </c>
      <c r="BD59" s="19">
        <v>0</v>
      </c>
      <c r="BE59" s="19">
        <v>0</v>
      </c>
      <c r="BF59" s="19">
        <v>0</v>
      </c>
      <c r="BG59" s="19">
        <v>0</v>
      </c>
      <c r="BH59" s="19">
        <v>0</v>
      </c>
      <c r="BI59" s="19">
        <v>0</v>
      </c>
      <c r="BJ59" s="19">
        <v>0</v>
      </c>
      <c r="BK59" s="19">
        <v>4</v>
      </c>
      <c r="BL59" s="19">
        <v>0</v>
      </c>
      <c r="BM59" s="19">
        <v>0</v>
      </c>
      <c r="BN59" s="19">
        <v>0</v>
      </c>
      <c r="BO59" s="19">
        <v>2</v>
      </c>
      <c r="BP59" s="19">
        <v>0</v>
      </c>
      <c r="BQ59" s="19">
        <v>0</v>
      </c>
      <c r="BR59" s="19">
        <v>0</v>
      </c>
      <c r="BS59" s="19">
        <v>0</v>
      </c>
      <c r="BT59" s="19">
        <v>0</v>
      </c>
      <c r="BU59" s="19">
        <v>0</v>
      </c>
      <c r="BV59" s="19">
        <v>2</v>
      </c>
      <c r="BW59" s="19">
        <v>2</v>
      </c>
      <c r="BX59" s="19">
        <v>0</v>
      </c>
      <c r="BY59" s="19">
        <v>4</v>
      </c>
      <c r="BZ59" s="19">
        <v>0</v>
      </c>
      <c r="CA59" s="19">
        <v>0</v>
      </c>
      <c r="CB59" s="19">
        <v>0</v>
      </c>
      <c r="CC59" s="19">
        <v>0</v>
      </c>
      <c r="CD59" s="19">
        <v>0</v>
      </c>
      <c r="CE59" s="19">
        <v>2</v>
      </c>
      <c r="CF59" s="19">
        <v>0</v>
      </c>
      <c r="CG59" s="19">
        <v>4</v>
      </c>
      <c r="CH59" s="19">
        <v>0</v>
      </c>
      <c r="CI59" s="19">
        <v>0</v>
      </c>
      <c r="CJ59" s="19">
        <v>0</v>
      </c>
      <c r="CK59" s="19">
        <v>0</v>
      </c>
      <c r="CL59" s="19">
        <v>0</v>
      </c>
      <c r="CM59" s="19">
        <v>0</v>
      </c>
      <c r="CN59" s="19">
        <v>2</v>
      </c>
      <c r="CO59" s="19">
        <v>0</v>
      </c>
      <c r="CP59" s="19">
        <v>0</v>
      </c>
      <c r="CQ59" s="19">
        <v>0</v>
      </c>
      <c r="CR59" s="19">
        <v>0</v>
      </c>
      <c r="CS59" s="19">
        <v>0</v>
      </c>
      <c r="CT59" s="19">
        <v>0</v>
      </c>
      <c r="CU59" s="19">
        <v>0</v>
      </c>
      <c r="CV59" s="19">
        <v>2</v>
      </c>
      <c r="CW59" s="19">
        <v>0</v>
      </c>
      <c r="CX59" s="19">
        <v>0</v>
      </c>
      <c r="CY59" s="19">
        <v>0</v>
      </c>
      <c r="CZ59" s="19">
        <v>0</v>
      </c>
      <c r="DA59" s="17"/>
      <c r="DB59" s="17"/>
      <c r="DC59" s="17"/>
      <c r="DD59" s="19" t="s">
        <v>179</v>
      </c>
      <c r="DE59" s="19">
        <v>0</v>
      </c>
      <c r="DF59" s="19">
        <v>0</v>
      </c>
      <c r="DG59" s="19">
        <v>4</v>
      </c>
      <c r="DH59" s="19">
        <v>4</v>
      </c>
      <c r="DI59" s="19">
        <v>8</v>
      </c>
      <c r="DJ59" s="19">
        <v>8</v>
      </c>
      <c r="DK59" s="19">
        <v>12</v>
      </c>
      <c r="DL59" s="19">
        <v>12</v>
      </c>
      <c r="DM59" s="19">
        <v>16</v>
      </c>
      <c r="DN59" s="19">
        <v>16</v>
      </c>
      <c r="DO59" s="19">
        <v>20</v>
      </c>
      <c r="DP59" s="19">
        <v>20</v>
      </c>
      <c r="DQ59" s="19">
        <v>24</v>
      </c>
      <c r="DR59" s="19">
        <v>24</v>
      </c>
      <c r="DS59" s="19">
        <v>28</v>
      </c>
      <c r="DT59" s="19">
        <v>28</v>
      </c>
      <c r="DU59" s="19">
        <v>32</v>
      </c>
      <c r="DV59" s="19">
        <v>32</v>
      </c>
      <c r="DW59" s="19">
        <v>36</v>
      </c>
      <c r="DX59" s="19">
        <v>36</v>
      </c>
      <c r="DY59" s="19">
        <v>40</v>
      </c>
      <c r="DZ59" s="19"/>
      <c r="EA59" s="19"/>
      <c r="EB59" s="19" t="s">
        <v>64</v>
      </c>
      <c r="EC59" s="19">
        <v>0</v>
      </c>
      <c r="ED59" s="19">
        <v>0</v>
      </c>
      <c r="EE59" s="19">
        <v>0</v>
      </c>
      <c r="EF59" s="19">
        <v>4</v>
      </c>
      <c r="EG59" s="19">
        <v>0</v>
      </c>
      <c r="EH59" s="19">
        <v>0</v>
      </c>
      <c r="EI59" s="19">
        <v>4</v>
      </c>
      <c r="EJ59" s="19">
        <v>0</v>
      </c>
      <c r="EK59" s="19">
        <v>0</v>
      </c>
      <c r="EL59" s="19">
        <v>0</v>
      </c>
      <c r="EM59" s="19">
        <v>2</v>
      </c>
      <c r="EN59" s="19">
        <v>0</v>
      </c>
      <c r="EO59" s="19">
        <v>0</v>
      </c>
      <c r="EP59" s="19">
        <v>2</v>
      </c>
      <c r="EQ59" s="19">
        <v>0</v>
      </c>
      <c r="ER59" s="19">
        <v>0</v>
      </c>
      <c r="ES59" s="19">
        <v>0</v>
      </c>
      <c r="ET59" s="19">
        <v>2</v>
      </c>
      <c r="EU59" s="19">
        <v>0</v>
      </c>
      <c r="EV59" s="19">
        <v>0</v>
      </c>
      <c r="EW59" s="19">
        <v>0</v>
      </c>
      <c r="EX59" s="19">
        <v>0</v>
      </c>
      <c r="EY59" s="19">
        <v>4</v>
      </c>
      <c r="EZ59" s="19">
        <v>0</v>
      </c>
      <c r="FA59" s="19">
        <v>0</v>
      </c>
      <c r="FB59" s="19">
        <v>0</v>
      </c>
      <c r="FC59" s="19">
        <v>0</v>
      </c>
      <c r="FD59" s="19">
        <v>0</v>
      </c>
      <c r="FE59" s="19">
        <v>0</v>
      </c>
      <c r="FF59" s="19">
        <v>2</v>
      </c>
      <c r="FG59" s="19">
        <v>0</v>
      </c>
      <c r="FH59" s="19">
        <v>0</v>
      </c>
      <c r="FI59" s="19">
        <v>2</v>
      </c>
      <c r="FJ59" s="19">
        <v>2</v>
      </c>
      <c r="FK59" s="19">
        <v>0</v>
      </c>
      <c r="FL59" s="19">
        <v>0</v>
      </c>
      <c r="FM59" s="19">
        <v>0</v>
      </c>
      <c r="FN59" s="19">
        <v>2</v>
      </c>
      <c r="FO59" s="19">
        <v>0</v>
      </c>
      <c r="FP59" s="19">
        <v>0</v>
      </c>
      <c r="FQ59" s="19">
        <v>0</v>
      </c>
      <c r="FR59" s="19">
        <v>0</v>
      </c>
      <c r="FS59" s="19">
        <v>0</v>
      </c>
      <c r="FT59" s="19">
        <v>0</v>
      </c>
      <c r="FU59" s="19">
        <v>0</v>
      </c>
      <c r="FV59" s="19">
        <v>0</v>
      </c>
      <c r="FW59" s="19">
        <v>0</v>
      </c>
      <c r="FX59" s="19">
        <v>0</v>
      </c>
      <c r="FY59" s="19">
        <v>0</v>
      </c>
      <c r="FZ59" s="19">
        <v>2</v>
      </c>
      <c r="GA59" s="19">
        <v>0</v>
      </c>
      <c r="GC59" s="19"/>
      <c r="GD59" s="19"/>
      <c r="GE59" s="19" t="s">
        <v>64</v>
      </c>
      <c r="GF59" s="19">
        <v>0</v>
      </c>
      <c r="GG59" s="19">
        <v>2</v>
      </c>
      <c r="GH59" s="19">
        <v>0</v>
      </c>
      <c r="GI59" s="19">
        <v>0</v>
      </c>
      <c r="GJ59" s="19">
        <v>0</v>
      </c>
      <c r="GK59" s="19">
        <v>0</v>
      </c>
      <c r="GL59" s="19">
        <v>0</v>
      </c>
      <c r="GM59" s="19">
        <v>0</v>
      </c>
      <c r="GN59" s="19">
        <v>0</v>
      </c>
      <c r="GO59" s="19">
        <v>2</v>
      </c>
      <c r="GP59" s="19">
        <v>4</v>
      </c>
      <c r="GQ59" s="19">
        <v>0</v>
      </c>
      <c r="GR59" s="19">
        <v>2</v>
      </c>
      <c r="GS59" s="19">
        <v>4</v>
      </c>
      <c r="GT59" s="19">
        <v>0</v>
      </c>
      <c r="GU59" s="19">
        <v>0</v>
      </c>
      <c r="GV59" s="19">
        <v>4</v>
      </c>
      <c r="GW59" s="19">
        <v>0</v>
      </c>
      <c r="GX59" s="19">
        <v>0</v>
      </c>
      <c r="GY59" s="19">
        <v>0</v>
      </c>
      <c r="GZ59" s="19">
        <v>0</v>
      </c>
      <c r="HA59" s="19">
        <v>0</v>
      </c>
      <c r="HB59" s="19">
        <v>0</v>
      </c>
      <c r="HC59" s="19">
        <v>0</v>
      </c>
      <c r="HD59" s="19">
        <v>2</v>
      </c>
      <c r="HE59" s="19">
        <v>0</v>
      </c>
      <c r="HF59" s="19">
        <v>2</v>
      </c>
      <c r="HG59" s="19">
        <v>0</v>
      </c>
      <c r="HH59" s="19">
        <v>0</v>
      </c>
      <c r="HI59" s="19">
        <v>0</v>
      </c>
      <c r="HJ59" s="19">
        <v>0</v>
      </c>
      <c r="HK59" s="19">
        <v>0</v>
      </c>
      <c r="HL59" s="19">
        <v>0</v>
      </c>
      <c r="HM59" s="19">
        <v>0</v>
      </c>
      <c r="HN59" s="19">
        <v>0</v>
      </c>
      <c r="HO59" s="19">
        <v>0</v>
      </c>
      <c r="HP59" s="19">
        <v>0</v>
      </c>
      <c r="HQ59" s="19">
        <v>0</v>
      </c>
      <c r="HR59" s="19">
        <v>0</v>
      </c>
      <c r="HS59" s="19">
        <v>0</v>
      </c>
      <c r="HT59" s="19">
        <v>2</v>
      </c>
      <c r="HU59" s="19">
        <v>0</v>
      </c>
      <c r="HV59" s="19">
        <v>2</v>
      </c>
      <c r="HW59" s="19">
        <v>0</v>
      </c>
      <c r="HX59" s="19">
        <v>0</v>
      </c>
      <c r="HY59" s="19">
        <v>0</v>
      </c>
      <c r="HZ59" s="19">
        <v>0</v>
      </c>
      <c r="IA59" s="19">
        <v>0</v>
      </c>
      <c r="IB59" s="19">
        <v>0</v>
      </c>
      <c r="IC59" s="19">
        <v>0</v>
      </c>
      <c r="ID59" s="19">
        <v>0</v>
      </c>
      <c r="IF59" s="20" t="s">
        <v>64</v>
      </c>
      <c r="IG59" s="20">
        <v>0</v>
      </c>
      <c r="IH59" s="20">
        <v>0</v>
      </c>
      <c r="II59" s="20">
        <v>0</v>
      </c>
      <c r="IJ59" s="20">
        <v>4</v>
      </c>
      <c r="IK59" s="20">
        <v>0</v>
      </c>
      <c r="IL59" s="20">
        <v>0</v>
      </c>
      <c r="IM59" s="20">
        <v>0</v>
      </c>
      <c r="IN59" s="20">
        <v>0</v>
      </c>
      <c r="IO59" s="20">
        <v>0</v>
      </c>
      <c r="IP59" s="20">
        <v>0</v>
      </c>
      <c r="IQ59" s="20">
        <v>0</v>
      </c>
      <c r="IR59" s="20">
        <v>0</v>
      </c>
      <c r="IS59" s="20">
        <v>0</v>
      </c>
      <c r="IT59" s="20">
        <v>0</v>
      </c>
      <c r="IU59" s="20">
        <v>0</v>
      </c>
      <c r="IV59" s="20">
        <v>2</v>
      </c>
      <c r="IW59" s="20">
        <v>2</v>
      </c>
      <c r="IX59" s="20">
        <v>0</v>
      </c>
      <c r="IY59" s="20">
        <v>0</v>
      </c>
      <c r="IZ59" s="20">
        <v>2</v>
      </c>
      <c r="JA59" s="20">
        <v>2</v>
      </c>
      <c r="JB59" s="20">
        <v>2</v>
      </c>
      <c r="JC59" s="20">
        <v>0</v>
      </c>
      <c r="JD59" s="20">
        <v>0</v>
      </c>
      <c r="JE59" s="20">
        <v>2</v>
      </c>
      <c r="JF59" s="20">
        <v>0</v>
      </c>
    </row>
    <row r="60" spans="1:266" x14ac:dyDescent="0.25">
      <c r="A60" s="8"/>
      <c r="B60" s="5" t="s">
        <v>61</v>
      </c>
      <c r="C60" s="8"/>
      <c r="D60" s="4"/>
      <c r="E60" s="4"/>
      <c r="F60" s="4"/>
      <c r="G60" s="4"/>
      <c r="H60" s="4"/>
      <c r="I60" s="4"/>
      <c r="J60" s="4"/>
      <c r="K60" s="4"/>
      <c r="L60" s="6" t="str">
        <f>IF(E51=$AC$1,INDEX(($AP$28:$AP$37,$AP$42:$AP$51,$AP$56:$AP$65),MATCH(I48,$AM$28:$AM$37,0),1,MATCH(E55,$AK$22:$AK$24,0)),IF(E51=$AC$2,INDEX(($AV$28:$AV$37,$AV$42:$AV$51,$AV$56:$AV$65),MATCH(I48,$AS$28:$AS$37,0),1,MATCH(E55,$AK$22:$AK$24,0)),0))</f>
        <v>SAM8X25E</v>
      </c>
      <c r="M60" s="14">
        <f>INDEX(cenník!$C$2:$I$568,MATCH($L60,cenník!$B$2:$B$557,0),MATCH(M$24,cenník!$C$1:$I$1,0))</f>
        <v>898525</v>
      </c>
      <c r="N60" s="14" t="str">
        <f>INDEX(cenník!$C$2:$I$568,MATCH($L60,cenník!$B$2:$B$557,0),MATCH(N$24,cenník!$C$1:$I$1,0))</f>
        <v>ks</v>
      </c>
      <c r="O60" s="14">
        <f>IF(AE54="suma",SUM(O58:O59),IF(AE54="len buff",O58,IF(AE54=0,0,0)))</f>
        <v>0</v>
      </c>
      <c r="P60" s="21">
        <f>INDEX(cenník!$C$2:$I$568,MATCH($L60,cenník!$B$2:$B$557,0),MATCH(P$24,cenník!$C$1:$I$1,0))</f>
        <v>0.16</v>
      </c>
      <c r="Q60" s="21">
        <f t="shared" si="31"/>
        <v>0</v>
      </c>
      <c r="R60" s="22">
        <f t="shared" si="28"/>
        <v>0</v>
      </c>
      <c r="S60" s="21">
        <f t="shared" si="29"/>
        <v>0.16</v>
      </c>
      <c r="T60" s="21">
        <f t="shared" si="30"/>
        <v>0</v>
      </c>
      <c r="U60" s="21">
        <f>INDEX(cenník!$C$2:$I$568,MATCH($L60,cenník!$B$2:$B$557,0),MATCH(U$24,cenník!$C$1:$I$1,0))*O60</f>
        <v>0</v>
      </c>
      <c r="V60" s="19"/>
      <c r="W60" s="19"/>
      <c r="X60" s="25">
        <f t="shared" si="27"/>
        <v>0</v>
      </c>
      <c r="Y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60,$BB$2:$CA$2,0),MATCH($W$46,$AH$22:$AH$47,0)))*C60</f>
        <v>0</v>
      </c>
      <c r="Z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60,$BB$2:$CA$2,0),MATCH($W$46,$AH$22:$AH$47,0)))*C60</f>
        <v>0</v>
      </c>
      <c r="AA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60,$BB$2:$CA$2,0),MATCH($W$46,$AH$22:$AH$47,0)))*C60</f>
        <v>0</v>
      </c>
      <c r="AB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60,$BB$2:$CA$2,0),MATCH($W$46,$AH$22:$AH$47,0)))*C60</f>
        <v>0</v>
      </c>
      <c r="AC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60,$BB$2:$CA$2,0),MATCH($W$46,$AH$22:$AH$47,0)))*C60</f>
        <v>0</v>
      </c>
      <c r="AD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60,$BB$2:$CA$2,0),MATCH($W$46,$AH$22:$AH$47,0)))*C60</f>
        <v>0</v>
      </c>
      <c r="AE60" s="19"/>
      <c r="AF60" s="19"/>
      <c r="AG60" s="19">
        <v>42</v>
      </c>
      <c r="AH60" s="19" t="s">
        <v>426</v>
      </c>
      <c r="AI60" s="19">
        <v>0</v>
      </c>
      <c r="AJ60" s="19"/>
      <c r="AK60" s="19"/>
      <c r="AL60" s="19"/>
      <c r="AM60" s="19">
        <v>35</v>
      </c>
      <c r="AN60" s="19" t="s">
        <v>23</v>
      </c>
      <c r="AO60" s="19" t="s">
        <v>24</v>
      </c>
      <c r="AP60" s="19" t="s">
        <v>55</v>
      </c>
      <c r="AQ60" s="19" t="s">
        <v>129</v>
      </c>
      <c r="AS60" s="19">
        <v>35</v>
      </c>
      <c r="AT60" s="19" t="s">
        <v>473</v>
      </c>
      <c r="AU60" s="19" t="s">
        <v>473</v>
      </c>
      <c r="AV60" s="19" t="s">
        <v>473</v>
      </c>
      <c r="AW60" s="19" t="s">
        <v>473</v>
      </c>
      <c r="AX60" s="19"/>
      <c r="AY60" s="19"/>
      <c r="AZ60" s="19"/>
      <c r="BA60" s="19" t="s">
        <v>14</v>
      </c>
      <c r="BB60" s="19">
        <v>0</v>
      </c>
      <c r="BC60" s="19">
        <v>0</v>
      </c>
      <c r="BD60" s="19">
        <v>2</v>
      </c>
      <c r="BE60" s="19">
        <v>0</v>
      </c>
      <c r="BF60" s="19">
        <v>2</v>
      </c>
      <c r="BG60" s="19">
        <v>4</v>
      </c>
      <c r="BH60" s="19">
        <v>2</v>
      </c>
      <c r="BI60" s="19">
        <v>4</v>
      </c>
      <c r="BJ60" s="19">
        <v>6</v>
      </c>
      <c r="BK60" s="19">
        <v>4</v>
      </c>
      <c r="BL60" s="19">
        <v>2</v>
      </c>
      <c r="BM60" s="19">
        <v>2</v>
      </c>
      <c r="BN60" s="19">
        <v>0</v>
      </c>
      <c r="BO60" s="19">
        <v>0</v>
      </c>
      <c r="BP60" s="19">
        <v>0</v>
      </c>
      <c r="BQ60" s="19">
        <v>0</v>
      </c>
      <c r="BR60" s="19">
        <v>12</v>
      </c>
      <c r="BS60" s="19">
        <v>10</v>
      </c>
      <c r="BT60" s="19">
        <v>8</v>
      </c>
      <c r="BU60" s="19">
        <v>8</v>
      </c>
      <c r="BV60" s="19">
        <v>6</v>
      </c>
      <c r="BW60" s="19">
        <v>6</v>
      </c>
      <c r="BX60" s="19">
        <v>8</v>
      </c>
      <c r="BY60" s="19">
        <v>4</v>
      </c>
      <c r="BZ60" s="19">
        <v>18</v>
      </c>
      <c r="CA60" s="19">
        <v>2</v>
      </c>
      <c r="CB60" s="19">
        <v>14</v>
      </c>
      <c r="CC60" s="19">
        <v>14</v>
      </c>
      <c r="CD60" s="19">
        <v>0</v>
      </c>
      <c r="CE60" s="19">
        <v>12</v>
      </c>
      <c r="CF60" s="19">
        <v>12</v>
      </c>
      <c r="CG60" s="19">
        <v>10</v>
      </c>
      <c r="CH60" s="19">
        <v>24</v>
      </c>
      <c r="CI60" s="19">
        <v>8</v>
      </c>
      <c r="CJ60" s="19">
        <v>20</v>
      </c>
      <c r="CK60" s="19">
        <v>20</v>
      </c>
      <c r="CL60" s="19">
        <v>4</v>
      </c>
      <c r="CM60" s="19">
        <v>6</v>
      </c>
      <c r="CN60" s="19">
        <v>2</v>
      </c>
      <c r="CO60" s="19">
        <v>2</v>
      </c>
      <c r="CP60" s="19">
        <v>30</v>
      </c>
      <c r="CQ60" s="19">
        <v>14</v>
      </c>
      <c r="CR60" s="19">
        <v>0</v>
      </c>
      <c r="CS60" s="19">
        <v>26</v>
      </c>
      <c r="CT60" s="19">
        <v>10</v>
      </c>
      <c r="CU60" s="19">
        <v>0</v>
      </c>
      <c r="CV60" s="19">
        <v>8</v>
      </c>
      <c r="CW60" s="19">
        <v>8</v>
      </c>
      <c r="CX60" s="19">
        <v>36</v>
      </c>
      <c r="CY60" s="19">
        <v>20</v>
      </c>
      <c r="CZ60" s="19">
        <v>4</v>
      </c>
      <c r="DA60" s="17"/>
      <c r="DB60" s="17"/>
      <c r="DC60" s="17"/>
      <c r="DD60" s="19" t="s">
        <v>236</v>
      </c>
      <c r="DE60" s="19">
        <v>0</v>
      </c>
      <c r="DF60" s="19">
        <v>2</v>
      </c>
      <c r="DG60" s="19">
        <v>4</v>
      </c>
      <c r="DH60" s="19">
        <v>2</v>
      </c>
      <c r="DI60" s="19">
        <v>4</v>
      </c>
      <c r="DJ60" s="19">
        <v>2</v>
      </c>
      <c r="DK60" s="19">
        <v>4</v>
      </c>
      <c r="DL60" s="19">
        <v>2</v>
      </c>
      <c r="DM60" s="19">
        <v>4</v>
      </c>
      <c r="DN60" s="19">
        <v>0</v>
      </c>
      <c r="DO60" s="19">
        <v>4</v>
      </c>
      <c r="DP60" s="19">
        <v>0</v>
      </c>
      <c r="DQ60" s="19">
        <v>4</v>
      </c>
      <c r="DR60" s="19">
        <v>0</v>
      </c>
      <c r="DS60" s="19">
        <v>4</v>
      </c>
      <c r="DT60" s="19">
        <v>0</v>
      </c>
      <c r="DU60" s="19">
        <v>2</v>
      </c>
      <c r="DV60" s="19">
        <v>0</v>
      </c>
      <c r="DW60" s="19">
        <v>2</v>
      </c>
      <c r="DX60" s="19">
        <v>0</v>
      </c>
      <c r="DY60" s="19">
        <v>2</v>
      </c>
      <c r="DZ60" s="19"/>
      <c r="EA60" s="19"/>
      <c r="EB60" s="19" t="s">
        <v>14</v>
      </c>
      <c r="EC60" s="19">
        <v>0</v>
      </c>
      <c r="ED60" s="19">
        <v>0</v>
      </c>
      <c r="EE60" s="19">
        <v>0</v>
      </c>
      <c r="EF60" s="19">
        <v>0</v>
      </c>
      <c r="EG60" s="19">
        <v>2</v>
      </c>
      <c r="EH60" s="19">
        <v>6</v>
      </c>
      <c r="EI60" s="19">
        <v>0</v>
      </c>
      <c r="EJ60" s="19">
        <v>4</v>
      </c>
      <c r="EK60" s="19">
        <v>8</v>
      </c>
      <c r="EL60" s="19">
        <v>0</v>
      </c>
      <c r="EM60" s="19">
        <v>4</v>
      </c>
      <c r="EN60" s="19">
        <v>6</v>
      </c>
      <c r="EO60" s="19">
        <v>14</v>
      </c>
      <c r="EP60" s="19">
        <v>2</v>
      </c>
      <c r="EQ60" s="19">
        <v>8</v>
      </c>
      <c r="ER60" s="19">
        <v>12</v>
      </c>
      <c r="ES60" s="19">
        <v>4</v>
      </c>
      <c r="ET60" s="19">
        <v>12</v>
      </c>
      <c r="EU60" s="19">
        <v>0</v>
      </c>
      <c r="EV60" s="19">
        <v>18</v>
      </c>
      <c r="EW60" s="19">
        <v>22</v>
      </c>
      <c r="EX60" s="19">
        <v>14</v>
      </c>
      <c r="EY60" s="19">
        <v>8</v>
      </c>
      <c r="EZ60" s="19">
        <v>8</v>
      </c>
      <c r="FA60" s="19">
        <v>28</v>
      </c>
      <c r="FB60" s="19">
        <v>4</v>
      </c>
      <c r="FC60" s="19">
        <v>22</v>
      </c>
      <c r="FD60" s="19">
        <v>0</v>
      </c>
      <c r="FE60" s="19">
        <v>18</v>
      </c>
      <c r="FF60" s="19">
        <v>22</v>
      </c>
      <c r="FG60" s="19">
        <v>12</v>
      </c>
      <c r="FH60" s="19">
        <v>32</v>
      </c>
      <c r="FI60" s="19">
        <v>0</v>
      </c>
      <c r="FJ60" s="19">
        <v>12</v>
      </c>
      <c r="FK60" s="19">
        <v>2</v>
      </c>
      <c r="FL60" s="19">
        <v>22</v>
      </c>
      <c r="FM60" s="19">
        <v>0</v>
      </c>
      <c r="FN60" s="19">
        <v>2</v>
      </c>
      <c r="FO60" s="19">
        <v>0</v>
      </c>
      <c r="FP60" s="19">
        <v>12</v>
      </c>
      <c r="FQ60" s="19">
        <v>32</v>
      </c>
      <c r="FR60" s="19">
        <v>8</v>
      </c>
      <c r="FS60" s="19">
        <v>4</v>
      </c>
      <c r="FT60" s="19">
        <v>2</v>
      </c>
      <c r="FU60" s="19">
        <v>22</v>
      </c>
      <c r="FV60" s="19">
        <v>0</v>
      </c>
      <c r="FW60" s="19">
        <v>16</v>
      </c>
      <c r="FX60" s="19">
        <v>0</v>
      </c>
      <c r="FY60" s="19">
        <v>12</v>
      </c>
      <c r="FZ60" s="19">
        <v>16</v>
      </c>
      <c r="GA60" s="19">
        <v>6</v>
      </c>
      <c r="GC60" s="19"/>
      <c r="GD60" s="19"/>
      <c r="GE60" s="19" t="s">
        <v>14</v>
      </c>
      <c r="GF60" s="19">
        <v>0</v>
      </c>
      <c r="GG60" s="19">
        <v>0</v>
      </c>
      <c r="GH60" s="19">
        <v>0</v>
      </c>
      <c r="GI60" s="19">
        <v>4</v>
      </c>
      <c r="GJ60" s="19">
        <v>4</v>
      </c>
      <c r="GK60" s="19">
        <v>4</v>
      </c>
      <c r="GL60" s="19">
        <v>8</v>
      </c>
      <c r="GM60" s="19">
        <v>8</v>
      </c>
      <c r="GN60" s="19">
        <v>8</v>
      </c>
      <c r="GO60" s="19">
        <v>0</v>
      </c>
      <c r="GP60" s="19">
        <v>0</v>
      </c>
      <c r="GQ60" s="19">
        <v>2</v>
      </c>
      <c r="GR60" s="19">
        <v>2</v>
      </c>
      <c r="GS60" s="19">
        <v>4</v>
      </c>
      <c r="GT60" s="19">
        <v>6</v>
      </c>
      <c r="GU60" s="19">
        <v>6</v>
      </c>
      <c r="GV60" s="19">
        <v>8</v>
      </c>
      <c r="GW60" s="19">
        <v>10</v>
      </c>
      <c r="GX60" s="19">
        <v>10</v>
      </c>
      <c r="GY60" s="19">
        <v>0</v>
      </c>
      <c r="GZ60" s="19">
        <v>14</v>
      </c>
      <c r="HA60" s="19">
        <v>14</v>
      </c>
      <c r="HB60" s="19">
        <v>2</v>
      </c>
      <c r="HC60" s="19">
        <v>18</v>
      </c>
      <c r="HD60" s="19">
        <v>20</v>
      </c>
      <c r="HE60" s="19">
        <v>8</v>
      </c>
      <c r="HF60" s="19">
        <v>8</v>
      </c>
      <c r="HG60" s="19">
        <v>2</v>
      </c>
      <c r="HH60" s="19">
        <v>12</v>
      </c>
      <c r="HI60" s="19">
        <v>28</v>
      </c>
      <c r="HJ60" s="19">
        <v>0</v>
      </c>
      <c r="HK60" s="19">
        <v>16</v>
      </c>
      <c r="HL60" s="19">
        <v>8</v>
      </c>
      <c r="HM60" s="19">
        <v>4</v>
      </c>
      <c r="HN60" s="19">
        <v>20</v>
      </c>
      <c r="HO60" s="19">
        <v>0</v>
      </c>
      <c r="HP60" s="19">
        <v>8</v>
      </c>
      <c r="HQ60" s="19">
        <v>2</v>
      </c>
      <c r="HR60" s="19">
        <v>0</v>
      </c>
      <c r="HS60" s="19">
        <v>12</v>
      </c>
      <c r="HT60" s="19">
        <v>14</v>
      </c>
      <c r="HU60" s="19">
        <v>2</v>
      </c>
      <c r="HV60" s="19">
        <v>2</v>
      </c>
      <c r="HW60" s="19">
        <v>0</v>
      </c>
      <c r="HX60" s="19">
        <v>6</v>
      </c>
      <c r="HY60" s="19">
        <v>22</v>
      </c>
      <c r="HZ60" s="19">
        <v>22</v>
      </c>
      <c r="IA60" s="19">
        <v>10</v>
      </c>
      <c r="IB60" s="19">
        <v>26</v>
      </c>
      <c r="IC60" s="19">
        <v>0</v>
      </c>
      <c r="ID60" s="19">
        <v>14</v>
      </c>
      <c r="IF60" s="20" t="s">
        <v>14</v>
      </c>
      <c r="IG60" s="20">
        <v>0</v>
      </c>
      <c r="IH60" s="20">
        <v>2</v>
      </c>
      <c r="II60" s="20">
        <v>2</v>
      </c>
      <c r="IJ60" s="20">
        <v>0</v>
      </c>
      <c r="IK60" s="20">
        <v>4</v>
      </c>
      <c r="IL60" s="20">
        <v>6</v>
      </c>
      <c r="IM60" s="20">
        <v>0</v>
      </c>
      <c r="IN60" s="20">
        <v>10</v>
      </c>
      <c r="IO60" s="20">
        <v>4</v>
      </c>
      <c r="IP60" s="20">
        <v>2</v>
      </c>
      <c r="IQ60" s="20">
        <v>12</v>
      </c>
      <c r="IR60" s="20">
        <v>6</v>
      </c>
      <c r="IS60" s="20">
        <v>4</v>
      </c>
      <c r="IT60" s="20">
        <v>0</v>
      </c>
      <c r="IU60" s="20">
        <v>8</v>
      </c>
      <c r="IV60" s="20">
        <v>4</v>
      </c>
      <c r="IW60" s="20">
        <v>14</v>
      </c>
      <c r="IX60" s="20">
        <v>0</v>
      </c>
      <c r="IY60" s="20">
        <v>6</v>
      </c>
      <c r="IZ60" s="20">
        <v>0</v>
      </c>
      <c r="JA60" s="20">
        <v>10</v>
      </c>
      <c r="JB60" s="20">
        <v>20</v>
      </c>
      <c r="JC60" s="20">
        <v>2</v>
      </c>
      <c r="JD60" s="20">
        <v>12</v>
      </c>
      <c r="JE60" s="20">
        <v>6</v>
      </c>
      <c r="JF60" s="20">
        <v>32</v>
      </c>
    </row>
    <row r="61" spans="1:266" x14ac:dyDescent="0.25">
      <c r="A61" s="8"/>
      <c r="B61" s="5" t="s">
        <v>61</v>
      </c>
      <c r="C61" s="8"/>
      <c r="D61" s="4"/>
      <c r="E61" s="4"/>
      <c r="F61" s="4"/>
      <c r="G61" s="4"/>
      <c r="H61" s="4"/>
      <c r="I61" s="4"/>
      <c r="J61" s="4"/>
      <c r="K61" s="4"/>
      <c r="L61" s="6" t="str">
        <f>IF(E51=$AC$1,INDEX(($AQ$28:$AQ$37,$AQ$42:$AQ$51,$AQ$56:$AQ$65),MATCH(I48,$AM$28:$AM$37,0),1,MATCH(E55,$AK$22:$AK$24,0)),IF(E51=$AC$2,INDEX(($AW$28:$AW$37,$AW$42:$AW$51,$AW$56:$AW$65),MATCH(I48,$AS$28:$AS$37,0),1,MATCH(E55,$AK$22:$AK$24,0)),0))</f>
        <v>NKWSM8A</v>
      </c>
      <c r="M61" s="14">
        <f>INDEX(cenník!$C$2:$I$568,MATCH($L61,cenník!$B$2:$B$557,0),MATCH(M$24,cenník!$C$1:$I$1,0))</f>
        <v>600909</v>
      </c>
      <c r="N61" s="14" t="str">
        <f>INDEX(cenník!$C$2:$I$568,MATCH($L61,cenník!$B$2:$B$557,0),MATCH(N$24,cenník!$C$1:$I$1,0))</f>
        <v>ks</v>
      </c>
      <c r="O61" s="14">
        <f>O60</f>
        <v>0</v>
      </c>
      <c r="P61" s="21">
        <f>INDEX(cenník!$C$2:$I$568,MATCH($L61,cenník!$B$2:$B$557,0),MATCH(P$24,cenník!$C$1:$I$1,0))</f>
        <v>0.21</v>
      </c>
      <c r="Q61" s="21">
        <f t="shared" si="31"/>
        <v>0</v>
      </c>
      <c r="R61" s="22">
        <f t="shared" si="28"/>
        <v>0</v>
      </c>
      <c r="S61" s="21">
        <f t="shared" si="29"/>
        <v>0.21</v>
      </c>
      <c r="T61" s="21">
        <f t="shared" si="30"/>
        <v>0</v>
      </c>
      <c r="U61" s="21">
        <f>INDEX(cenník!$C$2:$I$568,MATCH($L61,cenník!$B$2:$B$557,0),MATCH(U$24,cenník!$C$1:$I$1,0))*O61</f>
        <v>0</v>
      </c>
      <c r="V61" s="19"/>
      <c r="W61" s="19"/>
      <c r="X61" s="25">
        <f t="shared" si="27"/>
        <v>0</v>
      </c>
      <c r="Y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61,$BB$2:$CA$2,0),MATCH($W$46,$AH$22:$AH$47,0)))*C61</f>
        <v>0</v>
      </c>
      <c r="Z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61,$BB$2:$CA$2,0),MATCH($W$46,$AH$22:$AH$47,0)))*C61</f>
        <v>0</v>
      </c>
      <c r="AA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61,$BB$2:$CA$2,0),MATCH($W$46,$AH$22:$AH$47,0)))*C61</f>
        <v>0</v>
      </c>
      <c r="AB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61,$BB$2:$CA$2,0),MATCH($W$46,$AH$22:$AH$47,0)))*C61</f>
        <v>0</v>
      </c>
      <c r="AC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61,$BB$2:$CA$2,0),MATCH($W$46,$AH$22:$AH$47,0)))*C61</f>
        <v>0</v>
      </c>
      <c r="AD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61,$BB$2:$CA$2,0),MATCH($W$46,$AH$22:$AH$47,0)))*C61</f>
        <v>0</v>
      </c>
      <c r="AE61" s="19"/>
      <c r="AF61" s="19"/>
      <c r="AG61" s="19">
        <v>45</v>
      </c>
      <c r="AH61" s="19" t="s">
        <v>426</v>
      </c>
      <c r="AI61" s="19">
        <v>0</v>
      </c>
      <c r="AJ61" s="19"/>
      <c r="AK61" s="19"/>
      <c r="AL61" s="19"/>
      <c r="AM61" s="19">
        <v>38</v>
      </c>
      <c r="AN61" s="19" t="s">
        <v>25</v>
      </c>
      <c r="AO61" s="19"/>
      <c r="AP61" s="19" t="s">
        <v>55</v>
      </c>
      <c r="AQ61" s="19" t="s">
        <v>129</v>
      </c>
      <c r="AS61" s="19">
        <v>38</v>
      </c>
      <c r="AT61" s="19" t="s">
        <v>473</v>
      </c>
      <c r="AU61" s="19" t="s">
        <v>473</v>
      </c>
      <c r="AV61" s="19" t="s">
        <v>473</v>
      </c>
      <c r="AW61" s="19" t="s">
        <v>473</v>
      </c>
      <c r="AX61" s="19"/>
      <c r="AY61" s="19"/>
      <c r="AZ61" s="19"/>
      <c r="BA61" s="19" t="s">
        <v>18</v>
      </c>
      <c r="BB61" s="19">
        <v>0</v>
      </c>
      <c r="BC61" s="19">
        <v>0</v>
      </c>
      <c r="BD61" s="19">
        <v>0</v>
      </c>
      <c r="BE61" s="19">
        <v>0</v>
      </c>
      <c r="BF61" s="19">
        <v>0</v>
      </c>
      <c r="BG61" s="19">
        <v>0</v>
      </c>
      <c r="BH61" s="19">
        <v>0</v>
      </c>
      <c r="BI61" s="19">
        <v>0</v>
      </c>
      <c r="BJ61" s="19">
        <v>0</v>
      </c>
      <c r="BK61" s="19">
        <v>0</v>
      </c>
      <c r="BL61" s="19">
        <v>4</v>
      </c>
      <c r="BM61" s="19">
        <v>6</v>
      </c>
      <c r="BN61" s="19">
        <v>6</v>
      </c>
      <c r="BO61" s="19">
        <v>8</v>
      </c>
      <c r="BP61" s="19">
        <v>10</v>
      </c>
      <c r="BQ61" s="19">
        <v>10</v>
      </c>
      <c r="BR61" s="19">
        <v>0</v>
      </c>
      <c r="BS61" s="19">
        <v>0</v>
      </c>
      <c r="BT61" s="19">
        <v>4</v>
      </c>
      <c r="BU61" s="19">
        <v>6</v>
      </c>
      <c r="BV61" s="19">
        <v>6</v>
      </c>
      <c r="BW61" s="19">
        <v>8</v>
      </c>
      <c r="BX61" s="19">
        <v>8</v>
      </c>
      <c r="BY61" s="19">
        <v>10</v>
      </c>
      <c r="BZ61" s="19">
        <v>0</v>
      </c>
      <c r="CA61" s="19">
        <v>16</v>
      </c>
      <c r="CB61" s="19">
        <v>4</v>
      </c>
      <c r="CC61" s="19">
        <v>6</v>
      </c>
      <c r="CD61" s="19">
        <v>20</v>
      </c>
      <c r="CE61" s="19">
        <v>8</v>
      </c>
      <c r="CF61" s="19">
        <v>10</v>
      </c>
      <c r="CG61" s="19">
        <v>10</v>
      </c>
      <c r="CH61" s="19">
        <v>0</v>
      </c>
      <c r="CI61" s="19">
        <v>16</v>
      </c>
      <c r="CJ61" s="19">
        <v>4</v>
      </c>
      <c r="CK61" s="19">
        <v>6</v>
      </c>
      <c r="CL61" s="19">
        <v>22</v>
      </c>
      <c r="CM61" s="19">
        <v>18</v>
      </c>
      <c r="CN61" s="19">
        <v>24</v>
      </c>
      <c r="CO61" s="19">
        <v>26</v>
      </c>
      <c r="CP61" s="19">
        <v>0</v>
      </c>
      <c r="CQ61" s="19">
        <v>16</v>
      </c>
      <c r="CR61" s="19">
        <v>30</v>
      </c>
      <c r="CS61" s="19">
        <v>6</v>
      </c>
      <c r="CT61" s="19">
        <v>22</v>
      </c>
      <c r="CU61" s="19">
        <v>32</v>
      </c>
      <c r="CV61" s="19">
        <v>24</v>
      </c>
      <c r="CW61" s="19">
        <v>26</v>
      </c>
      <c r="CX61" s="19">
        <v>0</v>
      </c>
      <c r="CY61" s="19">
        <v>16</v>
      </c>
      <c r="CZ61" s="19">
        <v>32</v>
      </c>
      <c r="DA61" s="17"/>
      <c r="DB61" s="17">
        <v>30</v>
      </c>
      <c r="DC61" s="17"/>
      <c r="DD61" s="19" t="s">
        <v>238</v>
      </c>
      <c r="DE61" s="19">
        <v>0</v>
      </c>
      <c r="DF61" s="19">
        <v>0</v>
      </c>
      <c r="DG61" s="19">
        <v>0</v>
      </c>
      <c r="DH61" s="19">
        <v>2</v>
      </c>
      <c r="DI61" s="19">
        <v>2</v>
      </c>
      <c r="DJ61" s="19">
        <v>4</v>
      </c>
      <c r="DK61" s="19">
        <v>4</v>
      </c>
      <c r="DL61" s="19">
        <v>6</v>
      </c>
      <c r="DM61" s="19">
        <v>6</v>
      </c>
      <c r="DN61" s="19">
        <v>10</v>
      </c>
      <c r="DO61" s="19">
        <v>8</v>
      </c>
      <c r="DP61" s="19">
        <v>12</v>
      </c>
      <c r="DQ61" s="19">
        <v>10</v>
      </c>
      <c r="DR61" s="19">
        <v>14</v>
      </c>
      <c r="DS61" s="19">
        <v>12</v>
      </c>
      <c r="DT61" s="19">
        <v>16</v>
      </c>
      <c r="DU61" s="19">
        <v>16</v>
      </c>
      <c r="DV61" s="19">
        <v>18</v>
      </c>
      <c r="DW61" s="19">
        <v>18</v>
      </c>
      <c r="DX61" s="19">
        <v>20</v>
      </c>
      <c r="DY61" s="19">
        <v>20</v>
      </c>
      <c r="DZ61" s="19"/>
      <c r="EA61" s="19"/>
      <c r="EB61" s="19" t="s">
        <v>18</v>
      </c>
      <c r="EC61" s="19">
        <v>0</v>
      </c>
      <c r="ED61" s="19">
        <v>0</v>
      </c>
      <c r="EE61" s="19">
        <v>0</v>
      </c>
      <c r="EF61" s="19">
        <v>0</v>
      </c>
      <c r="EG61" s="19">
        <v>0</v>
      </c>
      <c r="EH61" s="19">
        <v>0</v>
      </c>
      <c r="EI61" s="19">
        <v>4</v>
      </c>
      <c r="EJ61" s="19">
        <v>4</v>
      </c>
      <c r="EK61" s="19">
        <v>0</v>
      </c>
      <c r="EL61" s="19">
        <v>10</v>
      </c>
      <c r="EM61" s="19">
        <v>6</v>
      </c>
      <c r="EN61" s="19">
        <v>4</v>
      </c>
      <c r="EO61" s="19">
        <v>0</v>
      </c>
      <c r="EP61" s="19">
        <v>10</v>
      </c>
      <c r="EQ61" s="19">
        <v>8</v>
      </c>
      <c r="ER61" s="19">
        <v>4</v>
      </c>
      <c r="ES61" s="19">
        <v>14</v>
      </c>
      <c r="ET61" s="19">
        <v>6</v>
      </c>
      <c r="EU61" s="19">
        <v>20</v>
      </c>
      <c r="EV61" s="19">
        <v>4</v>
      </c>
      <c r="EW61" s="19">
        <v>0</v>
      </c>
      <c r="EX61" s="19">
        <v>10</v>
      </c>
      <c r="EY61" s="19">
        <v>14</v>
      </c>
      <c r="EZ61" s="19">
        <v>18</v>
      </c>
      <c r="FA61" s="19">
        <v>0</v>
      </c>
      <c r="FB61" s="19">
        <v>24</v>
      </c>
      <c r="FC61" s="19">
        <v>8</v>
      </c>
      <c r="FD61" s="19">
        <v>30</v>
      </c>
      <c r="FE61" s="19">
        <v>14</v>
      </c>
      <c r="FF61" s="19">
        <v>10</v>
      </c>
      <c r="FG61" s="19">
        <v>22</v>
      </c>
      <c r="FH61" s="19">
        <v>4</v>
      </c>
      <c r="FI61" s="19">
        <v>34</v>
      </c>
      <c r="FJ61" s="19">
        <v>24</v>
      </c>
      <c r="FK61" s="19">
        <v>36</v>
      </c>
      <c r="FL61" s="19">
        <v>18</v>
      </c>
      <c r="FM61" s="19">
        <v>40</v>
      </c>
      <c r="FN61" s="19">
        <v>38</v>
      </c>
      <c r="FO61" s="19">
        <v>42</v>
      </c>
      <c r="FP61" s="19">
        <v>32</v>
      </c>
      <c r="FQ61" s="19">
        <v>14</v>
      </c>
      <c r="FR61" s="19">
        <v>38</v>
      </c>
      <c r="FS61" s="19">
        <v>40</v>
      </c>
      <c r="FT61" s="19">
        <v>46</v>
      </c>
      <c r="FU61" s="19">
        <v>28</v>
      </c>
      <c r="FV61" s="19">
        <v>50</v>
      </c>
      <c r="FW61" s="19">
        <v>36</v>
      </c>
      <c r="FX61" s="19">
        <v>52</v>
      </c>
      <c r="FY61" s="19">
        <v>42</v>
      </c>
      <c r="FZ61" s="19">
        <v>38</v>
      </c>
      <c r="GA61" s="19">
        <v>50</v>
      </c>
      <c r="GC61" s="19"/>
      <c r="GD61" s="19"/>
      <c r="GE61" s="19" t="s">
        <v>18</v>
      </c>
      <c r="GF61" s="19">
        <v>0</v>
      </c>
      <c r="GG61" s="19">
        <v>0</v>
      </c>
      <c r="GH61" s="19">
        <v>0</v>
      </c>
      <c r="GI61" s="19">
        <v>0</v>
      </c>
      <c r="GJ61" s="19">
        <v>0</v>
      </c>
      <c r="GK61" s="19">
        <v>0</v>
      </c>
      <c r="GL61" s="19">
        <v>0</v>
      </c>
      <c r="GM61" s="19">
        <v>0</v>
      </c>
      <c r="GN61" s="19">
        <v>0</v>
      </c>
      <c r="GO61" s="19">
        <v>10</v>
      </c>
      <c r="GP61" s="19">
        <v>10</v>
      </c>
      <c r="GQ61" s="19">
        <v>12</v>
      </c>
      <c r="GR61" s="19">
        <v>12</v>
      </c>
      <c r="GS61" s="19">
        <v>10</v>
      </c>
      <c r="GT61" s="19">
        <v>12</v>
      </c>
      <c r="GU61" s="19">
        <v>12</v>
      </c>
      <c r="GV61" s="19">
        <v>10</v>
      </c>
      <c r="GW61" s="19">
        <v>12</v>
      </c>
      <c r="GX61" s="19">
        <v>12</v>
      </c>
      <c r="GY61" s="19">
        <v>24</v>
      </c>
      <c r="GZ61" s="19">
        <v>12</v>
      </c>
      <c r="HA61" s="19">
        <v>12</v>
      </c>
      <c r="HB61" s="19">
        <v>26</v>
      </c>
      <c r="HC61" s="19">
        <v>12</v>
      </c>
      <c r="HD61" s="19">
        <v>10</v>
      </c>
      <c r="HE61" s="19">
        <v>24</v>
      </c>
      <c r="HF61" s="19">
        <v>24</v>
      </c>
      <c r="HG61" s="19">
        <v>32</v>
      </c>
      <c r="HH61" s="19">
        <v>24</v>
      </c>
      <c r="HI61" s="19">
        <v>10</v>
      </c>
      <c r="HJ61" s="19">
        <v>38</v>
      </c>
      <c r="HK61" s="19">
        <v>24</v>
      </c>
      <c r="HL61" s="19">
        <v>30</v>
      </c>
      <c r="HM61" s="19">
        <v>38</v>
      </c>
      <c r="HN61" s="19">
        <v>24</v>
      </c>
      <c r="HO61" s="19">
        <v>44</v>
      </c>
      <c r="HP61" s="19">
        <v>38</v>
      </c>
      <c r="HQ61" s="19">
        <v>42</v>
      </c>
      <c r="HR61" s="19">
        <v>48</v>
      </c>
      <c r="HS61" s="19">
        <v>38</v>
      </c>
      <c r="HT61" s="19">
        <v>36</v>
      </c>
      <c r="HU61" s="19">
        <v>50</v>
      </c>
      <c r="HV61" s="19">
        <v>50</v>
      </c>
      <c r="HW61" s="19">
        <v>54</v>
      </c>
      <c r="HX61" s="19">
        <v>50</v>
      </c>
      <c r="HY61" s="19">
        <v>36</v>
      </c>
      <c r="HZ61" s="19">
        <v>36</v>
      </c>
      <c r="IA61" s="19">
        <v>50</v>
      </c>
      <c r="IB61" s="19">
        <v>36</v>
      </c>
      <c r="IC61" s="19">
        <v>62</v>
      </c>
      <c r="ID61" s="19">
        <v>50</v>
      </c>
      <c r="IF61" s="20" t="s">
        <v>18</v>
      </c>
      <c r="IG61" s="20">
        <v>0</v>
      </c>
      <c r="IH61" s="20">
        <v>0</v>
      </c>
      <c r="II61" s="20">
        <v>0</v>
      </c>
      <c r="IJ61" s="20">
        <v>2</v>
      </c>
      <c r="IK61" s="20">
        <v>0</v>
      </c>
      <c r="IL61" s="20">
        <v>2</v>
      </c>
      <c r="IM61" s="20">
        <v>8</v>
      </c>
      <c r="IN61" s="20">
        <v>0</v>
      </c>
      <c r="IO61" s="20">
        <v>6</v>
      </c>
      <c r="IP61" s="20">
        <v>12</v>
      </c>
      <c r="IQ61" s="20">
        <v>4</v>
      </c>
      <c r="IR61" s="20">
        <v>10</v>
      </c>
      <c r="IS61" s="20">
        <v>12</v>
      </c>
      <c r="IT61" s="20">
        <v>20</v>
      </c>
      <c r="IU61" s="20">
        <v>14</v>
      </c>
      <c r="IV61" s="20">
        <v>18</v>
      </c>
      <c r="IW61" s="20">
        <v>10</v>
      </c>
      <c r="IX61" s="20">
        <v>26</v>
      </c>
      <c r="IY61" s="20">
        <v>22</v>
      </c>
      <c r="IZ61" s="20">
        <v>28</v>
      </c>
      <c r="JA61" s="20">
        <v>20</v>
      </c>
      <c r="JB61" s="20">
        <v>12</v>
      </c>
      <c r="JC61" s="20">
        <v>32</v>
      </c>
      <c r="JD61" s="20">
        <v>24</v>
      </c>
      <c r="JE61" s="20">
        <v>30</v>
      </c>
      <c r="JF61" s="20">
        <v>8</v>
      </c>
    </row>
    <row r="62" spans="1:266" x14ac:dyDescent="0.25">
      <c r="A62" s="8"/>
      <c r="B62" s="5" t="s">
        <v>61</v>
      </c>
      <c r="C62" s="8"/>
      <c r="D62" s="4"/>
      <c r="E62" s="4"/>
      <c r="F62" s="4"/>
      <c r="G62" s="4"/>
      <c r="H62" s="4"/>
      <c r="I62" s="4"/>
      <c r="J62" s="4"/>
      <c r="K62" s="4"/>
      <c r="L62" s="6" t="str">
        <f>IF(L59="PUFK","PUPK",IF(L59="PUFKL","PUPK","PUP"))</f>
        <v>PUP</v>
      </c>
      <c r="M62" s="14">
        <f>INDEX(cenník!$C$2:$I$568,MATCH($L62,cenník!$B$2:$B$557,0),MATCH(M$24,cenník!$C$1:$I$1,0))</f>
        <v>897303</v>
      </c>
      <c r="N62" s="14" t="str">
        <f>INDEX(cenník!$C$2:$I$568,MATCH($L62,cenník!$B$2:$B$557,0),MATCH(N$24,cenník!$C$1:$I$1,0))</f>
        <v>ks</v>
      </c>
      <c r="O62" s="14">
        <f>SUM((IF(MOD(A47,2)=0,A47/2,IF(MOD(A47,2)=1,FLOOR(A47/2,1)+1,0))*C47),(IF(MOD(A48,2)=0,A48/2,IF(MOD(A48,2)=1,FLOOR(A48/2,1)+1,0))*C48),(IF(MOD(A49,2)=0,A49/2,IF(MOD(A49,2)=1,FLOOR(A49/2,1)+1,0))*C49),(IF(MOD(A50,2)=0,A50/2,IF(MOD(A50,2)=1,FLOOR(A50/2,1)+1,0))*C50),(IF(MOD(A51,2)=0,A51/2,IF(MOD(A51,2)=1,FLOOR(A51/2,1)+1,0))*C51),(IF(MOD(A52,2)=0,A52/2,IF(MOD(A52,2)=1,FLOOR(A52/2,1)+1,0))*C52),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)</f>
        <v>0</v>
      </c>
      <c r="P62" s="21">
        <f>INDEX(cenník!$C$2:$I$568,MATCH($L62,cenník!$B$2:$B$557,0),MATCH(P$24,cenník!$C$1:$I$1,0))</f>
        <v>0.83</v>
      </c>
      <c r="Q62" s="21">
        <f t="shared" si="31"/>
        <v>0</v>
      </c>
      <c r="R62" s="22">
        <f t="shared" si="28"/>
        <v>0</v>
      </c>
      <c r="S62" s="21">
        <f t="shared" si="29"/>
        <v>0.83</v>
      </c>
      <c r="T62" s="21">
        <f t="shared" si="30"/>
        <v>0</v>
      </c>
      <c r="U62" s="21">
        <f>INDEX(cenník!$C$2:$I$568,MATCH($L62,cenník!$B$2:$B$557,0),MATCH(U$24,cenník!$C$1:$I$1,0))*O62</f>
        <v>0</v>
      </c>
      <c r="V62" s="19"/>
      <c r="W62" s="19"/>
      <c r="X62" s="25"/>
      <c r="Y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62,$BB$2:$CA$2,0),MATCH($W$46,$AH$22:$AH$47,0)))*C62</f>
        <v>0</v>
      </c>
      <c r="Z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$48,$BA$3:$BA$17,0),MATCH(A62,$BB$2:$CA$2,0),MATCH($W$46,$AH$22:$AH$47,0)))*C62</f>
        <v>0</v>
      </c>
      <c r="AA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$49,$BA$3:$BA$17,0),MATCH(A62,$BB$2:$CA$2,0),MATCH($W$46,$AH$22:$AH$47,0)))*C62</f>
        <v>0</v>
      </c>
      <c r="AB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$50,$BA$3:$BA$17,0),MATCH(A62,$BB$2:$CA$2,0),MATCH($W$46,$AH$22:$AH$47,0)))*C62</f>
        <v>0</v>
      </c>
      <c r="AC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$51,$BA$3:$BA$17,0),MATCH(A62,$BB$2:$CA$2,0),MATCH($W$46,$AH$22:$AH$47,0)))*C62</f>
        <v>0</v>
      </c>
      <c r="AD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62,$BB$2:$CA$2,0),MATCH($W$46,$AH$22:$AH$47,0)))*C62</f>
        <v>0</v>
      </c>
      <c r="AE62" s="19"/>
      <c r="AF62" s="19"/>
      <c r="AG62" s="19">
        <v>50</v>
      </c>
      <c r="AH62" s="19" t="s">
        <v>426</v>
      </c>
      <c r="AI62" s="19">
        <v>0</v>
      </c>
      <c r="AJ62" s="19"/>
      <c r="AK62" s="19"/>
      <c r="AL62" s="19"/>
      <c r="AM62" s="19">
        <v>40</v>
      </c>
      <c r="AN62" s="19" t="s">
        <v>26</v>
      </c>
      <c r="AO62" s="19" t="s">
        <v>27</v>
      </c>
      <c r="AP62" s="19" t="s">
        <v>54</v>
      </c>
      <c r="AQ62" s="19" t="s">
        <v>129</v>
      </c>
      <c r="AS62" s="19">
        <v>40</v>
      </c>
      <c r="AT62" s="19" t="s">
        <v>473</v>
      </c>
      <c r="AU62" s="19" t="s">
        <v>473</v>
      </c>
      <c r="AV62" s="19" t="s">
        <v>473</v>
      </c>
      <c r="AW62" s="19" t="s">
        <v>473</v>
      </c>
      <c r="AX62" s="19"/>
      <c r="AY62" s="19"/>
      <c r="AZ62" s="19"/>
      <c r="BA62" s="19" t="s">
        <v>179</v>
      </c>
      <c r="BB62" s="19">
        <v>0</v>
      </c>
      <c r="BC62" s="19">
        <f>((((SUM(BC57:BC61))/2)-1))*4</f>
        <v>0</v>
      </c>
      <c r="BD62" s="19">
        <f t="shared" ref="BD62:CZ62" si="32">((((SUM(BD57:BD61))/2)-1))*4</f>
        <v>0</v>
      </c>
      <c r="BE62" s="19">
        <f t="shared" si="32"/>
        <v>4</v>
      </c>
      <c r="BF62" s="19">
        <f t="shared" si="32"/>
        <v>4</v>
      </c>
      <c r="BG62" s="19">
        <f t="shared" si="32"/>
        <v>4</v>
      </c>
      <c r="BH62" s="19">
        <f t="shared" si="32"/>
        <v>8</v>
      </c>
      <c r="BI62" s="19">
        <f t="shared" si="32"/>
        <v>8</v>
      </c>
      <c r="BJ62" s="19">
        <f t="shared" si="32"/>
        <v>8</v>
      </c>
      <c r="BK62" s="19">
        <f t="shared" si="32"/>
        <v>12</v>
      </c>
      <c r="BL62" s="19">
        <f t="shared" si="32"/>
        <v>12</v>
      </c>
      <c r="BM62" s="19">
        <f t="shared" si="32"/>
        <v>12</v>
      </c>
      <c r="BN62" s="19">
        <f t="shared" si="32"/>
        <v>16</v>
      </c>
      <c r="BO62" s="19">
        <f t="shared" si="32"/>
        <v>16</v>
      </c>
      <c r="BP62" s="19">
        <f t="shared" si="32"/>
        <v>16</v>
      </c>
      <c r="BQ62" s="19">
        <f t="shared" si="32"/>
        <v>20</v>
      </c>
      <c r="BR62" s="19">
        <f t="shared" si="32"/>
        <v>20</v>
      </c>
      <c r="BS62" s="19">
        <f t="shared" si="32"/>
        <v>24</v>
      </c>
      <c r="BT62" s="19">
        <f t="shared" si="32"/>
        <v>24</v>
      </c>
      <c r="BU62" s="19">
        <f t="shared" si="32"/>
        <v>24</v>
      </c>
      <c r="BV62" s="19">
        <f t="shared" si="32"/>
        <v>28</v>
      </c>
      <c r="BW62" s="19">
        <f t="shared" si="32"/>
        <v>28</v>
      </c>
      <c r="BX62" s="19">
        <f t="shared" si="32"/>
        <v>28</v>
      </c>
      <c r="BY62" s="19">
        <f t="shared" si="32"/>
        <v>32</v>
      </c>
      <c r="BZ62" s="19">
        <f t="shared" si="32"/>
        <v>32</v>
      </c>
      <c r="CA62" s="19">
        <f t="shared" si="32"/>
        <v>32</v>
      </c>
      <c r="CB62" s="19">
        <f t="shared" si="32"/>
        <v>36</v>
      </c>
      <c r="CC62" s="19">
        <f t="shared" si="32"/>
        <v>36</v>
      </c>
      <c r="CD62" s="19">
        <f t="shared" si="32"/>
        <v>36</v>
      </c>
      <c r="CE62" s="19">
        <f t="shared" si="32"/>
        <v>40</v>
      </c>
      <c r="CF62" s="19">
        <f t="shared" si="32"/>
        <v>40</v>
      </c>
      <c r="CG62" s="19">
        <f t="shared" si="32"/>
        <v>44</v>
      </c>
      <c r="CH62" s="19">
        <f t="shared" si="32"/>
        <v>44</v>
      </c>
      <c r="CI62" s="19">
        <f t="shared" si="32"/>
        <v>44</v>
      </c>
      <c r="CJ62" s="19">
        <f t="shared" si="32"/>
        <v>48</v>
      </c>
      <c r="CK62" s="19">
        <f t="shared" si="32"/>
        <v>48</v>
      </c>
      <c r="CL62" s="19">
        <f t="shared" si="32"/>
        <v>48</v>
      </c>
      <c r="CM62" s="19">
        <f t="shared" si="32"/>
        <v>52</v>
      </c>
      <c r="CN62" s="19">
        <f t="shared" si="32"/>
        <v>52</v>
      </c>
      <c r="CO62" s="19">
        <f t="shared" si="32"/>
        <v>52</v>
      </c>
      <c r="CP62" s="19">
        <f t="shared" si="32"/>
        <v>56</v>
      </c>
      <c r="CQ62" s="19">
        <f t="shared" si="32"/>
        <v>56</v>
      </c>
      <c r="CR62" s="19">
        <f t="shared" si="32"/>
        <v>56</v>
      </c>
      <c r="CS62" s="19">
        <f t="shared" si="32"/>
        <v>60</v>
      </c>
      <c r="CT62" s="19">
        <f t="shared" si="32"/>
        <v>60</v>
      </c>
      <c r="CU62" s="19">
        <f t="shared" si="32"/>
        <v>60</v>
      </c>
      <c r="CV62" s="19">
        <f t="shared" si="32"/>
        <v>64</v>
      </c>
      <c r="CW62" s="19">
        <f t="shared" si="32"/>
        <v>64</v>
      </c>
      <c r="CX62" s="19">
        <f t="shared" si="32"/>
        <v>68</v>
      </c>
      <c r="CY62" s="19">
        <f t="shared" si="32"/>
        <v>68</v>
      </c>
      <c r="CZ62" s="19">
        <f t="shared" si="32"/>
        <v>68</v>
      </c>
      <c r="DA62" s="17"/>
      <c r="DB62" s="17">
        <v>32</v>
      </c>
      <c r="DC62" s="17"/>
      <c r="DD62" s="19" t="s">
        <v>239</v>
      </c>
      <c r="DE62" s="19">
        <v>0</v>
      </c>
      <c r="DF62" s="19">
        <v>0</v>
      </c>
      <c r="DG62" s="19">
        <v>4</v>
      </c>
      <c r="DH62" s="19">
        <v>4</v>
      </c>
      <c r="DI62" s="19">
        <v>8</v>
      </c>
      <c r="DJ62" s="19">
        <v>8</v>
      </c>
      <c r="DK62" s="19">
        <v>12</v>
      </c>
      <c r="DL62" s="19">
        <v>12</v>
      </c>
      <c r="DM62" s="19">
        <v>16</v>
      </c>
      <c r="DN62" s="19">
        <v>16</v>
      </c>
      <c r="DO62" s="19">
        <v>20</v>
      </c>
      <c r="DP62" s="19">
        <v>20</v>
      </c>
      <c r="DQ62" s="19">
        <v>24</v>
      </c>
      <c r="DR62" s="19">
        <v>24</v>
      </c>
      <c r="DS62" s="19">
        <v>28</v>
      </c>
      <c r="DT62" s="19">
        <v>28</v>
      </c>
      <c r="DU62" s="19">
        <v>32</v>
      </c>
      <c r="DV62" s="19">
        <v>32</v>
      </c>
      <c r="DW62" s="19">
        <v>36</v>
      </c>
      <c r="DX62" s="19">
        <v>36</v>
      </c>
      <c r="DY62" s="19">
        <v>40</v>
      </c>
      <c r="DZ62" s="19"/>
      <c r="EA62" s="19"/>
      <c r="EB62" s="19" t="s">
        <v>179</v>
      </c>
      <c r="EC62" s="19">
        <v>0</v>
      </c>
      <c r="ED62" s="19">
        <v>0</v>
      </c>
      <c r="EE62" s="19">
        <v>4</v>
      </c>
      <c r="EF62" s="19">
        <v>8</v>
      </c>
      <c r="EG62" s="19">
        <v>8</v>
      </c>
      <c r="EH62" s="19">
        <v>8</v>
      </c>
      <c r="EI62" s="19">
        <v>12</v>
      </c>
      <c r="EJ62" s="19">
        <v>12</v>
      </c>
      <c r="EK62" s="19">
        <v>16</v>
      </c>
      <c r="EL62" s="19">
        <v>16</v>
      </c>
      <c r="EM62" s="19">
        <v>20</v>
      </c>
      <c r="EN62" s="19">
        <v>24</v>
      </c>
      <c r="EO62" s="19">
        <v>24</v>
      </c>
      <c r="EP62" s="19">
        <v>28</v>
      </c>
      <c r="EQ62" s="19">
        <v>28</v>
      </c>
      <c r="ER62" s="19">
        <v>32</v>
      </c>
      <c r="ES62" s="19">
        <v>32</v>
      </c>
      <c r="ET62" s="19">
        <v>36</v>
      </c>
      <c r="EU62" s="19">
        <v>36</v>
      </c>
      <c r="EV62" s="19">
        <v>40</v>
      </c>
      <c r="EW62" s="19">
        <v>44</v>
      </c>
      <c r="EX62" s="19">
        <v>44</v>
      </c>
      <c r="EY62" s="19">
        <v>48</v>
      </c>
      <c r="EZ62" s="19">
        <v>48</v>
      </c>
      <c r="FA62" s="19">
        <v>52</v>
      </c>
      <c r="FB62" s="19">
        <v>52</v>
      </c>
      <c r="FC62" s="19">
        <v>56</v>
      </c>
      <c r="FD62" s="19">
        <v>56</v>
      </c>
      <c r="FE62" s="19">
        <v>60</v>
      </c>
      <c r="FF62" s="19">
        <v>64</v>
      </c>
      <c r="FG62" s="19">
        <v>64</v>
      </c>
      <c r="FH62" s="19">
        <v>68</v>
      </c>
      <c r="FI62" s="19">
        <v>68</v>
      </c>
      <c r="FJ62" s="19">
        <v>72</v>
      </c>
      <c r="FK62" s="19">
        <v>72</v>
      </c>
      <c r="FL62" s="19">
        <v>76</v>
      </c>
      <c r="FM62" s="19">
        <v>76</v>
      </c>
      <c r="FN62" s="19">
        <v>80</v>
      </c>
      <c r="FO62" s="19">
        <v>80</v>
      </c>
      <c r="FP62" s="19">
        <v>84</v>
      </c>
      <c r="FQ62" s="19">
        <v>88</v>
      </c>
      <c r="FR62" s="19">
        <v>88</v>
      </c>
      <c r="FS62" s="19">
        <v>92</v>
      </c>
      <c r="FT62" s="19">
        <v>92</v>
      </c>
      <c r="FU62" s="19">
        <v>96</v>
      </c>
      <c r="FV62" s="19">
        <v>96</v>
      </c>
      <c r="FW62" s="19">
        <v>100</v>
      </c>
      <c r="FX62" s="19">
        <v>100</v>
      </c>
      <c r="FY62" s="19">
        <v>104</v>
      </c>
      <c r="FZ62" s="19">
        <v>108</v>
      </c>
      <c r="GA62" s="19">
        <v>108</v>
      </c>
      <c r="GC62" s="19"/>
      <c r="GD62" s="19"/>
      <c r="GE62" s="19" t="s">
        <v>179</v>
      </c>
      <c r="GF62" s="19">
        <v>0</v>
      </c>
      <c r="GG62" s="19">
        <f>((((SUM(GG57:GG61))/2)-1))*4</f>
        <v>0</v>
      </c>
      <c r="GH62" s="19">
        <f t="shared" ref="GH62:ID62" si="33">((((SUM(GH57:GH61))/2)-1))*4</f>
        <v>4</v>
      </c>
      <c r="GI62" s="19">
        <f t="shared" si="33"/>
        <v>4</v>
      </c>
      <c r="GJ62" s="19">
        <f t="shared" si="33"/>
        <v>8</v>
      </c>
      <c r="GK62" s="19">
        <f t="shared" si="33"/>
        <v>12</v>
      </c>
      <c r="GL62" s="19">
        <f t="shared" si="33"/>
        <v>12</v>
      </c>
      <c r="GM62" s="19">
        <f t="shared" si="33"/>
        <v>16</v>
      </c>
      <c r="GN62" s="19">
        <f t="shared" si="33"/>
        <v>20</v>
      </c>
      <c r="GO62" s="19">
        <f t="shared" si="33"/>
        <v>20</v>
      </c>
      <c r="GP62" s="19">
        <f t="shared" si="33"/>
        <v>24</v>
      </c>
      <c r="GQ62" s="19">
        <f t="shared" si="33"/>
        <v>24</v>
      </c>
      <c r="GR62" s="19">
        <f t="shared" si="33"/>
        <v>28</v>
      </c>
      <c r="GS62" s="19">
        <f t="shared" si="33"/>
        <v>32</v>
      </c>
      <c r="GT62" s="19">
        <f t="shared" si="33"/>
        <v>32</v>
      </c>
      <c r="GU62" s="19">
        <f t="shared" si="33"/>
        <v>36</v>
      </c>
      <c r="GV62" s="19">
        <f t="shared" si="33"/>
        <v>40</v>
      </c>
      <c r="GW62" s="19">
        <f t="shared" si="33"/>
        <v>40</v>
      </c>
      <c r="GX62" s="19">
        <f t="shared" si="33"/>
        <v>44</v>
      </c>
      <c r="GY62" s="19">
        <f t="shared" si="33"/>
        <v>44</v>
      </c>
      <c r="GZ62" s="19">
        <f t="shared" si="33"/>
        <v>48</v>
      </c>
      <c r="HA62" s="19">
        <f t="shared" si="33"/>
        <v>52</v>
      </c>
      <c r="HB62" s="19">
        <f t="shared" si="33"/>
        <v>52</v>
      </c>
      <c r="HC62" s="19">
        <f t="shared" si="33"/>
        <v>56</v>
      </c>
      <c r="HD62" s="19">
        <f t="shared" si="33"/>
        <v>60</v>
      </c>
      <c r="HE62" s="19">
        <f t="shared" si="33"/>
        <v>60</v>
      </c>
      <c r="HF62" s="19">
        <f t="shared" si="33"/>
        <v>64</v>
      </c>
      <c r="HG62" s="19">
        <f t="shared" si="33"/>
        <v>64</v>
      </c>
      <c r="HH62" s="19">
        <f t="shared" si="33"/>
        <v>68</v>
      </c>
      <c r="HI62" s="19">
        <f t="shared" si="33"/>
        <v>72</v>
      </c>
      <c r="HJ62" s="19">
        <f t="shared" si="33"/>
        <v>72</v>
      </c>
      <c r="HK62" s="19">
        <f t="shared" si="33"/>
        <v>76</v>
      </c>
      <c r="HL62" s="19">
        <f t="shared" si="33"/>
        <v>80</v>
      </c>
      <c r="HM62" s="19">
        <f t="shared" si="33"/>
        <v>80</v>
      </c>
      <c r="HN62" s="19">
        <f t="shared" si="33"/>
        <v>84</v>
      </c>
      <c r="HO62" s="19">
        <f t="shared" si="33"/>
        <v>84</v>
      </c>
      <c r="HP62" s="19">
        <f t="shared" si="33"/>
        <v>88</v>
      </c>
      <c r="HQ62" s="19">
        <f t="shared" si="33"/>
        <v>92</v>
      </c>
      <c r="HR62" s="19">
        <f t="shared" si="33"/>
        <v>92</v>
      </c>
      <c r="HS62" s="19">
        <f t="shared" si="33"/>
        <v>96</v>
      </c>
      <c r="HT62" s="19">
        <f t="shared" si="33"/>
        <v>100</v>
      </c>
      <c r="HU62" s="19">
        <f t="shared" si="33"/>
        <v>100</v>
      </c>
      <c r="HV62" s="19">
        <f t="shared" si="33"/>
        <v>104</v>
      </c>
      <c r="HW62" s="19">
        <f t="shared" si="33"/>
        <v>104</v>
      </c>
      <c r="HX62" s="19">
        <f t="shared" si="33"/>
        <v>108</v>
      </c>
      <c r="HY62" s="19">
        <f t="shared" si="33"/>
        <v>112</v>
      </c>
      <c r="HZ62" s="19">
        <f t="shared" si="33"/>
        <v>112</v>
      </c>
      <c r="IA62" s="19">
        <f t="shared" si="33"/>
        <v>116</v>
      </c>
      <c r="IB62" s="19">
        <f t="shared" si="33"/>
        <v>120</v>
      </c>
      <c r="IC62" s="19">
        <f t="shared" si="33"/>
        <v>120</v>
      </c>
      <c r="ID62" s="19">
        <f t="shared" si="33"/>
        <v>124</v>
      </c>
      <c r="IF62" s="20" t="s">
        <v>179</v>
      </c>
      <c r="IG62" s="20">
        <v>0</v>
      </c>
      <c r="IH62" s="20">
        <v>0</v>
      </c>
      <c r="II62" s="20">
        <v>4</v>
      </c>
      <c r="IJ62" s="20">
        <v>8</v>
      </c>
      <c r="IK62" s="20">
        <v>12</v>
      </c>
      <c r="IL62" s="20">
        <v>12</v>
      </c>
      <c r="IM62" s="20">
        <v>16</v>
      </c>
      <c r="IN62" s="20">
        <v>20</v>
      </c>
      <c r="IO62" s="20">
        <v>24</v>
      </c>
      <c r="IP62" s="20">
        <v>24</v>
      </c>
      <c r="IQ62" s="20">
        <v>28</v>
      </c>
      <c r="IR62" s="20">
        <v>32</v>
      </c>
      <c r="IS62" s="20">
        <v>36</v>
      </c>
      <c r="IT62" s="20">
        <v>36</v>
      </c>
      <c r="IU62" s="20">
        <v>40</v>
      </c>
      <c r="IV62" s="20">
        <v>44</v>
      </c>
      <c r="IW62" s="20">
        <v>48</v>
      </c>
      <c r="IX62" s="20">
        <v>48</v>
      </c>
      <c r="IY62" s="20">
        <v>52</v>
      </c>
      <c r="IZ62" s="20">
        <v>56</v>
      </c>
      <c r="JA62" s="20">
        <v>60</v>
      </c>
      <c r="JB62" s="20">
        <v>64</v>
      </c>
      <c r="JC62" s="20">
        <v>64</v>
      </c>
      <c r="JD62" s="20">
        <v>68</v>
      </c>
      <c r="JE62" s="20">
        <v>72</v>
      </c>
      <c r="JF62" s="20">
        <v>76</v>
      </c>
    </row>
    <row r="63" spans="1:266" x14ac:dyDescent="0.25">
      <c r="A63" s="4"/>
      <c r="B63" s="6"/>
      <c r="C63" s="4"/>
      <c r="D63" s="4"/>
      <c r="E63" s="4"/>
      <c r="F63" s="4"/>
      <c r="G63" s="4"/>
      <c r="H63" s="4"/>
      <c r="I63" s="4"/>
      <c r="J63" s="4"/>
      <c r="K63" s="4"/>
      <c r="L63" s="6" t="s">
        <v>233</v>
      </c>
      <c r="M63" s="14">
        <f>INDEX(cenník!$C$2:$I$568,MATCH($L63,cenník!$B$2:$B$557,0),MATCH(M$24,cenník!$C$1:$I$1,0))</f>
        <v>808251</v>
      </c>
      <c r="N63" s="14" t="str">
        <f>INDEX(cenník!$C$2:$I$568,MATCH($L63,cenník!$B$2:$B$557,0),MATCH(N$24,cenník!$C$1:$I$1,0))</f>
        <v>ks</v>
      </c>
      <c r="O63" s="14">
        <f>IF(E55=$AK$24,0,E56)</f>
        <v>0</v>
      </c>
      <c r="P63" s="21">
        <f>INDEX(cenník!$C$2:$I$568,MATCH($L63,cenník!$B$2:$B$557,0),MATCH(P$24,cenník!$C$1:$I$1,0))</f>
        <v>0.21</v>
      </c>
      <c r="Q63" s="21">
        <f t="shared" si="31"/>
        <v>0</v>
      </c>
      <c r="R63" s="22">
        <f t="shared" si="28"/>
        <v>0</v>
      </c>
      <c r="S63" s="21">
        <f t="shared" si="29"/>
        <v>0.21</v>
      </c>
      <c r="T63" s="21">
        <f t="shared" si="30"/>
        <v>0</v>
      </c>
      <c r="U63" s="21">
        <f>INDEX(cenník!$C$2:$I$568,MATCH($L63,cenník!$B$2:$B$557,0),MATCH(U$24,cenník!$C$1:$I$1,0))*O63</f>
        <v>0</v>
      </c>
      <c r="V63" s="19"/>
      <c r="AE63" s="19"/>
      <c r="AF63" s="19"/>
      <c r="AG63" s="19"/>
      <c r="AH63" s="19"/>
      <c r="AI63" s="19"/>
      <c r="AJ63" s="19"/>
      <c r="AK63" s="19"/>
      <c r="AL63" s="19"/>
      <c r="AM63" s="19">
        <v>42</v>
      </c>
      <c r="AN63" s="19" t="s">
        <v>28</v>
      </c>
      <c r="AO63" s="19"/>
      <c r="AP63" s="19" t="s">
        <v>54</v>
      </c>
      <c r="AQ63" s="19" t="s">
        <v>129</v>
      </c>
      <c r="AS63" s="19">
        <v>42</v>
      </c>
      <c r="AT63" s="19" t="s">
        <v>473</v>
      </c>
      <c r="AU63" s="19" t="s">
        <v>473</v>
      </c>
      <c r="AV63" s="19" t="s">
        <v>473</v>
      </c>
      <c r="AW63" s="19" t="s">
        <v>473</v>
      </c>
      <c r="AX63" s="19"/>
      <c r="AY63" s="19"/>
      <c r="AZ63" s="19"/>
      <c r="BA63" s="26" t="s">
        <v>234</v>
      </c>
      <c r="BB63" s="19">
        <v>0</v>
      </c>
      <c r="BC63" s="19">
        <v>0</v>
      </c>
      <c r="BD63" s="19">
        <v>0</v>
      </c>
      <c r="BE63" s="19">
        <v>0</v>
      </c>
      <c r="BF63" s="19">
        <v>0</v>
      </c>
      <c r="BG63" s="19">
        <v>0</v>
      </c>
      <c r="BH63" s="19">
        <v>0</v>
      </c>
      <c r="BI63" s="19">
        <v>0</v>
      </c>
      <c r="BJ63" s="19">
        <v>0</v>
      </c>
      <c r="BK63" s="19">
        <v>0</v>
      </c>
      <c r="BL63" s="19">
        <v>0</v>
      </c>
      <c r="BM63" s="19">
        <v>0</v>
      </c>
      <c r="BN63" s="19">
        <v>0</v>
      </c>
      <c r="BO63" s="19">
        <v>0</v>
      </c>
      <c r="BP63" s="19">
        <v>0</v>
      </c>
      <c r="BQ63" s="19">
        <v>2</v>
      </c>
      <c r="BR63" s="19">
        <v>0</v>
      </c>
      <c r="BS63" s="19">
        <v>0</v>
      </c>
      <c r="BT63" s="19">
        <v>0</v>
      </c>
      <c r="BU63" s="19">
        <v>0</v>
      </c>
      <c r="BV63" s="19">
        <v>0</v>
      </c>
      <c r="BW63" s="19">
        <v>0</v>
      </c>
      <c r="BX63" s="19">
        <v>0</v>
      </c>
      <c r="BY63" s="19">
        <v>0</v>
      </c>
      <c r="BZ63" s="19">
        <v>0</v>
      </c>
      <c r="CA63" s="19">
        <v>0</v>
      </c>
      <c r="CB63" s="19">
        <v>0</v>
      </c>
      <c r="CC63" s="19">
        <v>0</v>
      </c>
      <c r="CD63" s="19">
        <v>0</v>
      </c>
      <c r="CE63" s="19">
        <v>0</v>
      </c>
      <c r="CF63" s="19">
        <v>0</v>
      </c>
      <c r="CG63" s="19">
        <v>0</v>
      </c>
      <c r="CH63" s="19">
        <v>0</v>
      </c>
      <c r="CI63" s="19">
        <v>0</v>
      </c>
      <c r="CJ63" s="19">
        <v>0</v>
      </c>
      <c r="CK63" s="19">
        <v>0</v>
      </c>
      <c r="CL63" s="19">
        <v>0</v>
      </c>
      <c r="CM63" s="19">
        <v>0</v>
      </c>
      <c r="CN63" s="19">
        <v>0</v>
      </c>
      <c r="CO63" s="19">
        <v>0</v>
      </c>
      <c r="CP63" s="19">
        <v>0</v>
      </c>
      <c r="CQ63" s="19">
        <v>0</v>
      </c>
      <c r="CR63" s="19">
        <v>0</v>
      </c>
      <c r="CS63" s="19">
        <v>0</v>
      </c>
      <c r="CT63" s="19">
        <v>0</v>
      </c>
      <c r="CU63" s="19">
        <v>0</v>
      </c>
      <c r="CV63" s="19">
        <v>0</v>
      </c>
      <c r="CW63" s="19">
        <v>0</v>
      </c>
      <c r="CX63" s="19">
        <v>0</v>
      </c>
      <c r="CY63" s="19">
        <v>0</v>
      </c>
      <c r="CZ63" s="19">
        <v>0</v>
      </c>
      <c r="DA63" s="17"/>
      <c r="DB63" s="17">
        <v>35</v>
      </c>
      <c r="DC63" s="17"/>
      <c r="DD63" s="26" t="s">
        <v>326</v>
      </c>
      <c r="DE63" s="19">
        <v>0</v>
      </c>
      <c r="DF63" s="19"/>
      <c r="DG63" s="19"/>
      <c r="DH63" s="19"/>
      <c r="DI63" s="19"/>
      <c r="DJ63" s="19"/>
      <c r="DK63" s="19"/>
      <c r="DL63" s="19"/>
      <c r="DM63" s="19"/>
      <c r="DN63" s="19"/>
      <c r="DO63" s="19"/>
      <c r="DP63" s="19"/>
      <c r="DQ63" s="19"/>
      <c r="DR63" s="19"/>
      <c r="DS63" s="19"/>
      <c r="DT63" s="19"/>
      <c r="DU63" s="19"/>
      <c r="DV63" s="19"/>
      <c r="DW63" s="19"/>
      <c r="DX63" s="19"/>
      <c r="DY63" s="19"/>
      <c r="DZ63" s="19"/>
      <c r="EA63" s="19"/>
      <c r="EB63" s="26" t="s">
        <v>234</v>
      </c>
      <c r="EC63" s="19">
        <v>0</v>
      </c>
      <c r="ED63" s="19">
        <v>0</v>
      </c>
      <c r="EE63" s="19">
        <v>0</v>
      </c>
      <c r="EF63" s="19">
        <v>2</v>
      </c>
      <c r="EG63" s="19">
        <v>0</v>
      </c>
      <c r="EH63" s="19">
        <v>0</v>
      </c>
      <c r="EI63" s="19">
        <v>0</v>
      </c>
      <c r="EJ63" s="19">
        <v>0</v>
      </c>
      <c r="EK63" s="19">
        <v>0</v>
      </c>
      <c r="EL63" s="19">
        <v>0</v>
      </c>
      <c r="EM63" s="19">
        <v>0</v>
      </c>
      <c r="EN63" s="19">
        <v>0</v>
      </c>
      <c r="EO63" s="19">
        <v>0</v>
      </c>
      <c r="EP63" s="19">
        <v>0</v>
      </c>
      <c r="EQ63" s="19">
        <v>0</v>
      </c>
      <c r="ER63" s="19">
        <v>0</v>
      </c>
      <c r="ES63" s="19">
        <v>0</v>
      </c>
      <c r="ET63" s="19">
        <v>0</v>
      </c>
      <c r="EU63" s="19">
        <v>0</v>
      </c>
      <c r="EV63" s="19">
        <v>0</v>
      </c>
      <c r="EW63" s="19">
        <v>0</v>
      </c>
      <c r="EX63" s="19">
        <v>0</v>
      </c>
      <c r="EY63" s="19">
        <v>0</v>
      </c>
      <c r="EZ63" s="19">
        <v>0</v>
      </c>
      <c r="FA63" s="19">
        <v>0</v>
      </c>
      <c r="FB63" s="19">
        <v>0</v>
      </c>
      <c r="FC63" s="19">
        <v>0</v>
      </c>
      <c r="FD63" s="19">
        <v>0</v>
      </c>
      <c r="FE63" s="19">
        <v>0</v>
      </c>
      <c r="FF63" s="19">
        <v>0</v>
      </c>
      <c r="FG63" s="19">
        <v>0</v>
      </c>
      <c r="FH63" s="19">
        <v>0</v>
      </c>
      <c r="FI63" s="19">
        <v>0</v>
      </c>
      <c r="FJ63" s="19">
        <v>0</v>
      </c>
      <c r="FK63" s="19">
        <v>0</v>
      </c>
      <c r="FL63" s="19">
        <v>0</v>
      </c>
      <c r="FM63" s="19">
        <v>0</v>
      </c>
      <c r="FN63" s="19">
        <v>0</v>
      </c>
      <c r="FO63" s="19">
        <v>0</v>
      </c>
      <c r="FP63" s="19">
        <v>0</v>
      </c>
      <c r="FQ63" s="19">
        <v>0</v>
      </c>
      <c r="FR63" s="19">
        <v>0</v>
      </c>
      <c r="FS63" s="19">
        <v>0</v>
      </c>
      <c r="FT63" s="19">
        <v>0</v>
      </c>
      <c r="FU63" s="19">
        <v>0</v>
      </c>
      <c r="FV63" s="19">
        <v>0</v>
      </c>
      <c r="FW63" s="19">
        <v>0</v>
      </c>
      <c r="FX63" s="19">
        <v>0</v>
      </c>
      <c r="FY63" s="19">
        <v>0</v>
      </c>
      <c r="FZ63" s="19">
        <v>0</v>
      </c>
      <c r="GA63" s="19">
        <v>0</v>
      </c>
      <c r="GC63" s="19"/>
      <c r="GD63" s="19"/>
      <c r="GE63" s="26" t="s">
        <v>234</v>
      </c>
      <c r="GF63" s="19">
        <v>0</v>
      </c>
      <c r="GG63" s="19">
        <v>0</v>
      </c>
      <c r="GH63" s="19">
        <v>0</v>
      </c>
      <c r="GI63" s="19">
        <v>0</v>
      </c>
      <c r="GJ63" s="19">
        <v>0</v>
      </c>
      <c r="GK63" s="19">
        <v>0</v>
      </c>
      <c r="GL63" s="19">
        <v>0</v>
      </c>
      <c r="GM63" s="19">
        <v>0</v>
      </c>
      <c r="GN63" s="19">
        <v>0</v>
      </c>
      <c r="GO63" s="19">
        <v>0</v>
      </c>
      <c r="GP63" s="19">
        <v>0</v>
      </c>
      <c r="GQ63" s="19">
        <v>0</v>
      </c>
      <c r="GR63" s="19">
        <v>0</v>
      </c>
      <c r="GS63" s="19">
        <v>0</v>
      </c>
      <c r="GT63" s="19">
        <v>0</v>
      </c>
      <c r="GU63" s="19">
        <v>0</v>
      </c>
      <c r="GV63" s="19">
        <v>0</v>
      </c>
      <c r="GW63" s="19">
        <v>0</v>
      </c>
      <c r="GX63" s="19">
        <v>0</v>
      </c>
      <c r="GY63" s="19">
        <v>0</v>
      </c>
      <c r="GZ63" s="19">
        <v>0</v>
      </c>
      <c r="HA63" s="19">
        <v>0</v>
      </c>
      <c r="HB63" s="19">
        <v>0</v>
      </c>
      <c r="HC63" s="19">
        <v>0</v>
      </c>
      <c r="HD63" s="19">
        <v>0</v>
      </c>
      <c r="HE63" s="19">
        <v>0</v>
      </c>
      <c r="HF63" s="19">
        <v>0</v>
      </c>
      <c r="HG63" s="19">
        <v>0</v>
      </c>
      <c r="HH63" s="19">
        <v>0</v>
      </c>
      <c r="HI63" s="19">
        <v>0</v>
      </c>
      <c r="HJ63" s="19">
        <v>0</v>
      </c>
      <c r="HK63" s="19">
        <v>0</v>
      </c>
      <c r="HL63" s="19">
        <v>0</v>
      </c>
      <c r="HM63" s="19">
        <v>0</v>
      </c>
      <c r="HN63" s="19">
        <v>0</v>
      </c>
      <c r="HO63" s="19">
        <v>0</v>
      </c>
      <c r="HP63" s="19">
        <v>0</v>
      </c>
      <c r="HQ63" s="19">
        <v>0</v>
      </c>
      <c r="HR63" s="19">
        <v>0</v>
      </c>
      <c r="HS63" s="19">
        <v>0</v>
      </c>
      <c r="HT63" s="19">
        <v>0</v>
      </c>
      <c r="HU63" s="19">
        <v>0</v>
      </c>
      <c r="HV63" s="19">
        <v>0</v>
      </c>
      <c r="HW63" s="19">
        <v>0</v>
      </c>
      <c r="HX63" s="19">
        <v>0</v>
      </c>
      <c r="HY63" s="19">
        <v>0</v>
      </c>
      <c r="HZ63" s="19">
        <v>0</v>
      </c>
      <c r="IA63" s="19">
        <v>0</v>
      </c>
      <c r="IB63" s="19">
        <v>0</v>
      </c>
      <c r="IC63" s="19">
        <v>0</v>
      </c>
      <c r="ID63" s="19">
        <v>0</v>
      </c>
      <c r="IF63" s="20" t="s">
        <v>234</v>
      </c>
      <c r="IG63" s="20">
        <v>0</v>
      </c>
      <c r="IH63" s="20">
        <v>0</v>
      </c>
      <c r="II63" s="20">
        <v>0</v>
      </c>
      <c r="IJ63" s="20">
        <v>0</v>
      </c>
      <c r="IK63" s="20">
        <v>0</v>
      </c>
      <c r="IL63" s="20">
        <v>0</v>
      </c>
      <c r="IM63" s="20">
        <v>0</v>
      </c>
      <c r="IN63" s="20">
        <v>0</v>
      </c>
      <c r="IO63" s="20">
        <v>0</v>
      </c>
      <c r="IP63" s="20">
        <v>0</v>
      </c>
      <c r="IQ63" s="20">
        <v>0</v>
      </c>
      <c r="IR63" s="20">
        <v>0</v>
      </c>
      <c r="IS63" s="20">
        <v>0</v>
      </c>
      <c r="IT63" s="20">
        <v>0</v>
      </c>
      <c r="IU63" s="20">
        <v>0</v>
      </c>
      <c r="IV63" s="20">
        <v>0</v>
      </c>
      <c r="IW63" s="20">
        <v>0</v>
      </c>
      <c r="IX63" s="20">
        <v>0</v>
      </c>
      <c r="IY63" s="20">
        <v>0</v>
      </c>
      <c r="IZ63" s="20">
        <v>0</v>
      </c>
      <c r="JA63" s="20">
        <v>0</v>
      </c>
      <c r="JB63" s="20">
        <v>0</v>
      </c>
      <c r="JC63" s="20">
        <v>0</v>
      </c>
      <c r="JD63" s="20">
        <v>0</v>
      </c>
      <c r="JE63" s="20">
        <v>0</v>
      </c>
      <c r="JF63" s="20">
        <v>0</v>
      </c>
    </row>
    <row r="64" spans="1:266" x14ac:dyDescent="0.25">
      <c r="A64" s="4"/>
      <c r="B64" s="6"/>
      <c r="C64" s="4"/>
      <c r="D64" s="4"/>
      <c r="E64" s="4"/>
      <c r="F64" s="4"/>
      <c r="G64" s="4"/>
      <c r="H64" s="4"/>
      <c r="I64" s="4"/>
      <c r="J64" s="4"/>
      <c r="K64" s="4"/>
      <c r="L64" s="6" t="s">
        <v>45</v>
      </c>
      <c r="M64" s="14">
        <f>INDEX(cenník!$C$2:$I$568,MATCH($L64,cenník!$B$2:$B$557,0),MATCH(M$24,cenník!$C$1:$I$1,0))</f>
        <v>890008</v>
      </c>
      <c r="N64" s="14" t="str">
        <f>INDEX(cenník!$C$2:$I$568,MATCH($L64,cenník!$B$2:$B$557,0),MATCH(N$24,cenník!$C$1:$I$1,0))</f>
        <v>100ks</v>
      </c>
      <c r="O64" s="14">
        <f>ROUNDUP((O63/100),0)</f>
        <v>0</v>
      </c>
      <c r="P64" s="21">
        <f>INDEX(cenník!$C$2:$I$568,MATCH($L64,cenník!$B$2:$B$557,0),MATCH(P$24,cenník!$C$1:$I$1,0))</f>
        <v>9.75</v>
      </c>
      <c r="Q64" s="21">
        <f t="shared" si="31"/>
        <v>0</v>
      </c>
      <c r="R64" s="22">
        <f t="shared" si="28"/>
        <v>0</v>
      </c>
      <c r="S64" s="21">
        <f t="shared" si="29"/>
        <v>9.75</v>
      </c>
      <c r="T64" s="21">
        <f t="shared" si="30"/>
        <v>0</v>
      </c>
      <c r="U64" s="21">
        <f>INDEX(cenník!$C$2:$I$568,MATCH($L64,cenník!$B$2:$B$557,0),MATCH(U$24,cenník!$C$1:$I$1,0))*O64</f>
        <v>0</v>
      </c>
      <c r="V64" s="19"/>
      <c r="W64" s="28" t="s">
        <v>93</v>
      </c>
      <c r="X64" s="28" t="s">
        <v>2</v>
      </c>
      <c r="Y64" s="220" t="s">
        <v>93</v>
      </c>
      <c r="Z64" s="220"/>
      <c r="AA64" s="220"/>
      <c r="AB64" s="220"/>
      <c r="AC64" s="220"/>
      <c r="AD64" s="220"/>
      <c r="AE64" s="19"/>
      <c r="AF64" s="19"/>
      <c r="AG64" s="19"/>
      <c r="AH64" s="19"/>
      <c r="AI64" s="19"/>
      <c r="AJ64" s="19"/>
      <c r="AK64" s="19"/>
      <c r="AL64" s="19"/>
      <c r="AM64" s="19">
        <v>45</v>
      </c>
      <c r="AN64" s="19" t="s">
        <v>29</v>
      </c>
      <c r="AO64" s="19"/>
      <c r="AP64" s="19" t="s">
        <v>82</v>
      </c>
      <c r="AQ64" s="19" t="s">
        <v>129</v>
      </c>
      <c r="AS64" s="19">
        <v>45</v>
      </c>
      <c r="AT64" s="19" t="s">
        <v>473</v>
      </c>
      <c r="AU64" s="19" t="s">
        <v>473</v>
      </c>
      <c r="AV64" s="19" t="s">
        <v>473</v>
      </c>
      <c r="AW64" s="19" t="s">
        <v>473</v>
      </c>
      <c r="AX64" s="19"/>
      <c r="AY64" s="19"/>
      <c r="AZ64" s="19"/>
      <c r="BA64" s="26" t="s">
        <v>235</v>
      </c>
      <c r="BB64" s="19">
        <v>0</v>
      </c>
      <c r="BC64" s="19">
        <v>2</v>
      </c>
      <c r="BD64" s="19">
        <v>0</v>
      </c>
      <c r="BE64" s="19">
        <v>4</v>
      </c>
      <c r="BF64" s="19">
        <v>2</v>
      </c>
      <c r="BG64" s="19">
        <v>0</v>
      </c>
      <c r="BH64" s="19">
        <v>4</v>
      </c>
      <c r="BI64" s="19">
        <v>2</v>
      </c>
      <c r="BJ64" s="19">
        <v>0</v>
      </c>
      <c r="BK64" s="19">
        <v>0</v>
      </c>
      <c r="BL64" s="19">
        <v>2</v>
      </c>
      <c r="BM64" s="19">
        <v>0</v>
      </c>
      <c r="BN64" s="19">
        <v>4</v>
      </c>
      <c r="BO64" s="19">
        <v>0</v>
      </c>
      <c r="BP64" s="19">
        <v>0</v>
      </c>
      <c r="BQ64" s="19">
        <v>0</v>
      </c>
      <c r="BR64" s="19">
        <v>0</v>
      </c>
      <c r="BS64" s="19">
        <v>4</v>
      </c>
      <c r="BT64" s="19">
        <v>2</v>
      </c>
      <c r="BU64" s="19">
        <v>0</v>
      </c>
      <c r="BV64" s="19">
        <v>2</v>
      </c>
      <c r="BW64" s="19">
        <v>0</v>
      </c>
      <c r="BX64" s="19">
        <v>0</v>
      </c>
      <c r="BY64" s="19">
        <v>0</v>
      </c>
      <c r="BZ64" s="19">
        <v>0</v>
      </c>
      <c r="CA64" s="19">
        <v>0</v>
      </c>
      <c r="CB64" s="19">
        <v>2</v>
      </c>
      <c r="CC64" s="19">
        <v>0</v>
      </c>
      <c r="CD64" s="19">
        <v>0</v>
      </c>
      <c r="CE64" s="19">
        <v>0</v>
      </c>
      <c r="CF64" s="19">
        <v>0</v>
      </c>
      <c r="CG64" s="19">
        <v>0</v>
      </c>
      <c r="CH64" s="19">
        <v>0</v>
      </c>
      <c r="CI64" s="19">
        <v>0</v>
      </c>
      <c r="CJ64" s="19">
        <v>2</v>
      </c>
      <c r="CK64" s="19">
        <v>0</v>
      </c>
      <c r="CL64" s="19">
        <v>0</v>
      </c>
      <c r="CM64" s="19">
        <v>4</v>
      </c>
      <c r="CN64" s="19">
        <v>0</v>
      </c>
      <c r="CO64" s="19">
        <v>0</v>
      </c>
      <c r="CP64" s="19">
        <v>0</v>
      </c>
      <c r="CQ64" s="19">
        <v>0</v>
      </c>
      <c r="CR64" s="19">
        <v>0</v>
      </c>
      <c r="CS64" s="19">
        <v>0</v>
      </c>
      <c r="CT64" s="19">
        <v>0</v>
      </c>
      <c r="CU64" s="19">
        <v>0</v>
      </c>
      <c r="CV64" s="19">
        <v>0</v>
      </c>
      <c r="CW64" s="19">
        <v>0</v>
      </c>
      <c r="CX64" s="19">
        <v>0</v>
      </c>
      <c r="CY64" s="19">
        <v>0</v>
      </c>
      <c r="CZ64" s="19">
        <v>0</v>
      </c>
      <c r="DA64" s="17"/>
      <c r="DB64" s="17">
        <v>38</v>
      </c>
      <c r="DC64" s="17"/>
      <c r="DD64" s="26" t="s">
        <v>327</v>
      </c>
      <c r="DE64" s="19">
        <v>0</v>
      </c>
      <c r="DF64" s="19"/>
      <c r="DG64" s="19"/>
      <c r="DH64" s="19"/>
      <c r="DI64" s="19"/>
      <c r="DJ64" s="19"/>
      <c r="DK64" s="19"/>
      <c r="DL64" s="19"/>
      <c r="DM64" s="19"/>
      <c r="DN64" s="19"/>
      <c r="DO64" s="19"/>
      <c r="DP64" s="19"/>
      <c r="DQ64" s="19"/>
      <c r="DR64" s="19"/>
      <c r="DS64" s="19"/>
      <c r="DT64" s="19"/>
      <c r="DU64" s="19"/>
      <c r="DV64" s="19"/>
      <c r="DW64" s="19"/>
      <c r="DX64" s="19"/>
      <c r="DY64" s="19"/>
      <c r="DZ64" s="19"/>
      <c r="EA64" s="19"/>
      <c r="EB64" s="26" t="s">
        <v>235</v>
      </c>
      <c r="EC64" s="19">
        <v>0</v>
      </c>
      <c r="ED64" s="19">
        <v>2</v>
      </c>
      <c r="EE64" s="19">
        <v>4</v>
      </c>
      <c r="EF64" s="19">
        <v>0</v>
      </c>
      <c r="EG64" s="19">
        <v>4</v>
      </c>
      <c r="EH64" s="19">
        <v>0</v>
      </c>
      <c r="EI64" s="19">
        <v>0</v>
      </c>
      <c r="EJ64" s="19">
        <v>0</v>
      </c>
      <c r="EK64" s="19">
        <v>2</v>
      </c>
      <c r="EL64" s="19">
        <v>0</v>
      </c>
      <c r="EM64" s="19">
        <v>0</v>
      </c>
      <c r="EN64" s="19">
        <v>4</v>
      </c>
      <c r="EO64" s="19">
        <v>0</v>
      </c>
      <c r="EP64" s="19">
        <v>2</v>
      </c>
      <c r="EQ64" s="19">
        <v>0</v>
      </c>
      <c r="ER64" s="19">
        <v>2</v>
      </c>
      <c r="ES64" s="19">
        <v>0</v>
      </c>
      <c r="ET64" s="19">
        <v>0</v>
      </c>
      <c r="EU64" s="19">
        <v>0</v>
      </c>
      <c r="EV64" s="19">
        <v>0</v>
      </c>
      <c r="EW64" s="19">
        <v>2</v>
      </c>
      <c r="EX64" s="19">
        <v>0</v>
      </c>
      <c r="EY64" s="19">
        <v>0</v>
      </c>
      <c r="EZ64" s="19">
        <v>0</v>
      </c>
      <c r="FA64" s="19">
        <v>0</v>
      </c>
      <c r="FB64" s="19">
        <v>0</v>
      </c>
      <c r="FC64" s="19">
        <v>0</v>
      </c>
      <c r="FD64" s="19">
        <v>0</v>
      </c>
      <c r="FE64" s="19">
        <v>0</v>
      </c>
      <c r="FF64" s="19">
        <v>0</v>
      </c>
      <c r="FG64" s="19">
        <v>0</v>
      </c>
      <c r="FH64" s="19">
        <v>0</v>
      </c>
      <c r="FI64" s="19">
        <v>0</v>
      </c>
      <c r="FJ64" s="19">
        <v>0</v>
      </c>
      <c r="FK64" s="19">
        <v>0</v>
      </c>
      <c r="FL64" s="19">
        <v>0</v>
      </c>
      <c r="FM64" s="19">
        <v>0</v>
      </c>
      <c r="FN64" s="19">
        <v>0</v>
      </c>
      <c r="FO64" s="19">
        <v>0</v>
      </c>
      <c r="FP64" s="19">
        <v>0</v>
      </c>
      <c r="FQ64" s="19">
        <v>0</v>
      </c>
      <c r="FR64" s="19">
        <v>0</v>
      </c>
      <c r="FS64" s="19">
        <v>4</v>
      </c>
      <c r="FT64" s="19">
        <v>0</v>
      </c>
      <c r="FU64" s="19">
        <v>0</v>
      </c>
      <c r="FV64" s="19">
        <v>0</v>
      </c>
      <c r="FW64" s="19">
        <v>0</v>
      </c>
      <c r="FX64" s="19">
        <v>0</v>
      </c>
      <c r="FY64" s="19">
        <v>0</v>
      </c>
      <c r="FZ64" s="19">
        <v>0</v>
      </c>
      <c r="GA64" s="19">
        <v>0</v>
      </c>
      <c r="GC64" s="19"/>
      <c r="GD64" s="19"/>
      <c r="GE64" s="26" t="s">
        <v>235</v>
      </c>
      <c r="GF64" s="19">
        <v>0</v>
      </c>
      <c r="GG64" s="19">
        <v>0</v>
      </c>
      <c r="GH64" s="19">
        <v>4</v>
      </c>
      <c r="GI64" s="19">
        <v>0</v>
      </c>
      <c r="GJ64" s="19">
        <v>2</v>
      </c>
      <c r="GK64" s="19">
        <v>4</v>
      </c>
      <c r="GL64" s="19">
        <v>0</v>
      </c>
      <c r="GM64" s="19">
        <v>2</v>
      </c>
      <c r="GN64" s="19">
        <v>4</v>
      </c>
      <c r="GO64" s="19">
        <v>0</v>
      </c>
      <c r="GP64" s="19">
        <v>0</v>
      </c>
      <c r="GQ64" s="19">
        <v>0</v>
      </c>
      <c r="GR64" s="19">
        <v>0</v>
      </c>
      <c r="GS64" s="19">
        <v>0</v>
      </c>
      <c r="GT64" s="19">
        <v>0</v>
      </c>
      <c r="GU64" s="19">
        <v>2</v>
      </c>
      <c r="GV64" s="19">
        <v>0</v>
      </c>
      <c r="GW64" s="19">
        <v>0</v>
      </c>
      <c r="GX64" s="19">
        <v>2</v>
      </c>
      <c r="GY64" s="19">
        <v>0</v>
      </c>
      <c r="GZ64" s="19">
        <v>0</v>
      </c>
      <c r="HA64" s="19">
        <v>2</v>
      </c>
      <c r="HB64" s="19">
        <v>0</v>
      </c>
      <c r="HC64" s="19">
        <v>0</v>
      </c>
      <c r="HD64" s="19">
        <v>0</v>
      </c>
      <c r="HE64" s="19">
        <v>0</v>
      </c>
      <c r="HF64" s="19">
        <v>0</v>
      </c>
      <c r="HG64" s="19">
        <v>0</v>
      </c>
      <c r="HH64" s="19">
        <v>0</v>
      </c>
      <c r="HI64" s="19">
        <v>0</v>
      </c>
      <c r="HJ64" s="19">
        <v>0</v>
      </c>
      <c r="HK64" s="19">
        <v>0</v>
      </c>
      <c r="HL64" s="19">
        <v>4</v>
      </c>
      <c r="HM64" s="19">
        <v>0</v>
      </c>
      <c r="HN64" s="19">
        <v>0</v>
      </c>
      <c r="HO64" s="19">
        <v>0</v>
      </c>
      <c r="HP64" s="19">
        <v>0</v>
      </c>
      <c r="HQ64" s="19">
        <v>4</v>
      </c>
      <c r="HR64" s="19">
        <v>0</v>
      </c>
      <c r="HS64" s="19">
        <v>0</v>
      </c>
      <c r="HT64" s="19">
        <v>0</v>
      </c>
      <c r="HU64" s="19">
        <v>0</v>
      </c>
      <c r="HV64" s="19">
        <v>0</v>
      </c>
      <c r="HW64" s="19">
        <v>0</v>
      </c>
      <c r="HX64" s="19">
        <v>0</v>
      </c>
      <c r="HY64" s="19">
        <v>0</v>
      </c>
      <c r="HZ64" s="19">
        <v>0</v>
      </c>
      <c r="IA64" s="19">
        <v>0</v>
      </c>
      <c r="IB64" s="19">
        <v>0</v>
      </c>
      <c r="IC64" s="19">
        <v>0</v>
      </c>
      <c r="ID64" s="19">
        <v>0</v>
      </c>
      <c r="IF64" s="20" t="s">
        <v>235</v>
      </c>
      <c r="IG64" s="20">
        <v>0</v>
      </c>
      <c r="IH64" s="20">
        <v>0</v>
      </c>
      <c r="II64" s="20">
        <v>2</v>
      </c>
      <c r="IJ64" s="20">
        <v>0</v>
      </c>
      <c r="IK64" s="20">
        <v>4</v>
      </c>
      <c r="IL64" s="20">
        <v>0</v>
      </c>
      <c r="IM64" s="20">
        <v>2</v>
      </c>
      <c r="IN64" s="20">
        <v>2</v>
      </c>
      <c r="IO64" s="20">
        <v>4</v>
      </c>
      <c r="IP64" s="20">
        <v>0</v>
      </c>
      <c r="IQ64" s="20">
        <v>0</v>
      </c>
      <c r="IR64" s="20">
        <v>2</v>
      </c>
      <c r="IS64" s="20">
        <v>4</v>
      </c>
      <c r="IT64" s="20">
        <v>0</v>
      </c>
      <c r="IU64" s="20">
        <v>0</v>
      </c>
      <c r="IV64" s="20">
        <v>0</v>
      </c>
      <c r="IW64" s="20">
        <v>0</v>
      </c>
      <c r="IX64" s="20">
        <v>0</v>
      </c>
      <c r="IY64" s="20">
        <v>0</v>
      </c>
      <c r="IZ64" s="20">
        <v>0</v>
      </c>
      <c r="JA64" s="20">
        <v>0</v>
      </c>
      <c r="JB64" s="20">
        <v>0</v>
      </c>
      <c r="JC64" s="20">
        <v>0</v>
      </c>
      <c r="JD64" s="20">
        <v>0</v>
      </c>
      <c r="JE64" s="20">
        <v>0</v>
      </c>
      <c r="JF64" s="20">
        <v>0</v>
      </c>
    </row>
    <row r="65" spans="1:266" x14ac:dyDescent="0.25">
      <c r="A65" s="4"/>
      <c r="B65" s="6"/>
      <c r="C65" s="4"/>
      <c r="D65" s="4"/>
      <c r="E65" s="4"/>
      <c r="F65" s="4"/>
      <c r="G65" s="4"/>
      <c r="H65" s="4"/>
      <c r="I65" s="4"/>
      <c r="J65" s="4"/>
      <c r="K65" s="4"/>
      <c r="L65" s="6" t="str">
        <f>IF(E55=$AK$22,"NOWPAL40x40SR","-------")</f>
        <v>NOWPAL40x40SR</v>
      </c>
      <c r="M65" s="14">
        <f>INDEX(cenník!$C$2:$I$568,MATCH($L65,cenník!$B$2:$B$557,0),MATCH(M$24,cenník!$C$1:$I$1,0))</f>
        <v>890404</v>
      </c>
      <c r="N65" s="14" t="str">
        <f>INDEX(cenník!$C$2:$I$568,MATCH($L65,cenník!$B$2:$B$557,0),MATCH(N$24,cenník!$C$1:$I$1,0))</f>
        <v>ks</v>
      </c>
      <c r="O65" s="14">
        <f>IF(L65="NOWPAL40X40SR",SUM(C47:C62)*4,0)</f>
        <v>0</v>
      </c>
      <c r="P65" s="21">
        <f>INDEX(cenník!$C$2:$I$568,MATCH($L65,cenník!$B$2:$B$557,0),MATCH(P$24,cenník!$C$1:$I$1,0))</f>
        <v>0.26</v>
      </c>
      <c r="Q65" s="21">
        <f>O65*P65</f>
        <v>0</v>
      </c>
      <c r="R65" s="22">
        <f t="shared" si="28"/>
        <v>0</v>
      </c>
      <c r="S65" s="21">
        <f t="shared" si="29"/>
        <v>0.26</v>
      </c>
      <c r="T65" s="21">
        <f>O65*S65</f>
        <v>0</v>
      </c>
      <c r="U65" s="21">
        <f>INDEX(cenník!$C$2:$I$568,MATCH($L65,cenník!$B$2:$B$557,0),MATCH(U$24,cenník!$C$1:$I$1,0))*O65</f>
        <v>0</v>
      </c>
      <c r="V65" s="19"/>
      <c r="W65" s="19" t="str">
        <f>IF(E72="vertikálne",G70,IF(E72="horizontálne",E70,0))</f>
        <v>1000-1050</v>
      </c>
      <c r="X65" s="25">
        <f t="shared" ref="X65:X80" si="34">((IF($E$72=$AB$1,(IF(A69=0,0,IF(A69&gt;0,IF((((INT(((A69*$W$70)+((A69-1)*20)+80)/$E$71))-1)*$E$71)+500&gt;=((A69*$W$70)+((A69-1)*20)+80),(INT(((A69*$W$70)+((A69-1)*20)+80)/$E$71))*2,((INT(((A69*$W$70)+((A69-1)*20)+80)/$E$71))+1)*2)))),IF($E$72=$AB$2,(IF(A69=0,0,IF(A69&gt;0,IF((((INT(((A69*$W$71)+((A69-1)*20)+80)/$E$71))-1)*$E$71)+500&gt;=((A69*$W$71)+((A69-1)*20)+80),(INT(((A69*$W$71)+((A69-1)*20)+80)/$E$71))*2,((INT(((A69*$W$71)+((A69-1)*20)+80)/$E$71))+1)*2)))))))*C69)</f>
        <v>0</v>
      </c>
      <c r="Y65" s="28" t="s">
        <v>94</v>
      </c>
      <c r="Z65" s="28">
        <v>1.1499999999999999</v>
      </c>
      <c r="AA65" s="28">
        <v>2.1</v>
      </c>
      <c r="AB65" s="28">
        <v>2.2000000000000002</v>
      </c>
      <c r="AC65" s="28">
        <v>3.15</v>
      </c>
      <c r="AD65" s="28">
        <v>3.3</v>
      </c>
      <c r="AE65" s="19"/>
      <c r="AF65" s="19"/>
      <c r="AG65" s="19"/>
      <c r="AH65" s="19"/>
      <c r="AI65" s="19"/>
      <c r="AJ65" s="19"/>
      <c r="AK65" s="19"/>
      <c r="AL65" s="19"/>
      <c r="AM65" s="19">
        <v>50</v>
      </c>
      <c r="AN65" s="19" t="s">
        <v>30</v>
      </c>
      <c r="AO65" s="19" t="s">
        <v>31</v>
      </c>
      <c r="AP65" s="19" t="s">
        <v>83</v>
      </c>
      <c r="AQ65" s="19" t="s">
        <v>129</v>
      </c>
      <c r="AS65" s="19">
        <v>50</v>
      </c>
      <c r="AT65" s="19" t="s">
        <v>473</v>
      </c>
      <c r="AU65" s="19" t="s">
        <v>473</v>
      </c>
      <c r="AV65" s="19" t="s">
        <v>473</v>
      </c>
      <c r="AW65" s="19" t="s">
        <v>473</v>
      </c>
      <c r="AX65" s="19"/>
      <c r="AY65" s="19"/>
      <c r="AZ65" s="19"/>
      <c r="BA65" s="26" t="s">
        <v>236</v>
      </c>
      <c r="BB65" s="19">
        <v>0</v>
      </c>
      <c r="BC65" s="19">
        <v>0</v>
      </c>
      <c r="BD65" s="19">
        <v>0</v>
      </c>
      <c r="BE65" s="19">
        <v>0</v>
      </c>
      <c r="BF65" s="19">
        <v>0</v>
      </c>
      <c r="BG65" s="19">
        <v>0</v>
      </c>
      <c r="BH65" s="19">
        <v>0</v>
      </c>
      <c r="BI65" s="19">
        <v>0</v>
      </c>
      <c r="BJ65" s="19">
        <v>0</v>
      </c>
      <c r="BK65" s="19">
        <v>4</v>
      </c>
      <c r="BL65" s="19">
        <v>0</v>
      </c>
      <c r="BM65" s="19">
        <v>0</v>
      </c>
      <c r="BN65" s="19">
        <v>0</v>
      </c>
      <c r="BO65" s="19">
        <v>2</v>
      </c>
      <c r="BP65" s="19">
        <v>0</v>
      </c>
      <c r="BQ65" s="19">
        <v>0</v>
      </c>
      <c r="BR65" s="19">
        <v>0</v>
      </c>
      <c r="BS65" s="19">
        <v>0</v>
      </c>
      <c r="BT65" s="19">
        <v>0</v>
      </c>
      <c r="BU65" s="19">
        <v>0</v>
      </c>
      <c r="BV65" s="19">
        <v>2</v>
      </c>
      <c r="BW65" s="19">
        <v>2</v>
      </c>
      <c r="BX65" s="19">
        <v>0</v>
      </c>
      <c r="BY65" s="19">
        <v>4</v>
      </c>
      <c r="BZ65" s="19">
        <v>0</v>
      </c>
      <c r="CA65" s="19">
        <v>0</v>
      </c>
      <c r="CB65" s="19">
        <v>0</v>
      </c>
      <c r="CC65" s="19">
        <v>0</v>
      </c>
      <c r="CD65" s="19">
        <v>0</v>
      </c>
      <c r="CE65" s="19">
        <v>2</v>
      </c>
      <c r="CF65" s="19">
        <v>0</v>
      </c>
      <c r="CG65" s="19">
        <v>4</v>
      </c>
      <c r="CH65" s="19">
        <v>0</v>
      </c>
      <c r="CI65" s="19">
        <v>0</v>
      </c>
      <c r="CJ65" s="19">
        <v>0</v>
      </c>
      <c r="CK65" s="19">
        <v>0</v>
      </c>
      <c r="CL65" s="19">
        <v>0</v>
      </c>
      <c r="CM65" s="19">
        <v>0</v>
      </c>
      <c r="CN65" s="19">
        <v>2</v>
      </c>
      <c r="CO65" s="19">
        <v>0</v>
      </c>
      <c r="CP65" s="19">
        <v>0</v>
      </c>
      <c r="CQ65" s="19">
        <v>0</v>
      </c>
      <c r="CR65" s="19">
        <v>0</v>
      </c>
      <c r="CS65" s="19">
        <v>0</v>
      </c>
      <c r="CT65" s="19">
        <v>0</v>
      </c>
      <c r="CU65" s="19">
        <v>0</v>
      </c>
      <c r="CV65" s="19">
        <v>2</v>
      </c>
      <c r="CW65" s="19">
        <v>0</v>
      </c>
      <c r="CX65" s="19">
        <v>0</v>
      </c>
      <c r="CY65" s="19">
        <v>0</v>
      </c>
      <c r="CZ65" s="19">
        <v>0</v>
      </c>
      <c r="DA65" s="17"/>
      <c r="DB65" s="17">
        <v>40</v>
      </c>
      <c r="DC65" s="17"/>
      <c r="DD65" s="26" t="s">
        <v>328</v>
      </c>
      <c r="DE65" s="19">
        <v>0</v>
      </c>
      <c r="DF65" s="19"/>
      <c r="DG65" s="19"/>
      <c r="DH65" s="19"/>
      <c r="DI65" s="19"/>
      <c r="DJ65" s="19"/>
      <c r="DK65" s="19"/>
      <c r="DL65" s="19"/>
      <c r="DM65" s="19"/>
      <c r="DN65" s="19"/>
      <c r="DO65" s="19"/>
      <c r="DP65" s="19"/>
      <c r="DQ65" s="19"/>
      <c r="DR65" s="19"/>
      <c r="DS65" s="19"/>
      <c r="DT65" s="19"/>
      <c r="DU65" s="19"/>
      <c r="DV65" s="19"/>
      <c r="DW65" s="19"/>
      <c r="DX65" s="19"/>
      <c r="DY65" s="19"/>
      <c r="DZ65" s="19"/>
      <c r="EA65" s="19"/>
      <c r="EB65" s="26" t="s">
        <v>236</v>
      </c>
      <c r="EC65" s="19">
        <v>0</v>
      </c>
      <c r="ED65" s="19">
        <v>0</v>
      </c>
      <c r="EE65" s="19">
        <v>0</v>
      </c>
      <c r="EF65" s="19">
        <v>4</v>
      </c>
      <c r="EG65" s="19">
        <v>0</v>
      </c>
      <c r="EH65" s="19">
        <v>0</v>
      </c>
      <c r="EI65" s="19">
        <v>4</v>
      </c>
      <c r="EJ65" s="19">
        <v>0</v>
      </c>
      <c r="EK65" s="19">
        <v>0</v>
      </c>
      <c r="EL65" s="19">
        <v>0</v>
      </c>
      <c r="EM65" s="19">
        <v>2</v>
      </c>
      <c r="EN65" s="19">
        <v>0</v>
      </c>
      <c r="EO65" s="19">
        <v>0</v>
      </c>
      <c r="EP65" s="19">
        <v>2</v>
      </c>
      <c r="EQ65" s="19">
        <v>0</v>
      </c>
      <c r="ER65" s="19">
        <v>0</v>
      </c>
      <c r="ES65" s="19">
        <v>0</v>
      </c>
      <c r="ET65" s="19">
        <v>2</v>
      </c>
      <c r="EU65" s="19">
        <v>0</v>
      </c>
      <c r="EV65" s="19">
        <v>0</v>
      </c>
      <c r="EW65" s="19">
        <v>0</v>
      </c>
      <c r="EX65" s="19">
        <v>0</v>
      </c>
      <c r="EY65" s="19">
        <v>4</v>
      </c>
      <c r="EZ65" s="19">
        <v>0</v>
      </c>
      <c r="FA65" s="19">
        <v>0</v>
      </c>
      <c r="FB65" s="19">
        <v>0</v>
      </c>
      <c r="FC65" s="19">
        <v>0</v>
      </c>
      <c r="FD65" s="19">
        <v>0</v>
      </c>
      <c r="FE65" s="19">
        <v>0</v>
      </c>
      <c r="FF65" s="19">
        <v>2</v>
      </c>
      <c r="FG65" s="19">
        <v>0</v>
      </c>
      <c r="FH65" s="19">
        <v>0</v>
      </c>
      <c r="FI65" s="19">
        <v>2</v>
      </c>
      <c r="FJ65" s="19">
        <v>2</v>
      </c>
      <c r="FK65" s="19">
        <v>0</v>
      </c>
      <c r="FL65" s="19">
        <v>0</v>
      </c>
      <c r="FM65" s="19">
        <v>0</v>
      </c>
      <c r="FN65" s="19">
        <v>2</v>
      </c>
      <c r="FO65" s="19">
        <v>0</v>
      </c>
      <c r="FP65" s="19">
        <v>0</v>
      </c>
      <c r="FQ65" s="19">
        <v>0</v>
      </c>
      <c r="FR65" s="19">
        <v>0</v>
      </c>
      <c r="FS65" s="19">
        <v>0</v>
      </c>
      <c r="FT65" s="19">
        <v>0</v>
      </c>
      <c r="FU65" s="19">
        <v>0</v>
      </c>
      <c r="FV65" s="19">
        <v>0</v>
      </c>
      <c r="FW65" s="19">
        <v>0</v>
      </c>
      <c r="FX65" s="19">
        <v>0</v>
      </c>
      <c r="FY65" s="19">
        <v>0</v>
      </c>
      <c r="FZ65" s="19">
        <v>2</v>
      </c>
      <c r="GA65" s="19">
        <v>0</v>
      </c>
      <c r="GC65" s="19"/>
      <c r="GD65" s="19"/>
      <c r="GE65" s="26" t="s">
        <v>236</v>
      </c>
      <c r="GF65" s="19">
        <v>0</v>
      </c>
      <c r="GG65" s="19">
        <v>2</v>
      </c>
      <c r="GH65" s="19">
        <v>0</v>
      </c>
      <c r="GI65" s="19">
        <v>0</v>
      </c>
      <c r="GJ65" s="19">
        <v>0</v>
      </c>
      <c r="GK65" s="19">
        <v>0</v>
      </c>
      <c r="GL65" s="19">
        <v>0</v>
      </c>
      <c r="GM65" s="19">
        <v>0</v>
      </c>
      <c r="GN65" s="19">
        <v>0</v>
      </c>
      <c r="GO65" s="19">
        <v>2</v>
      </c>
      <c r="GP65" s="19">
        <v>4</v>
      </c>
      <c r="GQ65" s="19">
        <v>0</v>
      </c>
      <c r="GR65" s="19">
        <v>2</v>
      </c>
      <c r="GS65" s="19">
        <v>4</v>
      </c>
      <c r="GT65" s="19">
        <v>0</v>
      </c>
      <c r="GU65" s="19">
        <v>0</v>
      </c>
      <c r="GV65" s="19">
        <v>4</v>
      </c>
      <c r="GW65" s="19">
        <v>0</v>
      </c>
      <c r="GX65" s="19">
        <v>0</v>
      </c>
      <c r="GY65" s="19">
        <v>0</v>
      </c>
      <c r="GZ65" s="19">
        <v>0</v>
      </c>
      <c r="HA65" s="19">
        <v>0</v>
      </c>
      <c r="HB65" s="19">
        <v>0</v>
      </c>
      <c r="HC65" s="19">
        <v>0</v>
      </c>
      <c r="HD65" s="19">
        <v>2</v>
      </c>
      <c r="HE65" s="19">
        <v>0</v>
      </c>
      <c r="HF65" s="19">
        <v>2</v>
      </c>
      <c r="HG65" s="19">
        <v>0</v>
      </c>
      <c r="HH65" s="19">
        <v>0</v>
      </c>
      <c r="HI65" s="19">
        <v>0</v>
      </c>
      <c r="HJ65" s="19">
        <v>0</v>
      </c>
      <c r="HK65" s="19">
        <v>0</v>
      </c>
      <c r="HL65" s="19">
        <v>0</v>
      </c>
      <c r="HM65" s="19">
        <v>0</v>
      </c>
      <c r="HN65" s="19">
        <v>0</v>
      </c>
      <c r="HO65" s="19">
        <v>0</v>
      </c>
      <c r="HP65" s="19">
        <v>0</v>
      </c>
      <c r="HQ65" s="19">
        <v>0</v>
      </c>
      <c r="HR65" s="19">
        <v>0</v>
      </c>
      <c r="HS65" s="19">
        <v>0</v>
      </c>
      <c r="HT65" s="19">
        <v>2</v>
      </c>
      <c r="HU65" s="19">
        <v>0</v>
      </c>
      <c r="HV65" s="19">
        <v>2</v>
      </c>
      <c r="HW65" s="19">
        <v>0</v>
      </c>
      <c r="HX65" s="19">
        <v>0</v>
      </c>
      <c r="HY65" s="19">
        <v>0</v>
      </c>
      <c r="HZ65" s="19">
        <v>0</v>
      </c>
      <c r="IA65" s="19">
        <v>0</v>
      </c>
      <c r="IB65" s="19">
        <v>0</v>
      </c>
      <c r="IC65" s="19">
        <v>0</v>
      </c>
      <c r="ID65" s="19">
        <v>0</v>
      </c>
      <c r="IF65" s="20" t="s">
        <v>236</v>
      </c>
      <c r="IG65" s="20">
        <v>0</v>
      </c>
      <c r="IH65" s="20">
        <v>0</v>
      </c>
      <c r="II65" s="20">
        <v>0</v>
      </c>
      <c r="IJ65" s="20">
        <v>4</v>
      </c>
      <c r="IK65" s="20">
        <v>0</v>
      </c>
      <c r="IL65" s="20">
        <v>0</v>
      </c>
      <c r="IM65" s="20">
        <v>0</v>
      </c>
      <c r="IN65" s="20">
        <v>0</v>
      </c>
      <c r="IO65" s="20">
        <v>0</v>
      </c>
      <c r="IP65" s="20">
        <v>0</v>
      </c>
      <c r="IQ65" s="20">
        <v>0</v>
      </c>
      <c r="IR65" s="20">
        <v>0</v>
      </c>
      <c r="IS65" s="20">
        <v>0</v>
      </c>
      <c r="IT65" s="20">
        <v>0</v>
      </c>
      <c r="IU65" s="20">
        <v>0</v>
      </c>
      <c r="IV65" s="20">
        <v>2</v>
      </c>
      <c r="IW65" s="20">
        <v>2</v>
      </c>
      <c r="IX65" s="20">
        <v>0</v>
      </c>
      <c r="IY65" s="20">
        <v>0</v>
      </c>
      <c r="IZ65" s="20">
        <v>2</v>
      </c>
      <c r="JA65" s="20">
        <v>2</v>
      </c>
      <c r="JB65" s="20">
        <v>2</v>
      </c>
      <c r="JC65" s="20">
        <v>0</v>
      </c>
      <c r="JD65" s="20">
        <v>0</v>
      </c>
      <c r="JE65" s="20">
        <v>2</v>
      </c>
      <c r="JF65" s="20">
        <v>0</v>
      </c>
    </row>
    <row r="66" spans="1:266" x14ac:dyDescent="0.25">
      <c r="A66" s="4"/>
      <c r="B66" s="6"/>
      <c r="C66" s="4"/>
      <c r="D66" s="4"/>
      <c r="E66" s="4"/>
      <c r="F66" s="4"/>
      <c r="G66" s="4"/>
      <c r="H66" s="4"/>
      <c r="I66" s="4"/>
      <c r="J66" s="4"/>
      <c r="K66" s="4"/>
      <c r="L66" s="6" t="s">
        <v>244</v>
      </c>
      <c r="M66" s="14">
        <f>INDEX(cenník!$C$2:$I$568,MATCH($L66,cenník!$B$2:$B$557,0),MATCH(M$24,cenník!$C$1:$I$1,0))</f>
        <v>166794</v>
      </c>
      <c r="N66" s="14" t="str">
        <f>INDEX(cenník!$C$2:$I$568,MATCH($L66,cenník!$B$2:$B$557,0),MATCH(N$24,cenník!$C$1:$I$1,0))</f>
        <v>100ks</v>
      </c>
      <c r="O66" s="14">
        <f>ROUNDUP((O60/100),0)</f>
        <v>0</v>
      </c>
      <c r="P66" s="21">
        <f>INDEX(cenník!$C$2:$I$568,MATCH($L66,cenník!$B$2:$B$557,0),MATCH(P$24,cenník!$C$1:$I$1,0))</f>
        <v>1.38</v>
      </c>
      <c r="Q66" s="21">
        <f>O66*P66</f>
        <v>0</v>
      </c>
      <c r="R66" s="22">
        <f t="shared" si="28"/>
        <v>0</v>
      </c>
      <c r="S66" s="21">
        <f t="shared" si="29"/>
        <v>1.38</v>
      </c>
      <c r="T66" s="21">
        <f>O66*S66</f>
        <v>0</v>
      </c>
      <c r="U66" s="21">
        <f>INDEX(cenník!$C$2:$I$568,MATCH($L66,cenník!$B$2:$B$557,0),MATCH(U$24,cenník!$C$1:$I$1,0))*O66</f>
        <v>0</v>
      </c>
      <c r="V66" s="19"/>
      <c r="W66" s="19"/>
      <c r="X66" s="25">
        <f t="shared" si="34"/>
        <v>0</v>
      </c>
      <c r="Y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69,$BB$2:$CA$2,0),MATCH($W$65,$AH$22:$AH$47,0)))*C69</f>
        <v>0</v>
      </c>
      <c r="Z66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69,$BB$2:$CA$2,0),MATCH($W$65,$AH$22:$AH$47,0)))*C69</f>
        <v>#N/A</v>
      </c>
      <c r="AA66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69,$BB$2:$CA$2,0),MATCH($W$65,$AH$22:$AH$47,0)))*C69</f>
        <v>#N/A</v>
      </c>
      <c r="AB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69,$BB$2:$CA$2,0),MATCH($W$65,$AH$22:$AH$47,0)))*C69</f>
        <v>0</v>
      </c>
      <c r="AC66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69,$BB$2:$CA$2,0),MATCH($W$65,$AH$22:$AH$47,0)))*C69</f>
        <v>#N/A</v>
      </c>
      <c r="AD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69,$BB$2:$CA$2,0),MATCH($W$65,$AH$22:$AH$47,0)))*C69</f>
        <v>0</v>
      </c>
      <c r="AE66" s="19"/>
      <c r="AF66" s="19"/>
      <c r="AG66" s="19"/>
      <c r="AH66" s="19"/>
      <c r="AI66" s="19"/>
      <c r="AJ66" s="19"/>
      <c r="AK66" s="19"/>
      <c r="AL66" s="19"/>
      <c r="AM66" s="19"/>
      <c r="AN66" s="19" t="s">
        <v>12</v>
      </c>
      <c r="AO66" s="19" t="s">
        <v>47</v>
      </c>
      <c r="AP66" s="19"/>
      <c r="AQ66" s="19"/>
      <c r="AS66" s="19"/>
      <c r="AT66" s="19" t="s">
        <v>473</v>
      </c>
      <c r="AU66" s="19" t="s">
        <v>473</v>
      </c>
      <c r="AV66" s="19"/>
      <c r="AW66" s="19"/>
      <c r="AX66" s="19"/>
      <c r="AY66" s="19"/>
      <c r="AZ66" s="19"/>
      <c r="BA66" s="26" t="s">
        <v>237</v>
      </c>
      <c r="BB66" s="19">
        <v>0</v>
      </c>
      <c r="BC66" s="19">
        <v>0</v>
      </c>
      <c r="BD66" s="19">
        <v>2</v>
      </c>
      <c r="BE66" s="19">
        <v>0</v>
      </c>
      <c r="BF66" s="19">
        <v>2</v>
      </c>
      <c r="BG66" s="19">
        <v>4</v>
      </c>
      <c r="BH66" s="19">
        <v>2</v>
      </c>
      <c r="BI66" s="19">
        <v>4</v>
      </c>
      <c r="BJ66" s="19">
        <v>6</v>
      </c>
      <c r="BK66" s="19">
        <v>4</v>
      </c>
      <c r="BL66" s="19">
        <v>2</v>
      </c>
      <c r="BM66" s="19">
        <v>2</v>
      </c>
      <c r="BN66" s="19">
        <v>0</v>
      </c>
      <c r="BO66" s="19">
        <v>0</v>
      </c>
      <c r="BP66" s="19">
        <v>0</v>
      </c>
      <c r="BQ66" s="19">
        <v>0</v>
      </c>
      <c r="BR66" s="19">
        <v>12</v>
      </c>
      <c r="BS66" s="19">
        <v>10</v>
      </c>
      <c r="BT66" s="19">
        <v>8</v>
      </c>
      <c r="BU66" s="19">
        <v>8</v>
      </c>
      <c r="BV66" s="19">
        <v>6</v>
      </c>
      <c r="BW66" s="19">
        <v>6</v>
      </c>
      <c r="BX66" s="19">
        <v>8</v>
      </c>
      <c r="BY66" s="19">
        <v>4</v>
      </c>
      <c r="BZ66" s="19">
        <v>18</v>
      </c>
      <c r="CA66" s="19">
        <v>2</v>
      </c>
      <c r="CB66" s="19">
        <v>14</v>
      </c>
      <c r="CC66" s="19">
        <v>14</v>
      </c>
      <c r="CD66" s="19">
        <v>0</v>
      </c>
      <c r="CE66" s="19">
        <v>12</v>
      </c>
      <c r="CF66" s="19">
        <v>12</v>
      </c>
      <c r="CG66" s="19">
        <v>10</v>
      </c>
      <c r="CH66" s="19">
        <v>24</v>
      </c>
      <c r="CI66" s="19">
        <v>8</v>
      </c>
      <c r="CJ66" s="19">
        <v>20</v>
      </c>
      <c r="CK66" s="19">
        <v>20</v>
      </c>
      <c r="CL66" s="19">
        <v>4</v>
      </c>
      <c r="CM66" s="19">
        <v>6</v>
      </c>
      <c r="CN66" s="19">
        <v>2</v>
      </c>
      <c r="CO66" s="19">
        <v>2</v>
      </c>
      <c r="CP66" s="19">
        <v>30</v>
      </c>
      <c r="CQ66" s="19">
        <v>14</v>
      </c>
      <c r="CR66" s="19">
        <v>0</v>
      </c>
      <c r="CS66" s="19">
        <v>26</v>
      </c>
      <c r="CT66" s="19">
        <v>10</v>
      </c>
      <c r="CU66" s="19">
        <v>0</v>
      </c>
      <c r="CV66" s="19">
        <v>8</v>
      </c>
      <c r="CW66" s="19">
        <v>8</v>
      </c>
      <c r="CX66" s="19">
        <v>36</v>
      </c>
      <c r="CY66" s="19">
        <v>20</v>
      </c>
      <c r="CZ66" s="19">
        <v>4</v>
      </c>
      <c r="DA66" s="17"/>
      <c r="DB66" s="17">
        <v>42</v>
      </c>
      <c r="DC66" s="17"/>
      <c r="DD66" s="19"/>
      <c r="DE66" s="19"/>
      <c r="DF66" s="19"/>
      <c r="DG66" s="19"/>
      <c r="DH66" s="19"/>
      <c r="DI66" s="19"/>
      <c r="DJ66" s="19"/>
      <c r="DK66" s="19"/>
      <c r="DL66" s="19"/>
      <c r="DM66" s="19"/>
      <c r="DN66" s="19"/>
      <c r="DO66" s="19"/>
      <c r="DP66" s="19"/>
      <c r="DQ66" s="19"/>
      <c r="DR66" s="19"/>
      <c r="DS66" s="19"/>
      <c r="DT66" s="19"/>
      <c r="DU66" s="19"/>
      <c r="DV66" s="19"/>
      <c r="DW66" s="19"/>
      <c r="DX66" s="19"/>
      <c r="DY66" s="19"/>
      <c r="DZ66" s="19"/>
      <c r="EA66" s="19"/>
      <c r="EB66" s="26" t="s">
        <v>237</v>
      </c>
      <c r="EC66" s="19">
        <v>0</v>
      </c>
      <c r="ED66" s="19">
        <v>0</v>
      </c>
      <c r="EE66" s="19">
        <v>0</v>
      </c>
      <c r="EF66" s="19">
        <v>0</v>
      </c>
      <c r="EG66" s="19">
        <v>2</v>
      </c>
      <c r="EH66" s="19">
        <v>6</v>
      </c>
      <c r="EI66" s="19">
        <v>0</v>
      </c>
      <c r="EJ66" s="19">
        <v>4</v>
      </c>
      <c r="EK66" s="19">
        <v>8</v>
      </c>
      <c r="EL66" s="19">
        <v>0</v>
      </c>
      <c r="EM66" s="19">
        <v>4</v>
      </c>
      <c r="EN66" s="19">
        <v>6</v>
      </c>
      <c r="EO66" s="19">
        <v>14</v>
      </c>
      <c r="EP66" s="19">
        <v>2</v>
      </c>
      <c r="EQ66" s="19">
        <v>8</v>
      </c>
      <c r="ER66" s="19">
        <v>12</v>
      </c>
      <c r="ES66" s="19">
        <v>4</v>
      </c>
      <c r="ET66" s="19">
        <v>12</v>
      </c>
      <c r="EU66" s="19">
        <v>0</v>
      </c>
      <c r="EV66" s="19">
        <v>18</v>
      </c>
      <c r="EW66" s="19">
        <v>22</v>
      </c>
      <c r="EX66" s="19">
        <v>14</v>
      </c>
      <c r="EY66" s="19">
        <v>8</v>
      </c>
      <c r="EZ66" s="19">
        <v>8</v>
      </c>
      <c r="FA66" s="19">
        <v>28</v>
      </c>
      <c r="FB66" s="19">
        <v>4</v>
      </c>
      <c r="FC66" s="19">
        <v>22</v>
      </c>
      <c r="FD66" s="19">
        <v>0</v>
      </c>
      <c r="FE66" s="19">
        <v>18</v>
      </c>
      <c r="FF66" s="19">
        <v>22</v>
      </c>
      <c r="FG66" s="19">
        <v>12</v>
      </c>
      <c r="FH66" s="19">
        <v>32</v>
      </c>
      <c r="FI66" s="19">
        <v>0</v>
      </c>
      <c r="FJ66" s="19">
        <v>12</v>
      </c>
      <c r="FK66" s="19">
        <v>2</v>
      </c>
      <c r="FL66" s="19">
        <v>22</v>
      </c>
      <c r="FM66" s="19">
        <v>0</v>
      </c>
      <c r="FN66" s="19">
        <v>2</v>
      </c>
      <c r="FO66" s="19">
        <v>0</v>
      </c>
      <c r="FP66" s="19">
        <v>12</v>
      </c>
      <c r="FQ66" s="19">
        <v>32</v>
      </c>
      <c r="FR66" s="19">
        <v>8</v>
      </c>
      <c r="FS66" s="19">
        <v>4</v>
      </c>
      <c r="FT66" s="19">
        <v>2</v>
      </c>
      <c r="FU66" s="19">
        <v>22</v>
      </c>
      <c r="FV66" s="19">
        <v>0</v>
      </c>
      <c r="FW66" s="19">
        <v>16</v>
      </c>
      <c r="FX66" s="19">
        <v>0</v>
      </c>
      <c r="FY66" s="19">
        <v>12</v>
      </c>
      <c r="FZ66" s="19">
        <v>16</v>
      </c>
      <c r="GA66" s="19">
        <v>6</v>
      </c>
      <c r="GC66" s="19"/>
      <c r="GD66" s="19"/>
      <c r="GE66" s="26" t="s">
        <v>237</v>
      </c>
      <c r="GF66" s="19">
        <v>0</v>
      </c>
      <c r="GG66" s="19">
        <v>0</v>
      </c>
      <c r="GH66" s="19">
        <v>0</v>
      </c>
      <c r="GI66" s="19">
        <v>4</v>
      </c>
      <c r="GJ66" s="19">
        <v>4</v>
      </c>
      <c r="GK66" s="19">
        <v>4</v>
      </c>
      <c r="GL66" s="19">
        <v>8</v>
      </c>
      <c r="GM66" s="19">
        <v>8</v>
      </c>
      <c r="GN66" s="19">
        <v>8</v>
      </c>
      <c r="GO66" s="19">
        <v>0</v>
      </c>
      <c r="GP66" s="19">
        <v>0</v>
      </c>
      <c r="GQ66" s="19">
        <v>2</v>
      </c>
      <c r="GR66" s="19">
        <v>2</v>
      </c>
      <c r="GS66" s="19">
        <v>4</v>
      </c>
      <c r="GT66" s="19">
        <v>6</v>
      </c>
      <c r="GU66" s="19">
        <v>6</v>
      </c>
      <c r="GV66" s="19">
        <v>8</v>
      </c>
      <c r="GW66" s="19">
        <v>10</v>
      </c>
      <c r="GX66" s="19">
        <v>10</v>
      </c>
      <c r="GY66" s="19">
        <v>0</v>
      </c>
      <c r="GZ66" s="19">
        <v>14</v>
      </c>
      <c r="HA66" s="19">
        <v>14</v>
      </c>
      <c r="HB66" s="19">
        <v>2</v>
      </c>
      <c r="HC66" s="19">
        <v>18</v>
      </c>
      <c r="HD66" s="19">
        <v>20</v>
      </c>
      <c r="HE66" s="19">
        <v>8</v>
      </c>
      <c r="HF66" s="19">
        <v>8</v>
      </c>
      <c r="HG66" s="19">
        <v>2</v>
      </c>
      <c r="HH66" s="19">
        <v>12</v>
      </c>
      <c r="HI66" s="19">
        <v>28</v>
      </c>
      <c r="HJ66" s="19">
        <v>0</v>
      </c>
      <c r="HK66" s="19">
        <v>16</v>
      </c>
      <c r="HL66" s="19">
        <v>8</v>
      </c>
      <c r="HM66" s="19">
        <v>4</v>
      </c>
      <c r="HN66" s="19">
        <v>20</v>
      </c>
      <c r="HO66" s="19">
        <v>0</v>
      </c>
      <c r="HP66" s="19">
        <v>8</v>
      </c>
      <c r="HQ66" s="19">
        <v>2</v>
      </c>
      <c r="HR66" s="19">
        <v>0</v>
      </c>
      <c r="HS66" s="19">
        <v>12</v>
      </c>
      <c r="HT66" s="19">
        <v>14</v>
      </c>
      <c r="HU66" s="19">
        <v>2</v>
      </c>
      <c r="HV66" s="19">
        <v>2</v>
      </c>
      <c r="HW66" s="19">
        <v>0</v>
      </c>
      <c r="HX66" s="19">
        <v>6</v>
      </c>
      <c r="HY66" s="19">
        <v>22</v>
      </c>
      <c r="HZ66" s="19">
        <v>22</v>
      </c>
      <c r="IA66" s="19">
        <v>10</v>
      </c>
      <c r="IB66" s="19">
        <v>26</v>
      </c>
      <c r="IC66" s="19">
        <v>0</v>
      </c>
      <c r="ID66" s="19">
        <v>14</v>
      </c>
      <c r="IF66" s="20" t="s">
        <v>237</v>
      </c>
      <c r="IG66" s="20">
        <v>0</v>
      </c>
      <c r="IH66" s="20">
        <v>2</v>
      </c>
      <c r="II66" s="20">
        <v>2</v>
      </c>
      <c r="IJ66" s="20">
        <v>0</v>
      </c>
      <c r="IK66" s="20">
        <v>4</v>
      </c>
      <c r="IL66" s="20">
        <v>6</v>
      </c>
      <c r="IM66" s="20">
        <v>0</v>
      </c>
      <c r="IN66" s="20">
        <v>10</v>
      </c>
      <c r="IO66" s="20">
        <v>4</v>
      </c>
      <c r="IP66" s="20">
        <v>2</v>
      </c>
      <c r="IQ66" s="20">
        <v>12</v>
      </c>
      <c r="IR66" s="20">
        <v>6</v>
      </c>
      <c r="IS66" s="20">
        <v>4</v>
      </c>
      <c r="IT66" s="20">
        <v>0</v>
      </c>
      <c r="IU66" s="20">
        <v>8</v>
      </c>
      <c r="IV66" s="20">
        <v>4</v>
      </c>
      <c r="IW66" s="20">
        <v>14</v>
      </c>
      <c r="IX66" s="20">
        <v>0</v>
      </c>
      <c r="IY66" s="20">
        <v>6</v>
      </c>
      <c r="IZ66" s="20">
        <v>0</v>
      </c>
      <c r="JA66" s="20">
        <v>10</v>
      </c>
      <c r="JB66" s="20">
        <v>20</v>
      </c>
      <c r="JC66" s="20">
        <v>2</v>
      </c>
      <c r="JD66" s="20">
        <v>12</v>
      </c>
      <c r="JE66" s="20">
        <v>6</v>
      </c>
      <c r="JF66" s="20">
        <v>32</v>
      </c>
    </row>
    <row r="67" spans="1:266" x14ac:dyDescent="0.25">
      <c r="A67" s="4"/>
      <c r="B67" s="6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21">
        <f>SUM(T48:T66)</f>
        <v>0</v>
      </c>
      <c r="U67" s="21">
        <f>SUM(U48:U66)</f>
        <v>0</v>
      </c>
      <c r="V67" s="19"/>
      <c r="W67" s="19"/>
      <c r="X67" s="25">
        <f t="shared" si="34"/>
        <v>0</v>
      </c>
      <c r="Y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70,$BB$2:$CA$2,0),MATCH($W$65,$AH$22:$AH$47,0)))*C70</f>
        <v>0</v>
      </c>
      <c r="Z67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70,$BB$2:$CA$2,0),MATCH($W$65,$AH$22:$AH$47,0)))*C70</f>
        <v>#N/A</v>
      </c>
      <c r="AA67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70,$BB$2:$CA$2,0),MATCH($W$65,$AH$22:$AH$47,0)))*C70</f>
        <v>#N/A</v>
      </c>
      <c r="AB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70,$BB$2:$CA$2,0),MATCH($W$65,$AH$22:$AH$47,0)))*C70</f>
        <v>0</v>
      </c>
      <c r="AC67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70,$BB$2:$CA$2,0),MATCH($W$65,$AH$22:$AH$47,0)))*C70</f>
        <v>#N/A</v>
      </c>
      <c r="AD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70,$BB$2:$CA$2,0),MATCH($W$65,$AH$22:$AH$47,0)))*C70</f>
        <v>0</v>
      </c>
      <c r="AE67" s="19"/>
      <c r="AF67" s="19"/>
      <c r="AG67" s="19"/>
      <c r="AH67" s="19"/>
      <c r="AI67" s="19"/>
      <c r="AJ67" s="19"/>
      <c r="AK67" s="19"/>
      <c r="AL67" s="19"/>
      <c r="AM67" s="19"/>
      <c r="AN67" s="19"/>
      <c r="AO67" s="19"/>
      <c r="AP67" s="19"/>
      <c r="AQ67" s="19"/>
      <c r="AR67" s="19"/>
      <c r="AS67" s="19"/>
      <c r="AT67" s="19"/>
      <c r="AU67" s="19"/>
      <c r="AV67" s="19"/>
      <c r="AW67" s="19"/>
      <c r="AX67" s="19"/>
      <c r="AY67" s="19"/>
      <c r="AZ67" s="19"/>
      <c r="BA67" s="26" t="s">
        <v>238</v>
      </c>
      <c r="BB67" s="19">
        <v>0</v>
      </c>
      <c r="BC67" s="19">
        <v>0</v>
      </c>
      <c r="BD67" s="19">
        <v>0</v>
      </c>
      <c r="BE67" s="19">
        <v>0</v>
      </c>
      <c r="BF67" s="19">
        <v>0</v>
      </c>
      <c r="BG67" s="19">
        <v>0</v>
      </c>
      <c r="BH67" s="19">
        <v>0</v>
      </c>
      <c r="BI67" s="19">
        <v>0</v>
      </c>
      <c r="BJ67" s="19">
        <v>0</v>
      </c>
      <c r="BK67" s="19">
        <v>0</v>
      </c>
      <c r="BL67" s="19">
        <v>4</v>
      </c>
      <c r="BM67" s="19">
        <v>6</v>
      </c>
      <c r="BN67" s="19">
        <v>6</v>
      </c>
      <c r="BO67" s="19">
        <v>8</v>
      </c>
      <c r="BP67" s="19">
        <v>10</v>
      </c>
      <c r="BQ67" s="19">
        <v>10</v>
      </c>
      <c r="BR67" s="19">
        <v>0</v>
      </c>
      <c r="BS67" s="19">
        <v>0</v>
      </c>
      <c r="BT67" s="19">
        <v>4</v>
      </c>
      <c r="BU67" s="19">
        <v>6</v>
      </c>
      <c r="BV67" s="19">
        <v>6</v>
      </c>
      <c r="BW67" s="19">
        <v>8</v>
      </c>
      <c r="BX67" s="19">
        <v>8</v>
      </c>
      <c r="BY67" s="19">
        <v>10</v>
      </c>
      <c r="BZ67" s="19">
        <v>0</v>
      </c>
      <c r="CA67" s="19">
        <v>16</v>
      </c>
      <c r="CB67" s="19">
        <v>4</v>
      </c>
      <c r="CC67" s="19">
        <v>6</v>
      </c>
      <c r="CD67" s="19">
        <v>20</v>
      </c>
      <c r="CE67" s="19">
        <v>8</v>
      </c>
      <c r="CF67" s="19">
        <v>10</v>
      </c>
      <c r="CG67" s="19">
        <v>10</v>
      </c>
      <c r="CH67" s="19">
        <v>0</v>
      </c>
      <c r="CI67" s="19">
        <v>16</v>
      </c>
      <c r="CJ67" s="19">
        <v>4</v>
      </c>
      <c r="CK67" s="19">
        <v>6</v>
      </c>
      <c r="CL67" s="19">
        <v>22</v>
      </c>
      <c r="CM67" s="19">
        <v>18</v>
      </c>
      <c r="CN67" s="19">
        <v>24</v>
      </c>
      <c r="CO67" s="19">
        <v>26</v>
      </c>
      <c r="CP67" s="19">
        <v>0</v>
      </c>
      <c r="CQ67" s="19">
        <v>16</v>
      </c>
      <c r="CR67" s="19">
        <v>30</v>
      </c>
      <c r="CS67" s="19">
        <v>6</v>
      </c>
      <c r="CT67" s="19">
        <v>22</v>
      </c>
      <c r="CU67" s="19">
        <v>32</v>
      </c>
      <c r="CV67" s="19">
        <v>24</v>
      </c>
      <c r="CW67" s="19">
        <v>26</v>
      </c>
      <c r="CX67" s="19">
        <v>0</v>
      </c>
      <c r="CY67" s="19">
        <v>16</v>
      </c>
      <c r="CZ67" s="19">
        <v>32</v>
      </c>
      <c r="DA67" s="17"/>
      <c r="DB67" s="17">
        <v>45</v>
      </c>
      <c r="DC67" s="17"/>
      <c r="DD67" s="19" t="s">
        <v>67</v>
      </c>
      <c r="DE67" s="19">
        <v>0</v>
      </c>
      <c r="DF67" s="19">
        <v>1</v>
      </c>
      <c r="DG67" s="19">
        <v>2</v>
      </c>
      <c r="DH67" s="19">
        <v>3</v>
      </c>
      <c r="DI67" s="19">
        <v>4</v>
      </c>
      <c r="DJ67" s="19">
        <v>5</v>
      </c>
      <c r="DK67" s="19">
        <v>6</v>
      </c>
      <c r="DL67" s="19">
        <v>7</v>
      </c>
      <c r="DM67" s="19">
        <v>8</v>
      </c>
      <c r="DN67" s="19">
        <v>9</v>
      </c>
      <c r="DO67" s="19">
        <v>10</v>
      </c>
      <c r="DP67" s="19">
        <v>11</v>
      </c>
      <c r="DQ67" s="19">
        <v>12</v>
      </c>
      <c r="DR67" s="19">
        <v>13</v>
      </c>
      <c r="DS67" s="19">
        <v>14</v>
      </c>
      <c r="DT67" s="19">
        <v>15</v>
      </c>
      <c r="DU67" s="19">
        <v>16</v>
      </c>
      <c r="DV67" s="19">
        <v>17</v>
      </c>
      <c r="DW67" s="19">
        <v>18</v>
      </c>
      <c r="DX67" s="19">
        <v>19</v>
      </c>
      <c r="DY67" s="19">
        <v>20</v>
      </c>
      <c r="DZ67" s="19"/>
      <c r="EA67" s="19"/>
      <c r="EB67" s="26" t="s">
        <v>238</v>
      </c>
      <c r="EC67" s="19">
        <v>0</v>
      </c>
      <c r="ED67" s="19">
        <v>0</v>
      </c>
      <c r="EE67" s="19">
        <v>0</v>
      </c>
      <c r="EF67" s="19">
        <v>0</v>
      </c>
      <c r="EG67" s="19">
        <v>0</v>
      </c>
      <c r="EH67" s="19">
        <v>0</v>
      </c>
      <c r="EI67" s="19">
        <v>4</v>
      </c>
      <c r="EJ67" s="19">
        <v>4</v>
      </c>
      <c r="EK67" s="19">
        <v>0</v>
      </c>
      <c r="EL67" s="19">
        <v>10</v>
      </c>
      <c r="EM67" s="19">
        <v>6</v>
      </c>
      <c r="EN67" s="19">
        <v>4</v>
      </c>
      <c r="EO67" s="19">
        <v>0</v>
      </c>
      <c r="EP67" s="19">
        <v>10</v>
      </c>
      <c r="EQ67" s="19">
        <v>8</v>
      </c>
      <c r="ER67" s="19">
        <v>4</v>
      </c>
      <c r="ES67" s="19">
        <v>14</v>
      </c>
      <c r="ET67" s="19">
        <v>6</v>
      </c>
      <c r="EU67" s="19">
        <v>20</v>
      </c>
      <c r="EV67" s="19">
        <v>4</v>
      </c>
      <c r="EW67" s="19">
        <v>0</v>
      </c>
      <c r="EX67" s="19">
        <v>10</v>
      </c>
      <c r="EY67" s="19">
        <v>14</v>
      </c>
      <c r="EZ67" s="19">
        <v>18</v>
      </c>
      <c r="FA67" s="19">
        <v>0</v>
      </c>
      <c r="FB67" s="19">
        <v>24</v>
      </c>
      <c r="FC67" s="19">
        <v>8</v>
      </c>
      <c r="FD67" s="19">
        <v>30</v>
      </c>
      <c r="FE67" s="19">
        <v>14</v>
      </c>
      <c r="FF67" s="19">
        <v>10</v>
      </c>
      <c r="FG67" s="19">
        <v>22</v>
      </c>
      <c r="FH67" s="19">
        <v>4</v>
      </c>
      <c r="FI67" s="19">
        <v>34</v>
      </c>
      <c r="FJ67" s="19">
        <v>24</v>
      </c>
      <c r="FK67" s="19">
        <v>36</v>
      </c>
      <c r="FL67" s="19">
        <v>18</v>
      </c>
      <c r="FM67" s="19">
        <v>40</v>
      </c>
      <c r="FN67" s="19">
        <v>38</v>
      </c>
      <c r="FO67" s="19">
        <v>42</v>
      </c>
      <c r="FP67" s="19">
        <v>32</v>
      </c>
      <c r="FQ67" s="19">
        <v>14</v>
      </c>
      <c r="FR67" s="19">
        <v>38</v>
      </c>
      <c r="FS67" s="19">
        <v>40</v>
      </c>
      <c r="FT67" s="19">
        <v>46</v>
      </c>
      <c r="FU67" s="19">
        <v>28</v>
      </c>
      <c r="FV67" s="19">
        <v>50</v>
      </c>
      <c r="FW67" s="19">
        <v>36</v>
      </c>
      <c r="FX67" s="19">
        <v>52</v>
      </c>
      <c r="FY67" s="19">
        <v>42</v>
      </c>
      <c r="FZ67" s="19">
        <v>38</v>
      </c>
      <c r="GA67" s="19">
        <v>50</v>
      </c>
      <c r="GC67" s="19"/>
      <c r="GD67" s="19"/>
      <c r="GE67" s="26" t="s">
        <v>238</v>
      </c>
      <c r="GF67" s="19">
        <v>0</v>
      </c>
      <c r="GG67" s="19">
        <v>0</v>
      </c>
      <c r="GH67" s="19">
        <v>0</v>
      </c>
      <c r="GI67" s="19">
        <v>0</v>
      </c>
      <c r="GJ67" s="19">
        <v>0</v>
      </c>
      <c r="GK67" s="19">
        <v>0</v>
      </c>
      <c r="GL67" s="19">
        <v>0</v>
      </c>
      <c r="GM67" s="19">
        <v>0</v>
      </c>
      <c r="GN67" s="19">
        <v>0</v>
      </c>
      <c r="GO67" s="19">
        <v>10</v>
      </c>
      <c r="GP67" s="19">
        <v>10</v>
      </c>
      <c r="GQ67" s="19">
        <v>12</v>
      </c>
      <c r="GR67" s="19">
        <v>12</v>
      </c>
      <c r="GS67" s="19">
        <v>10</v>
      </c>
      <c r="GT67" s="19">
        <v>12</v>
      </c>
      <c r="GU67" s="19">
        <v>12</v>
      </c>
      <c r="GV67" s="19">
        <v>10</v>
      </c>
      <c r="GW67" s="19">
        <v>12</v>
      </c>
      <c r="GX67" s="19">
        <v>12</v>
      </c>
      <c r="GY67" s="19">
        <v>24</v>
      </c>
      <c r="GZ67" s="19">
        <v>12</v>
      </c>
      <c r="HA67" s="19">
        <v>12</v>
      </c>
      <c r="HB67" s="19">
        <v>26</v>
      </c>
      <c r="HC67" s="19">
        <v>12</v>
      </c>
      <c r="HD67" s="19">
        <v>10</v>
      </c>
      <c r="HE67" s="19">
        <v>24</v>
      </c>
      <c r="HF67" s="19">
        <v>24</v>
      </c>
      <c r="HG67" s="19">
        <v>32</v>
      </c>
      <c r="HH67" s="19">
        <v>24</v>
      </c>
      <c r="HI67" s="19">
        <v>10</v>
      </c>
      <c r="HJ67" s="19">
        <v>38</v>
      </c>
      <c r="HK67" s="19">
        <v>24</v>
      </c>
      <c r="HL67" s="19">
        <v>30</v>
      </c>
      <c r="HM67" s="19">
        <v>38</v>
      </c>
      <c r="HN67" s="19">
        <v>24</v>
      </c>
      <c r="HO67" s="19">
        <v>44</v>
      </c>
      <c r="HP67" s="19">
        <v>38</v>
      </c>
      <c r="HQ67" s="19">
        <v>42</v>
      </c>
      <c r="HR67" s="19">
        <v>48</v>
      </c>
      <c r="HS67" s="19">
        <v>38</v>
      </c>
      <c r="HT67" s="19">
        <v>36</v>
      </c>
      <c r="HU67" s="19">
        <v>50</v>
      </c>
      <c r="HV67" s="19">
        <v>50</v>
      </c>
      <c r="HW67" s="19">
        <v>54</v>
      </c>
      <c r="HX67" s="19">
        <v>50</v>
      </c>
      <c r="HY67" s="19">
        <v>36</v>
      </c>
      <c r="HZ67" s="19">
        <v>36</v>
      </c>
      <c r="IA67" s="19">
        <v>50</v>
      </c>
      <c r="IB67" s="19">
        <v>36</v>
      </c>
      <c r="IC67" s="19">
        <v>62</v>
      </c>
      <c r="ID67" s="19">
        <v>50</v>
      </c>
      <c r="IF67" s="20" t="s">
        <v>238</v>
      </c>
      <c r="IG67" s="20">
        <v>0</v>
      </c>
      <c r="IH67" s="20">
        <v>0</v>
      </c>
      <c r="II67" s="20">
        <v>0</v>
      </c>
      <c r="IJ67" s="20">
        <v>2</v>
      </c>
      <c r="IK67" s="20">
        <v>0</v>
      </c>
      <c r="IL67" s="20">
        <v>2</v>
      </c>
      <c r="IM67" s="20">
        <v>8</v>
      </c>
      <c r="IN67" s="20">
        <v>0</v>
      </c>
      <c r="IO67" s="20">
        <v>6</v>
      </c>
      <c r="IP67" s="20">
        <v>12</v>
      </c>
      <c r="IQ67" s="20">
        <v>4</v>
      </c>
      <c r="IR67" s="20">
        <v>10</v>
      </c>
      <c r="IS67" s="20">
        <v>12</v>
      </c>
      <c r="IT67" s="20">
        <v>20</v>
      </c>
      <c r="IU67" s="20">
        <v>14</v>
      </c>
      <c r="IV67" s="20">
        <v>18</v>
      </c>
      <c r="IW67" s="20">
        <v>10</v>
      </c>
      <c r="IX67" s="20">
        <v>26</v>
      </c>
      <c r="IY67" s="20">
        <v>22</v>
      </c>
      <c r="IZ67" s="20">
        <v>28</v>
      </c>
      <c r="JA67" s="20">
        <v>20</v>
      </c>
      <c r="JB67" s="20">
        <v>12</v>
      </c>
      <c r="JC67" s="20">
        <v>32</v>
      </c>
      <c r="JD67" s="20">
        <v>24</v>
      </c>
      <c r="JE67" s="20">
        <v>30</v>
      </c>
      <c r="JF67" s="20">
        <v>8</v>
      </c>
    </row>
    <row r="68" spans="1:266" ht="39" x14ac:dyDescent="0.25">
      <c r="A68" s="3" t="s">
        <v>549</v>
      </c>
      <c r="B68" s="5"/>
      <c r="C68" s="3" t="s">
        <v>550</v>
      </c>
      <c r="D68" s="4"/>
      <c r="E68" s="4"/>
      <c r="F68" s="4"/>
      <c r="G68" s="4"/>
      <c r="H68" s="4"/>
      <c r="I68" s="4"/>
      <c r="J68" s="4"/>
      <c r="K68" s="4"/>
      <c r="L68" s="221" t="str">
        <f>IF(E72="vertikálne","KONŠTRUKCIA DS-V4N",IF(E72="horizontálne","KONŠTRUKCIA DS-H4N"))</f>
        <v>KONŠTRUKCIA DS-V4N</v>
      </c>
      <c r="M68" s="221"/>
      <c r="N68" s="221"/>
      <c r="O68" s="221"/>
      <c r="P68" s="221"/>
      <c r="Q68" s="221"/>
      <c r="R68" s="221"/>
      <c r="S68" s="221"/>
      <c r="T68" s="221"/>
      <c r="U68" s="221"/>
      <c r="V68" s="19"/>
      <c r="W68" s="19"/>
      <c r="X68" s="25">
        <f t="shared" si="34"/>
        <v>0</v>
      </c>
      <c r="Y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71,$BB$2:$CA$2,0),MATCH($W$65,$AH$22:$AH$47,0)))*C71</f>
        <v>0</v>
      </c>
      <c r="Z6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71,$BB$2:$CA$2,0),MATCH($W$65,$AH$22:$AH$47,0)))*C71</f>
        <v>#N/A</v>
      </c>
      <c r="AA6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71,$BB$2:$CA$2,0),MATCH($W$65,$AH$22:$AH$47,0)))*C71</f>
        <v>#N/A</v>
      </c>
      <c r="AB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71,$BB$2:$CA$2,0),MATCH($W$65,$AH$22:$AH$47,0)))*C71</f>
        <v>0</v>
      </c>
      <c r="AC6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71,$BB$2:$CA$2,0),MATCH($W$65,$AH$22:$AH$47,0)))*C71</f>
        <v>#N/A</v>
      </c>
      <c r="AD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71,$BB$2:$CA$2,0),MATCH($W$65,$AH$22:$AH$47,0)))*C71</f>
        <v>0</v>
      </c>
      <c r="AE68" s="19"/>
      <c r="AF68" s="19"/>
      <c r="AG68" s="19"/>
      <c r="AH68" s="19"/>
      <c r="AI68" s="19"/>
      <c r="AJ68" s="19"/>
      <c r="AK68" s="19"/>
      <c r="AL68" s="19"/>
      <c r="AM68" s="19"/>
      <c r="AN68" s="19"/>
      <c r="AO68" s="19"/>
      <c r="AP68" s="19"/>
      <c r="AQ68" s="19"/>
      <c r="AR68" s="19"/>
      <c r="AS68" s="19"/>
      <c r="AT68" s="19"/>
      <c r="AU68" s="19"/>
      <c r="AV68" s="19"/>
      <c r="AW68" s="19"/>
      <c r="AX68" s="19"/>
      <c r="AY68" s="19"/>
      <c r="AZ68" s="19"/>
      <c r="BA68" s="26" t="s">
        <v>239</v>
      </c>
      <c r="BB68" s="19">
        <v>0</v>
      </c>
      <c r="BC68" s="19">
        <v>0</v>
      </c>
      <c r="BD68" s="19">
        <v>0</v>
      </c>
      <c r="BE68" s="19">
        <v>4</v>
      </c>
      <c r="BF68" s="19">
        <v>4</v>
      </c>
      <c r="BG68" s="19">
        <v>4</v>
      </c>
      <c r="BH68" s="19">
        <v>8</v>
      </c>
      <c r="BI68" s="19">
        <v>8</v>
      </c>
      <c r="BJ68" s="19">
        <v>8</v>
      </c>
      <c r="BK68" s="19">
        <v>12</v>
      </c>
      <c r="BL68" s="19">
        <v>12</v>
      </c>
      <c r="BM68" s="19">
        <v>12</v>
      </c>
      <c r="BN68" s="19">
        <v>16</v>
      </c>
      <c r="BO68" s="19">
        <v>16</v>
      </c>
      <c r="BP68" s="19">
        <v>16</v>
      </c>
      <c r="BQ68" s="19">
        <v>20</v>
      </c>
      <c r="BR68" s="19">
        <v>20</v>
      </c>
      <c r="BS68" s="19">
        <v>24</v>
      </c>
      <c r="BT68" s="19">
        <v>24</v>
      </c>
      <c r="BU68" s="19">
        <v>24</v>
      </c>
      <c r="BV68" s="19">
        <v>28</v>
      </c>
      <c r="BW68" s="19">
        <v>28</v>
      </c>
      <c r="BX68" s="19">
        <v>28</v>
      </c>
      <c r="BY68" s="19">
        <v>32</v>
      </c>
      <c r="BZ68" s="19">
        <v>32</v>
      </c>
      <c r="CA68" s="19">
        <v>32</v>
      </c>
      <c r="CB68" s="19">
        <v>36</v>
      </c>
      <c r="CC68" s="19">
        <v>36</v>
      </c>
      <c r="CD68" s="19">
        <v>36</v>
      </c>
      <c r="CE68" s="19">
        <v>40</v>
      </c>
      <c r="CF68" s="19">
        <v>40</v>
      </c>
      <c r="CG68" s="19">
        <v>44</v>
      </c>
      <c r="CH68" s="19">
        <v>44</v>
      </c>
      <c r="CI68" s="19">
        <v>44</v>
      </c>
      <c r="CJ68" s="19">
        <v>48</v>
      </c>
      <c r="CK68" s="19">
        <v>48</v>
      </c>
      <c r="CL68" s="19">
        <v>48</v>
      </c>
      <c r="CM68" s="19">
        <v>52</v>
      </c>
      <c r="CN68" s="19">
        <v>52</v>
      </c>
      <c r="CO68" s="19">
        <v>52</v>
      </c>
      <c r="CP68" s="19">
        <v>56</v>
      </c>
      <c r="CQ68" s="19">
        <v>56</v>
      </c>
      <c r="CR68" s="19">
        <v>56</v>
      </c>
      <c r="CS68" s="19">
        <v>60</v>
      </c>
      <c r="CT68" s="19">
        <v>60</v>
      </c>
      <c r="CU68" s="19">
        <v>60</v>
      </c>
      <c r="CV68" s="19">
        <v>64</v>
      </c>
      <c r="CW68" s="19">
        <v>64</v>
      </c>
      <c r="CX68" s="19">
        <v>68</v>
      </c>
      <c r="CY68" s="19">
        <v>68</v>
      </c>
      <c r="CZ68" s="19">
        <v>68</v>
      </c>
      <c r="DA68" s="17"/>
      <c r="DB68" s="17">
        <v>50</v>
      </c>
      <c r="DC68" s="17"/>
      <c r="DD68" s="19" t="s">
        <v>64</v>
      </c>
      <c r="DE68" s="19">
        <v>0</v>
      </c>
      <c r="DF68" s="19">
        <v>2</v>
      </c>
      <c r="DG68" s="19">
        <v>4</v>
      </c>
      <c r="DH68" s="19">
        <v>2</v>
      </c>
      <c r="DI68" s="19">
        <v>4</v>
      </c>
      <c r="DJ68" s="19">
        <v>0</v>
      </c>
      <c r="DK68" s="19">
        <v>4</v>
      </c>
      <c r="DL68" s="19">
        <v>0</v>
      </c>
      <c r="DM68" s="19">
        <v>4</v>
      </c>
      <c r="DN68" s="19">
        <v>0</v>
      </c>
      <c r="DO68" s="19">
        <v>2</v>
      </c>
      <c r="DP68" s="19">
        <v>0</v>
      </c>
      <c r="DQ68" s="19">
        <v>2</v>
      </c>
      <c r="DR68" s="19">
        <v>0</v>
      </c>
      <c r="DS68" s="19">
        <v>2</v>
      </c>
      <c r="DT68" s="19">
        <v>4</v>
      </c>
      <c r="DU68" s="19">
        <v>2</v>
      </c>
      <c r="DV68" s="19">
        <v>4</v>
      </c>
      <c r="DW68" s="19">
        <v>0</v>
      </c>
      <c r="DX68" s="19">
        <v>4</v>
      </c>
      <c r="DY68" s="19">
        <v>0</v>
      </c>
      <c r="DZ68" s="19"/>
      <c r="EA68" s="19"/>
      <c r="EB68" s="26" t="s">
        <v>239</v>
      </c>
      <c r="EC68" s="19">
        <v>0</v>
      </c>
      <c r="ED68" s="19">
        <v>0</v>
      </c>
      <c r="EE68" s="19">
        <v>4</v>
      </c>
      <c r="EF68" s="19">
        <v>8</v>
      </c>
      <c r="EG68" s="19">
        <v>8</v>
      </c>
      <c r="EH68" s="19">
        <v>8</v>
      </c>
      <c r="EI68" s="19">
        <v>12</v>
      </c>
      <c r="EJ68" s="19">
        <v>12</v>
      </c>
      <c r="EK68" s="19">
        <v>16</v>
      </c>
      <c r="EL68" s="19">
        <v>16</v>
      </c>
      <c r="EM68" s="19">
        <v>20</v>
      </c>
      <c r="EN68" s="19">
        <v>24</v>
      </c>
      <c r="EO68" s="19">
        <v>24</v>
      </c>
      <c r="EP68" s="19">
        <v>28</v>
      </c>
      <c r="EQ68" s="19">
        <v>28</v>
      </c>
      <c r="ER68" s="19">
        <v>32</v>
      </c>
      <c r="ES68" s="19">
        <v>32</v>
      </c>
      <c r="ET68" s="19">
        <v>36</v>
      </c>
      <c r="EU68" s="19">
        <v>36</v>
      </c>
      <c r="EV68" s="19">
        <v>40</v>
      </c>
      <c r="EW68" s="19">
        <v>44</v>
      </c>
      <c r="EX68" s="19">
        <v>44</v>
      </c>
      <c r="EY68" s="19">
        <v>48</v>
      </c>
      <c r="EZ68" s="19">
        <v>48</v>
      </c>
      <c r="FA68" s="19">
        <v>52</v>
      </c>
      <c r="FB68" s="19">
        <v>52</v>
      </c>
      <c r="FC68" s="19">
        <v>56</v>
      </c>
      <c r="FD68" s="19">
        <v>56</v>
      </c>
      <c r="FE68" s="19">
        <v>60</v>
      </c>
      <c r="FF68" s="19">
        <v>64</v>
      </c>
      <c r="FG68" s="19">
        <v>64</v>
      </c>
      <c r="FH68" s="19">
        <v>68</v>
      </c>
      <c r="FI68" s="19">
        <v>68</v>
      </c>
      <c r="FJ68" s="19">
        <v>72</v>
      </c>
      <c r="FK68" s="19">
        <v>72</v>
      </c>
      <c r="FL68" s="19">
        <v>76</v>
      </c>
      <c r="FM68" s="19">
        <v>76</v>
      </c>
      <c r="FN68" s="19">
        <v>80</v>
      </c>
      <c r="FO68" s="19">
        <v>80</v>
      </c>
      <c r="FP68" s="19">
        <v>84</v>
      </c>
      <c r="FQ68" s="19">
        <v>88</v>
      </c>
      <c r="FR68" s="19">
        <v>88</v>
      </c>
      <c r="FS68" s="19">
        <v>92</v>
      </c>
      <c r="FT68" s="19">
        <v>92</v>
      </c>
      <c r="FU68" s="19">
        <v>96</v>
      </c>
      <c r="FV68" s="19">
        <v>96</v>
      </c>
      <c r="FW68" s="19">
        <v>100</v>
      </c>
      <c r="FX68" s="19">
        <v>100</v>
      </c>
      <c r="FY68" s="19">
        <v>104</v>
      </c>
      <c r="FZ68" s="19">
        <v>108</v>
      </c>
      <c r="GA68" s="19">
        <v>108</v>
      </c>
      <c r="GC68" s="19"/>
      <c r="GD68" s="19"/>
      <c r="GE68" s="26" t="s">
        <v>239</v>
      </c>
      <c r="GF68" s="19">
        <v>0</v>
      </c>
      <c r="GG68" s="19">
        <v>0</v>
      </c>
      <c r="GH68" s="19">
        <v>4</v>
      </c>
      <c r="GI68" s="19">
        <v>4</v>
      </c>
      <c r="GJ68" s="19">
        <v>8</v>
      </c>
      <c r="GK68" s="19">
        <v>12</v>
      </c>
      <c r="GL68" s="19">
        <v>12</v>
      </c>
      <c r="GM68" s="19">
        <v>16</v>
      </c>
      <c r="GN68" s="19">
        <v>20</v>
      </c>
      <c r="GO68" s="19">
        <v>20</v>
      </c>
      <c r="GP68" s="19">
        <v>24</v>
      </c>
      <c r="GQ68" s="19">
        <v>24</v>
      </c>
      <c r="GR68" s="19">
        <v>28</v>
      </c>
      <c r="GS68" s="19">
        <v>32</v>
      </c>
      <c r="GT68" s="19">
        <v>32</v>
      </c>
      <c r="GU68" s="19">
        <v>36</v>
      </c>
      <c r="GV68" s="19">
        <v>40</v>
      </c>
      <c r="GW68" s="19">
        <v>40</v>
      </c>
      <c r="GX68" s="19">
        <v>44</v>
      </c>
      <c r="GY68" s="19">
        <v>44</v>
      </c>
      <c r="GZ68" s="19">
        <v>48</v>
      </c>
      <c r="HA68" s="19">
        <v>52</v>
      </c>
      <c r="HB68" s="19">
        <v>52</v>
      </c>
      <c r="HC68" s="19">
        <v>56</v>
      </c>
      <c r="HD68" s="19">
        <v>60</v>
      </c>
      <c r="HE68" s="19">
        <v>60</v>
      </c>
      <c r="HF68" s="19">
        <v>64</v>
      </c>
      <c r="HG68" s="19">
        <v>64</v>
      </c>
      <c r="HH68" s="19">
        <v>68</v>
      </c>
      <c r="HI68" s="19">
        <v>72</v>
      </c>
      <c r="HJ68" s="19">
        <v>72</v>
      </c>
      <c r="HK68" s="19">
        <v>76</v>
      </c>
      <c r="HL68" s="19">
        <v>80</v>
      </c>
      <c r="HM68" s="19">
        <v>80</v>
      </c>
      <c r="HN68" s="19">
        <v>84</v>
      </c>
      <c r="HO68" s="19">
        <v>84</v>
      </c>
      <c r="HP68" s="19">
        <v>88</v>
      </c>
      <c r="HQ68" s="19">
        <v>92</v>
      </c>
      <c r="HR68" s="19">
        <v>92</v>
      </c>
      <c r="HS68" s="19">
        <v>96</v>
      </c>
      <c r="HT68" s="19">
        <v>100</v>
      </c>
      <c r="HU68" s="19">
        <v>100</v>
      </c>
      <c r="HV68" s="19">
        <v>104</v>
      </c>
      <c r="HW68" s="19">
        <v>104</v>
      </c>
      <c r="HX68" s="19">
        <v>108</v>
      </c>
      <c r="HY68" s="19">
        <v>112</v>
      </c>
      <c r="HZ68" s="19">
        <v>112</v>
      </c>
      <c r="IA68" s="19">
        <v>116</v>
      </c>
      <c r="IB68" s="19">
        <v>120</v>
      </c>
      <c r="IC68" s="19">
        <v>120</v>
      </c>
      <c r="ID68" s="19">
        <v>124</v>
      </c>
      <c r="IF68" s="20" t="s">
        <v>239</v>
      </c>
      <c r="IG68" s="20">
        <v>0</v>
      </c>
      <c r="IH68" s="20">
        <v>0</v>
      </c>
      <c r="II68" s="20">
        <v>4</v>
      </c>
      <c r="IJ68" s="20">
        <v>8</v>
      </c>
      <c r="IK68" s="20">
        <v>12</v>
      </c>
      <c r="IL68" s="20">
        <v>12</v>
      </c>
      <c r="IM68" s="20">
        <v>16</v>
      </c>
      <c r="IN68" s="20">
        <v>20</v>
      </c>
      <c r="IO68" s="20">
        <v>24</v>
      </c>
      <c r="IP68" s="20">
        <v>24</v>
      </c>
      <c r="IQ68" s="20">
        <v>28</v>
      </c>
      <c r="IR68" s="20">
        <v>32</v>
      </c>
      <c r="IS68" s="20">
        <v>36</v>
      </c>
      <c r="IT68" s="20">
        <v>36</v>
      </c>
      <c r="IU68" s="20">
        <v>40</v>
      </c>
      <c r="IV68" s="20">
        <v>44</v>
      </c>
      <c r="IW68" s="20">
        <v>48</v>
      </c>
      <c r="IX68" s="20">
        <v>48</v>
      </c>
      <c r="IY68" s="20">
        <v>52</v>
      </c>
      <c r="IZ68" s="20">
        <v>56</v>
      </c>
      <c r="JA68" s="20">
        <v>60</v>
      </c>
      <c r="JB68" s="20">
        <v>64</v>
      </c>
      <c r="JC68" s="20">
        <v>64</v>
      </c>
      <c r="JD68" s="20">
        <v>68</v>
      </c>
      <c r="JE68" s="20">
        <v>72</v>
      </c>
      <c r="JF68" s="20">
        <v>76</v>
      </c>
    </row>
    <row r="69" spans="1:266" x14ac:dyDescent="0.25">
      <c r="A69" s="8"/>
      <c r="B69" s="5" t="s">
        <v>61</v>
      </c>
      <c r="C69" s="8"/>
      <c r="D69" s="4"/>
      <c r="E69" s="4"/>
      <c r="F69" s="4"/>
      <c r="G69" s="4"/>
      <c r="H69" s="4"/>
      <c r="I69" s="4"/>
      <c r="J69" s="4"/>
      <c r="K69" s="4"/>
      <c r="L69" s="5" t="s">
        <v>53</v>
      </c>
      <c r="M69" s="5" t="s">
        <v>559</v>
      </c>
      <c r="N69" s="5" t="s">
        <v>436</v>
      </c>
      <c r="O69" s="5" t="s">
        <v>442</v>
      </c>
      <c r="P69" s="5" t="s">
        <v>443</v>
      </c>
      <c r="Q69" s="5" t="s">
        <v>444</v>
      </c>
      <c r="R69" s="5" t="s">
        <v>445</v>
      </c>
      <c r="S69" s="5" t="s">
        <v>446</v>
      </c>
      <c r="T69" s="5" t="s">
        <v>447</v>
      </c>
      <c r="U69" s="5" t="s">
        <v>438</v>
      </c>
      <c r="V69" s="19"/>
      <c r="W69" s="19"/>
      <c r="X69" s="25">
        <f t="shared" si="34"/>
        <v>0</v>
      </c>
      <c r="Y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72,$BB$2:$CA$2,0),MATCH($W$65,$AH$22:$AH$47,0)))*C72</f>
        <v>0</v>
      </c>
      <c r="Z6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72,$BB$2:$CA$2,0),MATCH($W$65,$AH$22:$AH$47,0)))*C72</f>
        <v>#N/A</v>
      </c>
      <c r="AA6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72,$BB$2:$CA$2,0),MATCH($W$65,$AH$22:$AH$47,0)))*C72</f>
        <v>#N/A</v>
      </c>
      <c r="AB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72,$BB$2:$CA$2,0),MATCH($W$65,$AH$22:$AH$47,0)))*C72</f>
        <v>0</v>
      </c>
      <c r="AC6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72,$BB$2:$CA$2,0),MATCH($W$65,$AH$22:$AH$47,0)))*C72</f>
        <v>#N/A</v>
      </c>
      <c r="AD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72,$BB$2:$CA$2,0),MATCH($W$65,$AH$22:$AH$47,0)))*C72</f>
        <v>0</v>
      </c>
      <c r="AE69" s="19"/>
      <c r="AF69" s="19"/>
      <c r="AG69" s="19"/>
      <c r="AH69" s="19"/>
      <c r="AI69" s="19"/>
      <c r="AJ69" s="19"/>
      <c r="AK69" s="19"/>
      <c r="AL69" s="19"/>
      <c r="AM69" s="19"/>
      <c r="AN69" s="19"/>
      <c r="AO69" s="19"/>
      <c r="AP69" s="19"/>
      <c r="AQ69" s="19"/>
      <c r="AR69" s="19"/>
      <c r="AS69" s="19"/>
      <c r="AT69" s="19"/>
      <c r="AU69" s="19"/>
      <c r="AV69" s="19"/>
      <c r="AW69" s="19"/>
      <c r="AX69" s="19"/>
      <c r="AY69" s="19"/>
      <c r="AZ69" s="19"/>
      <c r="BA69" s="26" t="s">
        <v>326</v>
      </c>
      <c r="BB69" s="19">
        <v>0</v>
      </c>
      <c r="BC69" s="19">
        <v>2</v>
      </c>
      <c r="BD69" s="19">
        <v>0</v>
      </c>
      <c r="BE69" s="19">
        <v>4</v>
      </c>
      <c r="BF69" s="19">
        <v>2</v>
      </c>
      <c r="BG69" s="19">
        <v>0</v>
      </c>
      <c r="BH69" s="19">
        <v>4</v>
      </c>
      <c r="BI69" s="19">
        <v>2</v>
      </c>
      <c r="BJ69" s="19">
        <v>0</v>
      </c>
      <c r="BK69" s="19">
        <v>4</v>
      </c>
      <c r="BL69" s="19">
        <v>2</v>
      </c>
      <c r="BM69" s="19">
        <v>0</v>
      </c>
      <c r="BN69" s="19">
        <v>4</v>
      </c>
      <c r="BO69" s="19">
        <v>2</v>
      </c>
      <c r="BP69" s="19">
        <v>0</v>
      </c>
      <c r="BQ69" s="19">
        <v>2</v>
      </c>
      <c r="BR69" s="19">
        <v>0</v>
      </c>
      <c r="BS69" s="19">
        <v>4</v>
      </c>
      <c r="BT69" s="19">
        <v>2</v>
      </c>
      <c r="BU69" s="19">
        <v>0</v>
      </c>
      <c r="BV69" s="19">
        <v>4</v>
      </c>
      <c r="BW69" s="19">
        <v>2</v>
      </c>
      <c r="BX69" s="19">
        <v>0</v>
      </c>
      <c r="BY69" s="19">
        <v>4</v>
      </c>
      <c r="BZ69" s="19">
        <v>2</v>
      </c>
      <c r="CA69" s="19">
        <v>0</v>
      </c>
      <c r="CB69" s="19"/>
      <c r="CC69" s="19"/>
      <c r="CD69" s="19"/>
      <c r="CE69" s="19"/>
      <c r="CF69" s="19"/>
      <c r="CG69" s="19"/>
      <c r="CH69" s="19"/>
      <c r="CI69" s="19"/>
      <c r="CJ69" s="19"/>
      <c r="CK69" s="19"/>
      <c r="CL69" s="19"/>
      <c r="CM69" s="19"/>
      <c r="CN69" s="19"/>
      <c r="CO69" s="19"/>
      <c r="CP69" s="19"/>
      <c r="CQ69" s="19"/>
      <c r="CR69" s="19"/>
      <c r="CS69" s="19"/>
      <c r="CT69" s="19"/>
      <c r="CU69" s="19"/>
      <c r="CV69" s="19"/>
      <c r="CW69" s="19"/>
      <c r="CX69" s="19"/>
      <c r="CY69" s="19"/>
      <c r="CZ69" s="19"/>
      <c r="DA69" s="17"/>
      <c r="DB69" s="17"/>
      <c r="DC69" s="17"/>
      <c r="DD69" s="19" t="s">
        <v>18</v>
      </c>
      <c r="DE69" s="19">
        <v>0</v>
      </c>
      <c r="DF69" s="19">
        <v>0</v>
      </c>
      <c r="DG69" s="19">
        <v>0</v>
      </c>
      <c r="DH69" s="19">
        <v>2</v>
      </c>
      <c r="DI69" s="19">
        <v>2</v>
      </c>
      <c r="DJ69" s="19">
        <v>6</v>
      </c>
      <c r="DK69" s="19">
        <v>4</v>
      </c>
      <c r="DL69" s="19">
        <v>8</v>
      </c>
      <c r="DM69" s="19">
        <v>6</v>
      </c>
      <c r="DN69" s="19">
        <v>10</v>
      </c>
      <c r="DO69" s="19">
        <v>10</v>
      </c>
      <c r="DP69" s="19">
        <v>12</v>
      </c>
      <c r="DQ69" s="19">
        <v>12</v>
      </c>
      <c r="DR69" s="19">
        <v>14</v>
      </c>
      <c r="DS69" s="19">
        <v>14</v>
      </c>
      <c r="DT69" s="19">
        <v>14</v>
      </c>
      <c r="DU69" s="19">
        <v>16</v>
      </c>
      <c r="DV69" s="19">
        <v>16</v>
      </c>
      <c r="DW69" s="19">
        <v>20</v>
      </c>
      <c r="DX69" s="19">
        <v>18</v>
      </c>
      <c r="DY69" s="19">
        <v>22</v>
      </c>
      <c r="DZ69" s="19"/>
      <c r="EA69" s="19"/>
      <c r="EB69" s="26" t="s">
        <v>326</v>
      </c>
      <c r="EC69" s="19">
        <v>0</v>
      </c>
      <c r="ED69" s="19">
        <v>2</v>
      </c>
      <c r="EE69" s="19">
        <v>4</v>
      </c>
      <c r="EF69" s="19">
        <v>0</v>
      </c>
      <c r="EG69" s="19">
        <v>4</v>
      </c>
      <c r="EH69" s="19">
        <v>0</v>
      </c>
      <c r="EI69" s="19">
        <v>4</v>
      </c>
      <c r="EJ69" s="19">
        <v>0</v>
      </c>
      <c r="EK69" s="19">
        <v>2</v>
      </c>
      <c r="EL69" s="19">
        <v>0</v>
      </c>
      <c r="EM69" s="19">
        <v>2</v>
      </c>
      <c r="EN69" s="19">
        <v>4</v>
      </c>
      <c r="EO69" s="19">
        <v>2</v>
      </c>
      <c r="EP69" s="19">
        <v>4</v>
      </c>
      <c r="EQ69" s="19">
        <v>0</v>
      </c>
      <c r="ER69" s="19">
        <v>4</v>
      </c>
      <c r="ES69" s="19">
        <v>0</v>
      </c>
      <c r="ET69" s="19">
        <v>2</v>
      </c>
      <c r="EU69" s="19">
        <v>0</v>
      </c>
      <c r="EV69" s="19">
        <v>2</v>
      </c>
      <c r="EW69" s="19">
        <v>4</v>
      </c>
      <c r="EX69" s="19">
        <v>2</v>
      </c>
      <c r="EY69" s="19">
        <v>4</v>
      </c>
      <c r="EZ69" s="19">
        <v>0</v>
      </c>
      <c r="FA69" s="19">
        <v>4</v>
      </c>
      <c r="FB69" s="19">
        <v>0</v>
      </c>
      <c r="FC69" s="19"/>
      <c r="FD69" s="19"/>
      <c r="FE69" s="19"/>
      <c r="FF69" s="19"/>
      <c r="FG69" s="19"/>
      <c r="FH69" s="19"/>
      <c r="FI69" s="19"/>
      <c r="FJ69" s="19"/>
      <c r="FK69" s="19"/>
      <c r="FL69" s="19"/>
      <c r="FM69" s="19"/>
      <c r="FN69" s="19"/>
      <c r="FO69" s="19"/>
      <c r="FP69" s="19"/>
      <c r="FQ69" s="19"/>
      <c r="FR69" s="19"/>
      <c r="FS69" s="19"/>
      <c r="FT69" s="19"/>
      <c r="FU69" s="19"/>
      <c r="FV69" s="19"/>
      <c r="FW69" s="19"/>
      <c r="FX69" s="19"/>
      <c r="FY69" s="19"/>
      <c r="FZ69" s="19"/>
      <c r="GA69" s="19"/>
      <c r="GC69" s="19"/>
      <c r="GD69" s="19"/>
      <c r="GE69" s="26" t="s">
        <v>326</v>
      </c>
      <c r="GF69" s="19">
        <v>0</v>
      </c>
      <c r="GG69" s="19">
        <v>2</v>
      </c>
      <c r="GH69" s="19">
        <v>4</v>
      </c>
      <c r="GI69" s="19">
        <v>0</v>
      </c>
      <c r="GJ69" s="19">
        <v>2</v>
      </c>
      <c r="GK69" s="19">
        <v>4</v>
      </c>
      <c r="GL69" s="19">
        <v>0</v>
      </c>
      <c r="GM69" s="19">
        <v>2</v>
      </c>
      <c r="GN69" s="19">
        <v>4</v>
      </c>
      <c r="GO69" s="19">
        <v>2</v>
      </c>
      <c r="GP69" s="19">
        <v>4</v>
      </c>
      <c r="GQ69" s="19">
        <v>0</v>
      </c>
      <c r="GR69" s="19">
        <v>2</v>
      </c>
      <c r="GS69" s="19">
        <v>4</v>
      </c>
      <c r="GT69" s="19">
        <v>0</v>
      </c>
      <c r="GU69" s="19">
        <v>2</v>
      </c>
      <c r="GV69" s="19">
        <v>4</v>
      </c>
      <c r="GW69" s="19">
        <v>0</v>
      </c>
      <c r="GX69" s="19">
        <v>4</v>
      </c>
      <c r="GY69" s="19">
        <v>0</v>
      </c>
      <c r="GZ69" s="19">
        <v>2</v>
      </c>
      <c r="HA69" s="19">
        <v>4</v>
      </c>
      <c r="HB69" s="19">
        <v>0</v>
      </c>
      <c r="HC69" s="19">
        <v>2</v>
      </c>
      <c r="HD69" s="19">
        <v>4</v>
      </c>
      <c r="HE69" s="19">
        <v>0</v>
      </c>
      <c r="HF69" s="19"/>
      <c r="HG69" s="19"/>
      <c r="HH69" s="19"/>
      <c r="HI69" s="19"/>
      <c r="HJ69" s="19"/>
      <c r="HK69" s="19"/>
      <c r="HL69" s="19"/>
      <c r="HM69" s="19"/>
      <c r="HN69" s="19"/>
      <c r="HO69" s="19"/>
      <c r="HP69" s="19"/>
      <c r="HQ69" s="19"/>
      <c r="HR69" s="19"/>
      <c r="HS69" s="19"/>
      <c r="HT69" s="19"/>
      <c r="HU69" s="19"/>
      <c r="HV69" s="19"/>
      <c r="HW69" s="19"/>
      <c r="HX69" s="19"/>
      <c r="HY69" s="19"/>
      <c r="HZ69" s="19"/>
      <c r="IA69" s="19"/>
      <c r="IB69" s="19"/>
      <c r="IC69" s="19"/>
      <c r="ID69" s="19"/>
      <c r="IF69" s="20" t="s">
        <v>326</v>
      </c>
      <c r="IG69" s="20">
        <v>0</v>
      </c>
      <c r="IH69" s="20">
        <v>0</v>
      </c>
      <c r="II69" s="20">
        <v>2</v>
      </c>
      <c r="IJ69" s="20">
        <v>4</v>
      </c>
      <c r="IK69" s="20">
        <v>4</v>
      </c>
      <c r="IL69" s="20">
        <v>0</v>
      </c>
      <c r="IM69" s="20">
        <v>2</v>
      </c>
      <c r="IN69" s="20">
        <v>2</v>
      </c>
      <c r="IO69" s="20">
        <v>4</v>
      </c>
      <c r="IP69" s="20">
        <v>0</v>
      </c>
      <c r="IQ69" s="20">
        <v>2</v>
      </c>
      <c r="IR69" s="20">
        <v>2</v>
      </c>
      <c r="IS69" s="20">
        <v>4</v>
      </c>
      <c r="IT69" s="20">
        <v>0</v>
      </c>
      <c r="IU69" s="20">
        <v>0</v>
      </c>
      <c r="IV69" s="20">
        <v>2</v>
      </c>
      <c r="IW69" s="20">
        <v>4</v>
      </c>
      <c r="IX69" s="20">
        <v>0</v>
      </c>
      <c r="IY69" s="20">
        <v>0</v>
      </c>
      <c r="IZ69" s="20">
        <v>2</v>
      </c>
      <c r="JA69" s="20">
        <v>4</v>
      </c>
      <c r="JB69" s="20">
        <v>4</v>
      </c>
      <c r="JC69" s="20">
        <v>0</v>
      </c>
      <c r="JD69" s="20">
        <v>2</v>
      </c>
      <c r="JE69" s="20">
        <v>2</v>
      </c>
      <c r="JF69" s="20">
        <v>4</v>
      </c>
    </row>
    <row r="70" spans="1:266" x14ac:dyDescent="0.25">
      <c r="A70" s="8"/>
      <c r="B70" s="5" t="s">
        <v>61</v>
      </c>
      <c r="C70" s="8"/>
      <c r="D70" s="7" t="s">
        <v>452</v>
      </c>
      <c r="E70" s="8" t="s">
        <v>58</v>
      </c>
      <c r="F70" s="5" t="s">
        <v>61</v>
      </c>
      <c r="G70" s="8" t="s">
        <v>60</v>
      </c>
      <c r="H70" s="5" t="s">
        <v>61</v>
      </c>
      <c r="I70" s="8">
        <v>35</v>
      </c>
      <c r="J70" s="5" t="s">
        <v>62</v>
      </c>
      <c r="K70" s="4"/>
      <c r="L70" s="6" t="str">
        <f>IF($E$76=$AK$22,"PAL40H40/1,15",IF($E$76=$AK$23,"PAL30H32/1,15","-------"))</f>
        <v>-------</v>
      </c>
      <c r="M70" s="14" t="str">
        <f>INDEX(cenník!$C$2:$I$568,MATCH($L70,cenník!$B$2:$B$557,0),MATCH(M$24,cenník!$C$1:$I$1,0))</f>
        <v>-------</v>
      </c>
      <c r="N70" s="14">
        <f>INDEX(cenník!$C$2:$I$568,MATCH($L70,cenník!$B$2:$B$557,0),MATCH(N$24,cenník!$C$1:$I$1,0))</f>
        <v>0</v>
      </c>
      <c r="O70" s="14">
        <f>IF(L70="-------",0,SUM(Z66:Z81))</f>
        <v>0</v>
      </c>
      <c r="P70" s="21">
        <f>INDEX(cenník!$C$2:$I$568,MATCH($L70,cenník!$B$2:$B$557,0),MATCH(P$24,cenník!$C$1:$I$1,0))</f>
        <v>0</v>
      </c>
      <c r="Q70" s="21">
        <f>O70*P70</f>
        <v>0</v>
      </c>
      <c r="R70" s="22">
        <f t="shared" ref="R70:R88" si="35">$E$75</f>
        <v>0</v>
      </c>
      <c r="S70" s="21">
        <f t="shared" ref="S70:S88" si="36">P70*((100-$E$75)/100)</f>
        <v>0</v>
      </c>
      <c r="T70" s="21">
        <f>O70*S70</f>
        <v>0</v>
      </c>
      <c r="U70" s="21">
        <f>INDEX(cenník!$C$2:$I$568,MATCH($L70,cenník!$B$2:$B$557,0),MATCH(U$24,cenník!$C$1:$I$1,0))*O70</f>
        <v>0</v>
      </c>
      <c r="V70" s="19" t="s">
        <v>395</v>
      </c>
      <c r="W70" s="19">
        <f>IF(G70=$AH$22,$AJ$22,IF(G70=$AH$23,$AJ$23,IF(G70=$AH$24,$AJ$24,IF(G70=$AH$25,$AJ$25,IF(G70=$AH$26,$AJ$26,IF(G70=$AH$27,$AJ$27,IF(G70=$AH$28,$AJ$28,IF(G70=$AH$29,$AJ$29,0))))))))</f>
        <v>1050</v>
      </c>
      <c r="X70" s="25">
        <f t="shared" si="34"/>
        <v>0</v>
      </c>
      <c r="Y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73,$BB$2:$CA$2,0),MATCH($W$65,$AH$22:$AH$47,0)))*C73</f>
        <v>0</v>
      </c>
      <c r="Z7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73,$BB$2:$CA$2,0),MATCH($W$65,$AH$22:$AH$47,0)))*C73</f>
        <v>#N/A</v>
      </c>
      <c r="AA7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73,$BB$2:$CA$2,0),MATCH($W$65,$AH$22:$AH$47,0)))*C73</f>
        <v>#N/A</v>
      </c>
      <c r="AB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73,$BB$2:$CA$2,0),MATCH($W$65,$AH$22:$AH$47,0)))*C73</f>
        <v>0</v>
      </c>
      <c r="AC7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73,$BB$2:$CA$2,0),MATCH($W$65,$AH$22:$AH$47,0)))*C73</f>
        <v>#N/A</v>
      </c>
      <c r="AD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73,$BB$2:$CA$2,0),MATCH($W$65,$AH$22:$AH$47,0)))*C73</f>
        <v>0</v>
      </c>
      <c r="AE70" s="19"/>
      <c r="AF70" s="19"/>
      <c r="AG70" s="19"/>
      <c r="AH70" s="19"/>
      <c r="AI70" s="19"/>
      <c r="AJ70" s="19"/>
      <c r="AK70" s="19"/>
      <c r="AL70" s="19"/>
      <c r="AM70" s="19"/>
      <c r="AN70" s="19"/>
      <c r="AO70" s="19"/>
      <c r="AP70" s="19"/>
      <c r="AQ70" s="19"/>
      <c r="AR70" s="19"/>
      <c r="AS70" s="19"/>
      <c r="AT70" s="19"/>
      <c r="AU70" s="19"/>
      <c r="AV70" s="19"/>
      <c r="AW70" s="19"/>
      <c r="AX70" s="19"/>
      <c r="AY70" s="19"/>
      <c r="AZ70" s="19"/>
      <c r="BA70" s="26" t="s">
        <v>327</v>
      </c>
      <c r="BB70" s="19">
        <v>0</v>
      </c>
      <c r="BC70" s="19">
        <v>0</v>
      </c>
      <c r="BD70" s="19">
        <v>2</v>
      </c>
      <c r="BE70" s="19">
        <v>0</v>
      </c>
      <c r="BF70" s="19">
        <v>2</v>
      </c>
      <c r="BG70" s="19">
        <v>4</v>
      </c>
      <c r="BH70" s="19">
        <v>2</v>
      </c>
      <c r="BI70" s="19">
        <v>4</v>
      </c>
      <c r="BJ70" s="19">
        <v>6</v>
      </c>
      <c r="BK70" s="19">
        <v>4</v>
      </c>
      <c r="BL70" s="19">
        <v>6</v>
      </c>
      <c r="BM70" s="19">
        <v>8</v>
      </c>
      <c r="BN70" s="19">
        <v>6</v>
      </c>
      <c r="BO70" s="19">
        <v>8</v>
      </c>
      <c r="BP70" s="19">
        <v>10</v>
      </c>
      <c r="BQ70" s="19">
        <v>10</v>
      </c>
      <c r="BR70" s="19">
        <v>12</v>
      </c>
      <c r="BS70" s="19">
        <v>10</v>
      </c>
      <c r="BT70" s="19">
        <v>12</v>
      </c>
      <c r="BU70" s="19">
        <v>14</v>
      </c>
      <c r="BV70" s="19">
        <v>12</v>
      </c>
      <c r="BW70" s="19">
        <v>14</v>
      </c>
      <c r="BX70" s="19">
        <v>16</v>
      </c>
      <c r="BY70" s="19">
        <v>14</v>
      </c>
      <c r="BZ70" s="19">
        <v>16</v>
      </c>
      <c r="CA70" s="19">
        <v>18</v>
      </c>
      <c r="CB70" s="19"/>
      <c r="CC70" s="19"/>
      <c r="CD70" s="19"/>
      <c r="CE70" s="19"/>
      <c r="CF70" s="19"/>
      <c r="CG70" s="19"/>
      <c r="CH70" s="19"/>
      <c r="CI70" s="19"/>
      <c r="CJ70" s="19"/>
      <c r="CK70" s="19"/>
      <c r="CL70" s="19"/>
      <c r="CM70" s="19"/>
      <c r="CN70" s="19"/>
      <c r="CO70" s="19"/>
      <c r="CP70" s="19"/>
      <c r="CQ70" s="19"/>
      <c r="CR70" s="19"/>
      <c r="CS70" s="19"/>
      <c r="CT70" s="19"/>
      <c r="CU70" s="19"/>
      <c r="CV70" s="19"/>
      <c r="CW70" s="19"/>
      <c r="CX70" s="19"/>
      <c r="CY70" s="19"/>
      <c r="CZ70" s="19"/>
      <c r="DA70" s="17"/>
      <c r="DB70" s="17"/>
      <c r="DC70" s="17"/>
      <c r="DD70" s="19" t="s">
        <v>179</v>
      </c>
      <c r="DE70" s="19">
        <v>0</v>
      </c>
      <c r="DF70" s="19">
        <v>0</v>
      </c>
      <c r="DG70" s="19">
        <v>4</v>
      </c>
      <c r="DH70" s="19">
        <v>4</v>
      </c>
      <c r="DI70" s="19">
        <v>8</v>
      </c>
      <c r="DJ70" s="19">
        <v>8</v>
      </c>
      <c r="DK70" s="19">
        <v>12</v>
      </c>
      <c r="DL70" s="19">
        <v>12</v>
      </c>
      <c r="DM70" s="19">
        <v>16</v>
      </c>
      <c r="DN70" s="19">
        <v>16</v>
      </c>
      <c r="DO70" s="19">
        <v>20</v>
      </c>
      <c r="DP70" s="19">
        <v>20</v>
      </c>
      <c r="DQ70" s="19">
        <v>24</v>
      </c>
      <c r="DR70" s="19">
        <v>24</v>
      </c>
      <c r="DS70" s="19">
        <v>28</v>
      </c>
      <c r="DT70" s="19">
        <v>32</v>
      </c>
      <c r="DU70" s="19">
        <v>32</v>
      </c>
      <c r="DV70" s="19">
        <v>36</v>
      </c>
      <c r="DW70" s="19">
        <v>36</v>
      </c>
      <c r="DX70" s="19">
        <v>40</v>
      </c>
      <c r="DY70" s="19">
        <v>40</v>
      </c>
      <c r="DZ70" s="19"/>
      <c r="EA70" s="19"/>
      <c r="EB70" s="26" t="s">
        <v>327</v>
      </c>
      <c r="EC70" s="19">
        <v>0</v>
      </c>
      <c r="ED70" s="19">
        <v>0</v>
      </c>
      <c r="EE70" s="19">
        <v>0</v>
      </c>
      <c r="EF70" s="19">
        <v>4</v>
      </c>
      <c r="EG70" s="19">
        <v>2</v>
      </c>
      <c r="EH70" s="19">
        <v>6</v>
      </c>
      <c r="EI70" s="19">
        <v>4</v>
      </c>
      <c r="EJ70" s="19">
        <v>8</v>
      </c>
      <c r="EK70" s="19">
        <v>8</v>
      </c>
      <c r="EL70" s="19">
        <v>10</v>
      </c>
      <c r="EM70" s="19">
        <v>10</v>
      </c>
      <c r="EN70" s="19">
        <v>10</v>
      </c>
      <c r="EO70" s="19">
        <v>12</v>
      </c>
      <c r="EP70" s="19">
        <v>12</v>
      </c>
      <c r="EQ70" s="19">
        <v>16</v>
      </c>
      <c r="ER70" s="19">
        <v>14</v>
      </c>
      <c r="ES70" s="19">
        <v>18</v>
      </c>
      <c r="ET70" s="19">
        <v>18</v>
      </c>
      <c r="EU70" s="19">
        <v>20</v>
      </c>
      <c r="EV70" s="19">
        <v>20</v>
      </c>
      <c r="EW70" s="19">
        <v>20</v>
      </c>
      <c r="EX70" s="19">
        <v>22</v>
      </c>
      <c r="EY70" s="19">
        <v>22</v>
      </c>
      <c r="EZ70" s="19">
        <v>26</v>
      </c>
      <c r="FA70" s="19">
        <v>24</v>
      </c>
      <c r="FB70" s="19">
        <v>28</v>
      </c>
      <c r="FC70" s="19"/>
      <c r="FD70" s="19"/>
      <c r="FE70" s="19"/>
      <c r="FF70" s="19"/>
      <c r="FG70" s="19"/>
      <c r="FH70" s="19"/>
      <c r="FI70" s="19"/>
      <c r="FJ70" s="19"/>
      <c r="FK70" s="19"/>
      <c r="FL70" s="19"/>
      <c r="FM70" s="19"/>
      <c r="FN70" s="19"/>
      <c r="FO70" s="19"/>
      <c r="FP70" s="19"/>
      <c r="FQ70" s="19"/>
      <c r="FR70" s="19"/>
      <c r="FS70" s="19"/>
      <c r="FT70" s="19"/>
      <c r="FU70" s="19"/>
      <c r="FV70" s="19"/>
      <c r="FW70" s="19"/>
      <c r="FX70" s="19"/>
      <c r="FY70" s="19"/>
      <c r="FZ70" s="19"/>
      <c r="GA70" s="19"/>
      <c r="GC70" s="19"/>
      <c r="GD70" s="19"/>
      <c r="GE70" s="26" t="s">
        <v>327</v>
      </c>
      <c r="GF70" s="19">
        <v>0</v>
      </c>
      <c r="GG70" s="19">
        <v>0</v>
      </c>
      <c r="GH70" s="19">
        <v>0</v>
      </c>
      <c r="GI70" s="19">
        <v>4</v>
      </c>
      <c r="GJ70" s="19">
        <v>4</v>
      </c>
      <c r="GK70" s="19">
        <v>4</v>
      </c>
      <c r="GL70" s="19">
        <v>8</v>
      </c>
      <c r="GM70" s="19">
        <v>8</v>
      </c>
      <c r="GN70" s="19">
        <v>8</v>
      </c>
      <c r="GO70" s="19">
        <v>10</v>
      </c>
      <c r="GP70" s="19">
        <v>10</v>
      </c>
      <c r="GQ70" s="19">
        <v>14</v>
      </c>
      <c r="GR70" s="19">
        <v>14</v>
      </c>
      <c r="GS70" s="19">
        <v>14</v>
      </c>
      <c r="GT70" s="19">
        <v>18</v>
      </c>
      <c r="GU70" s="19">
        <v>18</v>
      </c>
      <c r="GV70" s="19">
        <v>18</v>
      </c>
      <c r="GW70" s="19">
        <v>22</v>
      </c>
      <c r="GX70" s="19">
        <v>20</v>
      </c>
      <c r="GY70" s="19">
        <v>24</v>
      </c>
      <c r="GZ70" s="19">
        <v>24</v>
      </c>
      <c r="HA70" s="19">
        <v>24</v>
      </c>
      <c r="HB70" s="19">
        <v>28</v>
      </c>
      <c r="HC70" s="19">
        <v>28</v>
      </c>
      <c r="HD70" s="19">
        <v>28</v>
      </c>
      <c r="HE70" s="19">
        <v>32</v>
      </c>
      <c r="HF70" s="19"/>
      <c r="HG70" s="19"/>
      <c r="HH70" s="19"/>
      <c r="HI70" s="19"/>
      <c r="HJ70" s="19"/>
      <c r="HK70" s="19"/>
      <c r="HL70" s="19"/>
      <c r="HM70" s="19"/>
      <c r="HN70" s="19"/>
      <c r="HO70" s="19"/>
      <c r="HP70" s="19"/>
      <c r="HQ70" s="19"/>
      <c r="HR70" s="19"/>
      <c r="HS70" s="19"/>
      <c r="HT70" s="19"/>
      <c r="HU70" s="19"/>
      <c r="HV70" s="19"/>
      <c r="HW70" s="19"/>
      <c r="HX70" s="19"/>
      <c r="HY70" s="19"/>
      <c r="HZ70" s="19"/>
      <c r="IA70" s="19"/>
      <c r="IB70" s="19"/>
      <c r="IC70" s="19"/>
      <c r="ID70" s="19"/>
      <c r="IF70" s="20" t="s">
        <v>327</v>
      </c>
      <c r="IG70" s="20">
        <v>0</v>
      </c>
      <c r="IH70" s="20">
        <v>2</v>
      </c>
      <c r="II70" s="20">
        <v>2</v>
      </c>
      <c r="IJ70" s="20">
        <v>2</v>
      </c>
      <c r="IK70" s="20">
        <v>4</v>
      </c>
      <c r="IL70" s="20">
        <v>8</v>
      </c>
      <c r="IM70" s="20">
        <v>8</v>
      </c>
      <c r="IN70" s="20">
        <v>10</v>
      </c>
      <c r="IO70" s="20">
        <v>10</v>
      </c>
      <c r="IP70" s="20">
        <v>14</v>
      </c>
      <c r="IQ70" s="20">
        <v>14</v>
      </c>
      <c r="IR70" s="20">
        <v>16</v>
      </c>
      <c r="IS70" s="20">
        <v>16</v>
      </c>
      <c r="IT70" s="20">
        <v>20</v>
      </c>
      <c r="IU70" s="20">
        <v>22</v>
      </c>
      <c r="IV70" s="20">
        <v>22</v>
      </c>
      <c r="IW70" s="20">
        <v>22</v>
      </c>
      <c r="IX70" s="20">
        <v>26</v>
      </c>
      <c r="IY70" s="20">
        <v>28</v>
      </c>
      <c r="IZ70" s="20">
        <v>28</v>
      </c>
      <c r="JA70" s="20">
        <v>28</v>
      </c>
      <c r="JB70" s="20">
        <v>30</v>
      </c>
      <c r="JC70" s="20">
        <v>34</v>
      </c>
      <c r="JD70" s="20">
        <v>34</v>
      </c>
      <c r="JE70" s="20">
        <v>36</v>
      </c>
      <c r="JF70" s="20">
        <v>36</v>
      </c>
    </row>
    <row r="71" spans="1:266" x14ac:dyDescent="0.25">
      <c r="A71" s="8"/>
      <c r="B71" s="5" t="s">
        <v>61</v>
      </c>
      <c r="C71" s="8"/>
      <c r="D71" s="7" t="s">
        <v>453</v>
      </c>
      <c r="E71" s="8">
        <v>1000</v>
      </c>
      <c r="F71" s="5"/>
      <c r="G71" s="5"/>
      <c r="H71" s="5"/>
      <c r="I71" s="5"/>
      <c r="J71" s="5" t="s">
        <v>62</v>
      </c>
      <c r="K71" s="4"/>
      <c r="L71" s="6" t="str">
        <f>IF($E$76=$AK$22,"PAL40H40/2,1",IF($E$76=$AK$23,"PAL30H32/2,1","-------"))</f>
        <v>-------</v>
      </c>
      <c r="M71" s="14" t="str">
        <f>INDEX(cenník!$C$2:$I$568,MATCH($L71,cenník!$B$2:$B$557,0),MATCH(M$24,cenník!$C$1:$I$1,0))</f>
        <v>-------</v>
      </c>
      <c r="N71" s="14">
        <f>INDEX(cenník!$C$2:$I$568,MATCH($L71,cenník!$B$2:$B$557,0),MATCH(N$24,cenník!$C$1:$I$1,0))</f>
        <v>0</v>
      </c>
      <c r="O71" s="14">
        <f>IF(L71="-------",0,SUM(AA66:AA81))</f>
        <v>0</v>
      </c>
      <c r="P71" s="21">
        <f>INDEX(cenník!$C$2:$I$568,MATCH($L71,cenník!$B$2:$B$557,0),MATCH(P$24,cenník!$C$1:$I$1,0))</f>
        <v>0</v>
      </c>
      <c r="Q71" s="21">
        <f>O71*P71</f>
        <v>0</v>
      </c>
      <c r="R71" s="22">
        <f t="shared" si="35"/>
        <v>0</v>
      </c>
      <c r="S71" s="21">
        <f t="shared" si="36"/>
        <v>0</v>
      </c>
      <c r="T71" s="21">
        <f t="shared" ref="T71:T86" si="37">O71*S71</f>
        <v>0</v>
      </c>
      <c r="U71" s="21">
        <f>INDEX(cenník!$C$2:$I$568,MATCH($L71,cenník!$B$2:$B$557,0),MATCH(U$24,cenník!$C$1:$I$1,0))*O71</f>
        <v>0</v>
      </c>
      <c r="V71" s="19" t="s">
        <v>396</v>
      </c>
      <c r="W71" s="19">
        <f>IF(E70=$AH$30,$AJ$30,IF(E70=$AH$31,$AJ$31,IF(E70=$AH$32,$AJ$32,IF(E70=$AH$33,$AJ$33,IF(E70=$AH$34,$AJ$34,IF(E70=$AH$35,$AJ$35,IF(E70=$AH$36,$AJ$36,IF(E70=$AH$37,$AJ$37,IF(E70=$AH$38,$AJ$38,IF(E70=$AH$39,$AJ$39,IF(E70=$AH$40,$AJ$40,IF(E70=$AH$41,$AJ$41,IF(E70=$AH$42,$AJ$42,IF(E70=$AH$43,$AJ$43,IF(E70=$AH$44,$AJ$44,IF(E70=$AH$45,$AJ$45,IF(E70=$AH$46,$AJ$46,IF(E70=$AH$47,$AJ$47,0))))))))))))))))))</f>
        <v>2000</v>
      </c>
      <c r="X71" s="25">
        <f t="shared" si="34"/>
        <v>0</v>
      </c>
      <c r="Y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74,$BB$2:$CA$2,0),MATCH($W$65,$AH$22:$AH$47,0)))*C74</f>
        <v>0</v>
      </c>
      <c r="Z7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74,$BB$2:$CA$2,0),MATCH($W$65,$AH$22:$AH$47,0)))*C74</f>
        <v>#N/A</v>
      </c>
      <c r="AA7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74,$BB$2:$CA$2,0),MATCH($W$65,$AH$22:$AH$47,0)))*C74</f>
        <v>#N/A</v>
      </c>
      <c r="AB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74,$BB$2:$CA$2,0),MATCH($W$65,$AH$22:$AH$47,0)))*C74</f>
        <v>0</v>
      </c>
      <c r="AC7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74,$BB$2:$CA$2,0),MATCH($W$65,$AH$22:$AH$47,0)))*C74</f>
        <v>#N/A</v>
      </c>
      <c r="AD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74,$BB$2:$CA$2,0),MATCH($W$65,$AH$22:$AH$47,0)))*C74</f>
        <v>0</v>
      </c>
      <c r="AE71" s="19"/>
      <c r="AF71" s="19"/>
      <c r="AG71" s="19"/>
      <c r="AH71" s="19"/>
      <c r="AI71" s="19"/>
      <c r="AJ71" s="19"/>
      <c r="AK71" s="19"/>
      <c r="AL71" s="19"/>
      <c r="AM71" s="19"/>
      <c r="AN71" s="19"/>
      <c r="AO71" s="19"/>
      <c r="AP71" s="19"/>
      <c r="AQ71" s="19"/>
      <c r="AR71" s="19"/>
      <c r="AS71" s="19"/>
      <c r="AT71" s="19"/>
      <c r="AU71" s="19"/>
      <c r="AV71" s="19"/>
      <c r="AW71" s="19"/>
      <c r="AX71" s="19"/>
      <c r="AY71" s="19"/>
      <c r="AZ71" s="19"/>
      <c r="BA71" s="26" t="s">
        <v>328</v>
      </c>
      <c r="BB71" s="19">
        <v>0</v>
      </c>
      <c r="BC71" s="19">
        <v>0</v>
      </c>
      <c r="BD71" s="19">
        <v>0</v>
      </c>
      <c r="BE71" s="19">
        <v>2</v>
      </c>
      <c r="BF71" s="19">
        <v>2</v>
      </c>
      <c r="BG71" s="19">
        <v>2</v>
      </c>
      <c r="BH71" s="19">
        <v>4</v>
      </c>
      <c r="BI71" s="19">
        <v>4</v>
      </c>
      <c r="BJ71" s="19">
        <v>4</v>
      </c>
      <c r="BK71" s="19">
        <v>6</v>
      </c>
      <c r="BL71" s="19">
        <v>6</v>
      </c>
      <c r="BM71" s="19">
        <v>6</v>
      </c>
      <c r="BN71" s="19">
        <v>8</v>
      </c>
      <c r="BO71" s="19">
        <v>8</v>
      </c>
      <c r="BP71" s="19">
        <v>8</v>
      </c>
      <c r="BQ71" s="19">
        <v>10</v>
      </c>
      <c r="BR71" s="19">
        <v>10</v>
      </c>
      <c r="BS71" s="19">
        <v>12</v>
      </c>
      <c r="BT71" s="19">
        <v>12</v>
      </c>
      <c r="BU71" s="19">
        <v>12</v>
      </c>
      <c r="BV71" s="19">
        <v>14</v>
      </c>
      <c r="BW71" s="19">
        <v>14</v>
      </c>
      <c r="BX71" s="19">
        <v>14</v>
      </c>
      <c r="BY71" s="19">
        <v>16</v>
      </c>
      <c r="BZ71" s="19">
        <v>16</v>
      </c>
      <c r="CA71" s="19">
        <v>16</v>
      </c>
      <c r="CB71" s="19"/>
      <c r="CC71" s="19"/>
      <c r="CD71" s="19"/>
      <c r="CE71" s="19"/>
      <c r="CF71" s="19"/>
      <c r="CG71" s="19"/>
      <c r="CH71" s="19"/>
      <c r="CI71" s="19"/>
      <c r="CJ71" s="19"/>
      <c r="CK71" s="19"/>
      <c r="CL71" s="19"/>
      <c r="CM71" s="19"/>
      <c r="CN71" s="19"/>
      <c r="CO71" s="19"/>
      <c r="CP71" s="19"/>
      <c r="CQ71" s="19"/>
      <c r="CR71" s="19"/>
      <c r="CS71" s="19"/>
      <c r="CT71" s="19"/>
      <c r="CU71" s="19"/>
      <c r="CV71" s="19"/>
      <c r="CW71" s="19"/>
      <c r="CX71" s="19"/>
      <c r="CY71" s="19"/>
      <c r="CZ71" s="19"/>
      <c r="DA71" s="17"/>
      <c r="DB71" s="17"/>
      <c r="DC71" s="17"/>
      <c r="DD71" s="19" t="s">
        <v>236</v>
      </c>
      <c r="DE71" s="19">
        <v>0</v>
      </c>
      <c r="DF71" s="19">
        <v>2</v>
      </c>
      <c r="DG71" s="19">
        <v>4</v>
      </c>
      <c r="DH71" s="19">
        <v>2</v>
      </c>
      <c r="DI71" s="19">
        <v>4</v>
      </c>
      <c r="DJ71" s="19">
        <v>0</v>
      </c>
      <c r="DK71" s="19">
        <v>4</v>
      </c>
      <c r="DL71" s="19">
        <v>0</v>
      </c>
      <c r="DM71" s="19">
        <v>4</v>
      </c>
      <c r="DN71" s="19">
        <v>0</v>
      </c>
      <c r="DO71" s="19">
        <v>2</v>
      </c>
      <c r="DP71" s="19">
        <v>0</v>
      </c>
      <c r="DQ71" s="19">
        <v>2</v>
      </c>
      <c r="DR71" s="19">
        <v>0</v>
      </c>
      <c r="DS71" s="19">
        <v>2</v>
      </c>
      <c r="DT71" s="19">
        <v>4</v>
      </c>
      <c r="DU71" s="19">
        <v>2</v>
      </c>
      <c r="DV71" s="19">
        <v>4</v>
      </c>
      <c r="DW71" s="19">
        <v>0</v>
      </c>
      <c r="DX71" s="19">
        <v>4</v>
      </c>
      <c r="DY71" s="19">
        <v>0</v>
      </c>
      <c r="DZ71" s="19"/>
      <c r="EA71" s="19"/>
      <c r="EB71" s="26" t="s">
        <v>328</v>
      </c>
      <c r="EC71" s="19">
        <v>0</v>
      </c>
      <c r="ED71" s="19">
        <v>0</v>
      </c>
      <c r="EE71" s="19">
        <v>2</v>
      </c>
      <c r="EF71" s="19">
        <v>2</v>
      </c>
      <c r="EG71" s="19">
        <v>4</v>
      </c>
      <c r="EH71" s="19">
        <v>4</v>
      </c>
      <c r="EI71" s="19">
        <v>6</v>
      </c>
      <c r="EJ71" s="19">
        <v>6</v>
      </c>
      <c r="EK71" s="19">
        <v>8</v>
      </c>
      <c r="EL71" s="19">
        <v>8</v>
      </c>
      <c r="EM71" s="19">
        <v>10</v>
      </c>
      <c r="EN71" s="19">
        <v>12</v>
      </c>
      <c r="EO71" s="19">
        <v>12</v>
      </c>
      <c r="EP71" s="19">
        <v>14</v>
      </c>
      <c r="EQ71" s="19">
        <v>14</v>
      </c>
      <c r="ER71" s="19">
        <v>16</v>
      </c>
      <c r="ES71" s="19">
        <v>16</v>
      </c>
      <c r="ET71" s="19">
        <v>18</v>
      </c>
      <c r="EU71" s="19">
        <v>18</v>
      </c>
      <c r="EV71" s="19">
        <v>20</v>
      </c>
      <c r="EW71" s="19">
        <v>22</v>
      </c>
      <c r="EX71" s="19">
        <v>22</v>
      </c>
      <c r="EY71" s="19">
        <v>24</v>
      </c>
      <c r="EZ71" s="19">
        <v>24</v>
      </c>
      <c r="FA71" s="19">
        <v>26</v>
      </c>
      <c r="FB71" s="19">
        <v>26</v>
      </c>
      <c r="FC71" s="19"/>
      <c r="FD71" s="19"/>
      <c r="FE71" s="19"/>
      <c r="FF71" s="19"/>
      <c r="FG71" s="19"/>
      <c r="FH71" s="19"/>
      <c r="FI71" s="19"/>
      <c r="FJ71" s="19"/>
      <c r="FK71" s="19"/>
      <c r="FL71" s="19"/>
      <c r="FM71" s="19"/>
      <c r="FN71" s="19"/>
      <c r="FO71" s="19"/>
      <c r="FP71" s="19"/>
      <c r="FQ71" s="19"/>
      <c r="FR71" s="19"/>
      <c r="FS71" s="19"/>
      <c r="FT71" s="19"/>
      <c r="FU71" s="19"/>
      <c r="FV71" s="19"/>
      <c r="FW71" s="19"/>
      <c r="FX71" s="19"/>
      <c r="FY71" s="19"/>
      <c r="FZ71" s="19"/>
      <c r="GA71" s="19"/>
      <c r="GC71" s="19"/>
      <c r="GD71" s="19"/>
      <c r="GE71" s="26" t="s">
        <v>328</v>
      </c>
      <c r="GF71" s="19">
        <v>0</v>
      </c>
      <c r="GG71" s="19">
        <v>0</v>
      </c>
      <c r="GH71" s="19">
        <v>2</v>
      </c>
      <c r="GI71" s="19">
        <v>2</v>
      </c>
      <c r="GJ71" s="19">
        <v>4</v>
      </c>
      <c r="GK71" s="19">
        <v>6</v>
      </c>
      <c r="GL71" s="19">
        <v>6</v>
      </c>
      <c r="GM71" s="19">
        <v>8</v>
      </c>
      <c r="GN71" s="19">
        <v>10</v>
      </c>
      <c r="GO71" s="19">
        <v>10</v>
      </c>
      <c r="GP71" s="19">
        <v>12</v>
      </c>
      <c r="GQ71" s="19">
        <v>12</v>
      </c>
      <c r="GR71" s="19">
        <v>14</v>
      </c>
      <c r="GS71" s="19">
        <v>16</v>
      </c>
      <c r="GT71" s="19">
        <v>16</v>
      </c>
      <c r="GU71" s="19">
        <v>18</v>
      </c>
      <c r="GV71" s="19">
        <v>20</v>
      </c>
      <c r="GW71" s="19">
        <v>20</v>
      </c>
      <c r="GX71" s="19">
        <v>22</v>
      </c>
      <c r="GY71" s="19">
        <v>22</v>
      </c>
      <c r="GZ71" s="19">
        <v>24</v>
      </c>
      <c r="HA71" s="19">
        <v>26</v>
      </c>
      <c r="HB71" s="19">
        <v>26</v>
      </c>
      <c r="HC71" s="19">
        <v>28</v>
      </c>
      <c r="HD71" s="19">
        <v>30</v>
      </c>
      <c r="HE71" s="19">
        <v>30</v>
      </c>
      <c r="HF71" s="19"/>
      <c r="HG71" s="19"/>
      <c r="HH71" s="19"/>
      <c r="HI71" s="19"/>
      <c r="HJ71" s="19"/>
      <c r="HK71" s="19"/>
      <c r="HL71" s="19"/>
      <c r="HM71" s="19"/>
      <c r="HN71" s="19"/>
      <c r="HO71" s="19"/>
      <c r="HP71" s="19"/>
      <c r="HQ71" s="19"/>
      <c r="HR71" s="19"/>
      <c r="HS71" s="19"/>
      <c r="HT71" s="19"/>
      <c r="HU71" s="19"/>
      <c r="HV71" s="19"/>
      <c r="HW71" s="19"/>
      <c r="HX71" s="19"/>
      <c r="HY71" s="19"/>
      <c r="HZ71" s="19"/>
      <c r="IA71" s="19"/>
      <c r="IB71" s="19"/>
      <c r="IC71" s="19"/>
      <c r="ID71" s="19"/>
      <c r="IF71" s="20" t="s">
        <v>328</v>
      </c>
      <c r="IG71" s="20">
        <v>0</v>
      </c>
      <c r="IH71" s="20">
        <v>0</v>
      </c>
      <c r="II71" s="20">
        <v>2</v>
      </c>
      <c r="IJ71" s="20">
        <v>4</v>
      </c>
      <c r="IK71" s="20">
        <v>6</v>
      </c>
      <c r="IL71" s="20">
        <v>6</v>
      </c>
      <c r="IM71" s="20">
        <v>8</v>
      </c>
      <c r="IN71" s="20">
        <v>10</v>
      </c>
      <c r="IO71" s="20">
        <v>12</v>
      </c>
      <c r="IP71" s="20">
        <v>12</v>
      </c>
      <c r="IQ71" s="20">
        <v>14</v>
      </c>
      <c r="IR71" s="20">
        <v>16</v>
      </c>
      <c r="IS71" s="20">
        <v>18</v>
      </c>
      <c r="IT71" s="20">
        <v>18</v>
      </c>
      <c r="IU71" s="20">
        <v>20</v>
      </c>
      <c r="IV71" s="20">
        <v>22</v>
      </c>
      <c r="IW71" s="20">
        <v>24</v>
      </c>
      <c r="IX71" s="20">
        <v>24</v>
      </c>
      <c r="IY71" s="20">
        <v>26</v>
      </c>
      <c r="IZ71" s="20">
        <v>28</v>
      </c>
      <c r="JA71" s="20">
        <v>30</v>
      </c>
      <c r="JB71" s="20">
        <v>32</v>
      </c>
      <c r="JC71" s="20">
        <v>32</v>
      </c>
      <c r="JD71" s="20">
        <v>34</v>
      </c>
      <c r="JE71" s="20">
        <v>36</v>
      </c>
      <c r="JF71" s="20">
        <v>38</v>
      </c>
    </row>
    <row r="72" spans="1:266" x14ac:dyDescent="0.25">
      <c r="A72" s="8"/>
      <c r="B72" s="5" t="s">
        <v>61</v>
      </c>
      <c r="C72" s="8"/>
      <c r="D72" s="7" t="s">
        <v>454</v>
      </c>
      <c r="E72" s="8" t="s">
        <v>462</v>
      </c>
      <c r="F72" s="5"/>
      <c r="G72" s="5"/>
      <c r="H72" s="5"/>
      <c r="I72" s="5"/>
      <c r="J72" s="5"/>
      <c r="K72" s="4"/>
      <c r="L72" s="6" t="str">
        <f>IF($E$76=$AK$22,"PAL40H40/2,2",IF($E$76=$AK$23,"PAL30H32/2,2",IF($E$76=$AK$24,"CWP40H35/2,2MC","-------")))</f>
        <v>CWP40H35/2,2MC</v>
      </c>
      <c r="M72" s="14">
        <f>INDEX(cenník!$C$2:$I$568,MATCH($L72,cenník!$B$2:$B$557,0),MATCH(M$24,cenník!$C$1:$I$1,0))</f>
        <v>620412</v>
      </c>
      <c r="N72" s="14" t="str">
        <f>INDEX(cenník!$C$2:$I$568,MATCH($L72,cenník!$B$2:$B$557,0),MATCH(N$24,cenník!$C$1:$I$1,0))</f>
        <v>ks</v>
      </c>
      <c r="O72" s="14">
        <f>SUM(AB66:AB81)</f>
        <v>0</v>
      </c>
      <c r="P72" s="21">
        <f>INDEX(cenník!$C$2:$I$568,MATCH($L72,cenník!$B$2:$B$557,0),MATCH(P$24,cenník!$C$1:$I$1,0))</f>
        <v>14.01</v>
      </c>
      <c r="Q72" s="21">
        <f t="shared" ref="Q72:Q86" si="38">O72*P72</f>
        <v>0</v>
      </c>
      <c r="R72" s="22">
        <f t="shared" si="35"/>
        <v>0</v>
      </c>
      <c r="S72" s="21">
        <f t="shared" si="36"/>
        <v>14.01</v>
      </c>
      <c r="T72" s="21">
        <f t="shared" si="37"/>
        <v>0</v>
      </c>
      <c r="U72" s="21">
        <f>INDEX(cenník!$C$2:$I$568,MATCH($L72,cenník!$B$2:$B$557,0),MATCH(U$24,cenník!$C$1:$I$1,0))*O72</f>
        <v>0</v>
      </c>
      <c r="V72" s="19"/>
      <c r="W72" s="19"/>
      <c r="X72" s="25">
        <f t="shared" si="34"/>
        <v>0</v>
      </c>
      <c r="Y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75,$BB$2:$CA$2,0),MATCH($W$65,$AH$22:$AH$47,0)))*C75</f>
        <v>0</v>
      </c>
      <c r="Z72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75,$BB$2:$CA$2,0),MATCH($W$65,$AH$22:$AH$47,0)))*C75</f>
        <v>#N/A</v>
      </c>
      <c r="AA72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75,$BB$2:$CA$2,0),MATCH($W$65,$AH$22:$AH$47,0)))*C75</f>
        <v>#N/A</v>
      </c>
      <c r="AB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75,$BB$2:$CA$2,0),MATCH($W$65,$AH$22:$AH$47,0)))*C75</f>
        <v>0</v>
      </c>
      <c r="AC72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75,$BB$2:$CA$2,0),MATCH($W$65,$AH$22:$AH$47,0)))*C75</f>
        <v>#N/A</v>
      </c>
      <c r="AD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75,$BB$2:$CA$2,0),MATCH($W$65,$AH$22:$AH$47,0)))*C75</f>
        <v>0</v>
      </c>
      <c r="AE72" s="19"/>
      <c r="AF72" s="19"/>
      <c r="AG72" s="19"/>
      <c r="AH72" s="19"/>
      <c r="AI72" s="19"/>
      <c r="AJ72" s="19"/>
      <c r="AK72" s="19"/>
      <c r="AL72" s="19"/>
      <c r="AM72" s="19"/>
      <c r="AN72" s="19"/>
      <c r="AO72" s="19"/>
      <c r="AP72" s="19"/>
      <c r="AQ72" s="19"/>
      <c r="AR72" s="19"/>
      <c r="AS72" s="19"/>
      <c r="AT72" s="19"/>
      <c r="AU72" s="19"/>
      <c r="AV72" s="19"/>
      <c r="AW72" s="19"/>
      <c r="AX72" s="19"/>
      <c r="AY72" s="19"/>
      <c r="AZ72" s="19"/>
      <c r="BA72" s="26"/>
      <c r="BB72" s="19"/>
      <c r="BC72" s="19"/>
      <c r="BD72" s="19"/>
      <c r="BE72" s="19"/>
      <c r="BF72" s="19"/>
      <c r="BG72" s="19"/>
      <c r="BH72" s="19"/>
      <c r="BI72" s="19"/>
      <c r="BJ72" s="19"/>
      <c r="BK72" s="19"/>
      <c r="BL72" s="19"/>
      <c r="BM72" s="19"/>
      <c r="BN72" s="19"/>
      <c r="BO72" s="19"/>
      <c r="BP72" s="19"/>
      <c r="BQ72" s="19"/>
      <c r="BR72" s="19"/>
      <c r="BS72" s="19"/>
      <c r="BT72" s="19"/>
      <c r="BU72" s="19"/>
      <c r="BV72" s="19"/>
      <c r="BW72" s="19"/>
      <c r="BX72" s="19"/>
      <c r="BY72" s="19"/>
      <c r="BZ72" s="19"/>
      <c r="CA72" s="19"/>
      <c r="CB72" s="19"/>
      <c r="CC72" s="19"/>
      <c r="CD72" s="19"/>
      <c r="CE72" s="19"/>
      <c r="CF72" s="19"/>
      <c r="CG72" s="19"/>
      <c r="CH72" s="19"/>
      <c r="CI72" s="19"/>
      <c r="CJ72" s="19"/>
      <c r="CK72" s="19"/>
      <c r="CL72" s="19"/>
      <c r="CM72" s="19"/>
      <c r="CN72" s="19"/>
      <c r="CO72" s="19"/>
      <c r="CP72" s="19"/>
      <c r="CQ72" s="19"/>
      <c r="CR72" s="19"/>
      <c r="CS72" s="19"/>
      <c r="CT72" s="19"/>
      <c r="CU72" s="19"/>
      <c r="CV72" s="19"/>
      <c r="CW72" s="19"/>
      <c r="CX72" s="19"/>
      <c r="CY72" s="19"/>
      <c r="CZ72" s="19"/>
      <c r="DA72" s="17"/>
      <c r="DB72" s="17"/>
      <c r="DC72" s="17"/>
      <c r="DD72" s="19" t="s">
        <v>238</v>
      </c>
      <c r="DE72" s="19">
        <v>0</v>
      </c>
      <c r="DF72" s="19">
        <v>0</v>
      </c>
      <c r="DG72" s="19">
        <v>0</v>
      </c>
      <c r="DH72" s="19">
        <v>2</v>
      </c>
      <c r="DI72" s="19">
        <v>2</v>
      </c>
      <c r="DJ72" s="19">
        <v>6</v>
      </c>
      <c r="DK72" s="19">
        <v>4</v>
      </c>
      <c r="DL72" s="19">
        <v>8</v>
      </c>
      <c r="DM72" s="19">
        <v>6</v>
      </c>
      <c r="DN72" s="19">
        <v>10</v>
      </c>
      <c r="DO72" s="19">
        <v>10</v>
      </c>
      <c r="DP72" s="19">
        <v>12</v>
      </c>
      <c r="DQ72" s="19">
        <v>12</v>
      </c>
      <c r="DR72" s="19">
        <v>14</v>
      </c>
      <c r="DS72" s="19">
        <v>14</v>
      </c>
      <c r="DT72" s="19">
        <v>14</v>
      </c>
      <c r="DU72" s="19">
        <v>16</v>
      </c>
      <c r="DV72" s="19">
        <v>16</v>
      </c>
      <c r="DW72" s="19">
        <v>20</v>
      </c>
      <c r="DX72" s="19">
        <v>18</v>
      </c>
      <c r="DY72" s="19">
        <v>22</v>
      </c>
      <c r="DZ72" s="19"/>
      <c r="EA72" s="19"/>
      <c r="EB72" s="19"/>
      <c r="EC72" s="19"/>
      <c r="ED72" s="19"/>
      <c r="EE72" s="19"/>
      <c r="EF72" s="19"/>
      <c r="EG72" s="19"/>
      <c r="EH72" s="19"/>
      <c r="EI72" s="19"/>
      <c r="EJ72" s="19"/>
      <c r="EK72" s="19"/>
      <c r="EL72" s="19"/>
      <c r="EM72" s="19"/>
      <c r="EN72" s="19"/>
      <c r="EO72" s="19"/>
      <c r="EP72" s="19"/>
      <c r="EQ72" s="19"/>
      <c r="ER72" s="19"/>
      <c r="ES72" s="19"/>
      <c r="ET72" s="19"/>
      <c r="EU72" s="19"/>
      <c r="EV72" s="19"/>
      <c r="EW72" s="19"/>
      <c r="EX72" s="19"/>
      <c r="EY72" s="19"/>
      <c r="EZ72" s="19"/>
      <c r="FA72" s="19"/>
      <c r="FB72" s="19"/>
      <c r="FC72" s="19"/>
      <c r="FD72" s="19"/>
      <c r="FE72" s="19"/>
      <c r="FF72" s="19"/>
      <c r="FG72" s="19"/>
      <c r="FH72" s="19"/>
      <c r="FI72" s="19"/>
      <c r="FJ72" s="19"/>
      <c r="FK72" s="19"/>
      <c r="FL72" s="19"/>
      <c r="FM72" s="19"/>
      <c r="FN72" s="19"/>
      <c r="FO72" s="19"/>
      <c r="FP72" s="19"/>
      <c r="FQ72" s="19"/>
      <c r="FR72" s="19"/>
      <c r="FS72" s="19"/>
      <c r="FT72" s="19"/>
      <c r="FU72" s="19"/>
      <c r="FV72" s="19"/>
      <c r="FW72" s="19"/>
      <c r="FX72" s="19"/>
      <c r="FY72" s="19"/>
      <c r="FZ72" s="19"/>
      <c r="GA72" s="19"/>
      <c r="GC72" s="19"/>
      <c r="GD72" s="19"/>
      <c r="GE72" s="19"/>
      <c r="GF72" s="19"/>
      <c r="GG72" s="19"/>
      <c r="GH72" s="19"/>
      <c r="GI72" s="19"/>
      <c r="GJ72" s="19"/>
      <c r="GK72" s="19"/>
      <c r="GL72" s="19"/>
      <c r="GM72" s="19"/>
      <c r="GN72" s="19"/>
      <c r="GO72" s="19"/>
      <c r="GP72" s="19"/>
      <c r="GQ72" s="19"/>
      <c r="GR72" s="19"/>
      <c r="GS72" s="19"/>
      <c r="GT72" s="19"/>
      <c r="GU72" s="19"/>
      <c r="GV72" s="19"/>
      <c r="GW72" s="19"/>
      <c r="GX72" s="19"/>
      <c r="GY72" s="19"/>
      <c r="GZ72" s="19"/>
      <c r="HA72" s="19"/>
      <c r="HB72" s="19"/>
      <c r="HC72" s="19"/>
      <c r="HD72" s="19"/>
      <c r="HE72" s="19"/>
      <c r="HF72" s="19"/>
      <c r="HG72" s="19"/>
      <c r="HH72" s="19"/>
      <c r="HI72" s="19"/>
      <c r="HJ72" s="19"/>
      <c r="HK72" s="19"/>
      <c r="HL72" s="19"/>
      <c r="HM72" s="19"/>
      <c r="HN72" s="19"/>
      <c r="HO72" s="19"/>
      <c r="HP72" s="19"/>
      <c r="HQ72" s="19"/>
      <c r="HR72" s="19"/>
      <c r="HS72" s="19"/>
      <c r="HT72" s="19"/>
      <c r="HU72" s="19"/>
      <c r="HV72" s="19"/>
      <c r="HW72" s="19"/>
      <c r="HX72" s="19"/>
      <c r="HY72" s="19"/>
      <c r="HZ72" s="19"/>
      <c r="IA72" s="19"/>
      <c r="IB72" s="19"/>
      <c r="IC72" s="19"/>
      <c r="ID72" s="19"/>
    </row>
    <row r="73" spans="1:266" x14ac:dyDescent="0.25">
      <c r="A73" s="8"/>
      <c r="B73" s="5" t="s">
        <v>61</v>
      </c>
      <c r="C73" s="8"/>
      <c r="D73" s="7" t="s">
        <v>455</v>
      </c>
      <c r="E73" s="8" t="s">
        <v>464</v>
      </c>
      <c r="F73" s="126" t="str">
        <f>IF(E76="40x35 oceľ","niekompatybilne z profilem stalowym","")</f>
        <v>niekompatybilne z profilem stalowym</v>
      </c>
      <c r="G73" s="5"/>
      <c r="H73" s="5"/>
      <c r="I73" s="5"/>
      <c r="J73" s="5"/>
      <c r="K73" s="4"/>
      <c r="L73" s="6" t="str">
        <f>IF($E$76=$AK$22,"PAL40H40/3,15",IF($E$76=$AK$23,"PAL30H32/3,15","-------"))</f>
        <v>-------</v>
      </c>
      <c r="M73" s="14" t="str">
        <f>INDEX(cenník!$C$2:$I$568,MATCH($L73,cenník!$B$2:$B$557,0),MATCH(M$24,cenník!$C$1:$I$1,0))</f>
        <v>-------</v>
      </c>
      <c r="N73" s="14">
        <f>INDEX(cenník!$C$2:$I$568,MATCH($L73,cenník!$B$2:$B$557,0),MATCH(N$24,cenník!$C$1:$I$1,0))</f>
        <v>0</v>
      </c>
      <c r="O73" s="14">
        <f>IF(L73="-------",0,SUM(AC66:AC81))</f>
        <v>0</v>
      </c>
      <c r="P73" s="21">
        <f>INDEX(cenník!$C$2:$I$568,MATCH($L73,cenník!$B$2:$B$557,0),MATCH(P$24,cenník!$C$1:$I$1,0))</f>
        <v>0</v>
      </c>
      <c r="Q73" s="21">
        <f t="shared" si="38"/>
        <v>0</v>
      </c>
      <c r="R73" s="22">
        <f t="shared" si="35"/>
        <v>0</v>
      </c>
      <c r="S73" s="21">
        <f t="shared" si="36"/>
        <v>0</v>
      </c>
      <c r="T73" s="21">
        <f t="shared" si="37"/>
        <v>0</v>
      </c>
      <c r="U73" s="21">
        <f>INDEX(cenník!$C$2:$I$568,MATCH($L73,cenník!$B$2:$B$557,0),MATCH(U$24,cenník!$C$1:$I$1,0))*O73</f>
        <v>0</v>
      </c>
      <c r="V73" s="19"/>
      <c r="W73" s="19"/>
      <c r="X73" s="25">
        <f t="shared" si="34"/>
        <v>0</v>
      </c>
      <c r="Y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76,$BB$2:$CA$2,0),MATCH($W$65,$AH$22:$AH$47,0)))*C76</f>
        <v>0</v>
      </c>
      <c r="Z73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76,$BB$2:$CA$2,0),MATCH($W$65,$AH$22:$AH$47,0)))*C76</f>
        <v>#N/A</v>
      </c>
      <c r="AA73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76,$BB$2:$CA$2,0),MATCH($W$65,$AH$22:$AH$47,0)))*C76</f>
        <v>#N/A</v>
      </c>
      <c r="AB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76,$BB$2:$CA$2,0),MATCH($W$65,$AH$22:$AH$47,0)))*C76</f>
        <v>0</v>
      </c>
      <c r="AC73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76,$BB$2:$CA$2,0),MATCH($W$65,$AH$22:$AH$47,0)))*C76</f>
        <v>#N/A</v>
      </c>
      <c r="AD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76,$BB$2:$CA$2,0),MATCH($W$65,$AH$22:$AH$47,0)))*C76</f>
        <v>0</v>
      </c>
      <c r="AE73" s="19"/>
      <c r="AF73" s="19"/>
      <c r="AG73" s="19"/>
      <c r="AH73" s="19"/>
      <c r="AI73" s="19"/>
      <c r="AJ73" s="19"/>
      <c r="AK73" s="19"/>
      <c r="AL73" s="19"/>
      <c r="AM73" s="19"/>
      <c r="AN73" s="19"/>
      <c r="AO73" s="19"/>
      <c r="AP73" s="19"/>
      <c r="AQ73" s="19"/>
      <c r="AR73" s="19"/>
      <c r="AS73" s="19"/>
      <c r="AT73" s="19"/>
      <c r="AU73" s="19"/>
      <c r="AV73" s="19"/>
      <c r="AW73" s="19"/>
      <c r="AX73" s="19"/>
      <c r="AY73" s="19"/>
      <c r="AZ73" s="19"/>
      <c r="BA73" s="19" t="s">
        <v>329</v>
      </c>
      <c r="BB73" s="19"/>
      <c r="BC73" s="19"/>
      <c r="BD73" s="19"/>
      <c r="BE73" s="19"/>
      <c r="BF73" s="19"/>
      <c r="BG73" s="19"/>
      <c r="BH73" s="19"/>
      <c r="BI73" s="19"/>
      <c r="BJ73" s="19"/>
      <c r="BK73" s="19"/>
      <c r="BL73" s="19"/>
      <c r="BM73" s="19"/>
      <c r="BN73" s="19"/>
      <c r="BO73" s="19"/>
      <c r="BP73" s="19"/>
      <c r="BQ73" s="19"/>
      <c r="BR73" s="19"/>
      <c r="BS73" s="19"/>
      <c r="BT73" s="19"/>
      <c r="BU73" s="19"/>
      <c r="BV73" s="19"/>
      <c r="BW73" s="19"/>
      <c r="BX73" s="19"/>
      <c r="BY73" s="19"/>
      <c r="BZ73" s="19"/>
      <c r="CA73" s="19"/>
      <c r="CB73" s="19"/>
      <c r="CC73" s="19"/>
      <c r="CD73" s="19"/>
      <c r="CE73" s="19"/>
      <c r="CF73" s="19"/>
      <c r="CG73" s="19"/>
      <c r="CH73" s="19"/>
      <c r="CI73" s="19"/>
      <c r="CJ73" s="19"/>
      <c r="CK73" s="19"/>
      <c r="CL73" s="19"/>
      <c r="CM73" s="19"/>
      <c r="CN73" s="19"/>
      <c r="CO73" s="19"/>
      <c r="CP73" s="19"/>
      <c r="CQ73" s="19"/>
      <c r="CR73" s="19"/>
      <c r="CS73" s="19"/>
      <c r="CT73" s="19"/>
      <c r="CU73" s="19"/>
      <c r="CV73" s="19"/>
      <c r="CW73" s="19"/>
      <c r="CX73" s="19"/>
      <c r="CY73" s="19"/>
      <c r="CZ73" s="19"/>
      <c r="DA73" s="17"/>
      <c r="DB73" s="17"/>
      <c r="DC73" s="17"/>
      <c r="DD73" s="19" t="s">
        <v>239</v>
      </c>
      <c r="DE73" s="19">
        <v>0</v>
      </c>
      <c r="DF73" s="19">
        <v>0</v>
      </c>
      <c r="DG73" s="19">
        <v>4</v>
      </c>
      <c r="DH73" s="19">
        <v>4</v>
      </c>
      <c r="DI73" s="19">
        <v>8</v>
      </c>
      <c r="DJ73" s="19">
        <v>8</v>
      </c>
      <c r="DK73" s="19">
        <v>12</v>
      </c>
      <c r="DL73" s="19">
        <v>12</v>
      </c>
      <c r="DM73" s="19">
        <v>16</v>
      </c>
      <c r="DN73" s="19">
        <v>16</v>
      </c>
      <c r="DO73" s="19">
        <v>20</v>
      </c>
      <c r="DP73" s="19">
        <v>20</v>
      </c>
      <c r="DQ73" s="19">
        <v>24</v>
      </c>
      <c r="DR73" s="19">
        <v>24</v>
      </c>
      <c r="DS73" s="19">
        <v>28</v>
      </c>
      <c r="DT73" s="19">
        <v>32</v>
      </c>
      <c r="DU73" s="19">
        <v>32</v>
      </c>
      <c r="DV73" s="19">
        <v>36</v>
      </c>
      <c r="DW73" s="19">
        <v>36</v>
      </c>
      <c r="DX73" s="19">
        <v>40</v>
      </c>
      <c r="DY73" s="19">
        <v>40</v>
      </c>
      <c r="DZ73" s="19"/>
      <c r="EA73" s="19"/>
      <c r="EB73" s="19" t="s">
        <v>197</v>
      </c>
      <c r="EC73" s="19"/>
      <c r="ED73" s="19"/>
      <c r="EE73" s="19"/>
      <c r="EF73" s="19"/>
      <c r="EG73" s="19"/>
      <c r="EH73" s="19"/>
      <c r="EI73" s="19"/>
      <c r="EJ73" s="19"/>
      <c r="EK73" s="19"/>
      <c r="EL73" s="19"/>
      <c r="EM73" s="19"/>
      <c r="EN73" s="19"/>
      <c r="EO73" s="19"/>
      <c r="EP73" s="19"/>
      <c r="EQ73" s="19"/>
      <c r="ER73" s="19"/>
      <c r="ES73" s="19"/>
      <c r="ET73" s="19"/>
      <c r="EU73" s="19"/>
      <c r="EV73" s="19"/>
      <c r="EW73" s="19"/>
      <c r="EX73" s="19"/>
      <c r="EY73" s="19"/>
      <c r="EZ73" s="19"/>
      <c r="FA73" s="19"/>
      <c r="FB73" s="19"/>
      <c r="FC73" s="19"/>
      <c r="FD73" s="19"/>
      <c r="FE73" s="19"/>
      <c r="FF73" s="19"/>
      <c r="FG73" s="19"/>
      <c r="FH73" s="19"/>
      <c r="FI73" s="19"/>
      <c r="FJ73" s="19"/>
      <c r="FK73" s="19"/>
      <c r="FL73" s="19"/>
      <c r="FM73" s="19"/>
      <c r="FN73" s="19"/>
      <c r="FO73" s="19"/>
      <c r="FP73" s="19"/>
      <c r="FQ73" s="19"/>
      <c r="FR73" s="19"/>
      <c r="FS73" s="19"/>
      <c r="FT73" s="19"/>
      <c r="FU73" s="19"/>
      <c r="FV73" s="19"/>
      <c r="FW73" s="19"/>
      <c r="FX73" s="19"/>
      <c r="FY73" s="19"/>
      <c r="FZ73" s="19"/>
      <c r="GA73" s="19"/>
      <c r="GC73" s="19"/>
      <c r="GD73" s="19"/>
      <c r="GE73" s="19" t="s">
        <v>72</v>
      </c>
      <c r="GF73" s="19"/>
      <c r="GG73" s="19"/>
      <c r="GH73" s="19"/>
      <c r="GI73" s="19"/>
      <c r="GJ73" s="19"/>
      <c r="GK73" s="19"/>
      <c r="GL73" s="19"/>
      <c r="GM73" s="19"/>
      <c r="GN73" s="19"/>
      <c r="GO73" s="19"/>
      <c r="GP73" s="19"/>
      <c r="GQ73" s="19"/>
      <c r="GR73" s="19"/>
      <c r="GS73" s="19"/>
      <c r="GT73" s="19"/>
      <c r="GU73" s="19"/>
      <c r="GV73" s="19"/>
      <c r="GW73" s="19"/>
      <c r="GX73" s="19"/>
      <c r="GY73" s="19"/>
      <c r="GZ73" s="19"/>
      <c r="HA73" s="19"/>
      <c r="HB73" s="19"/>
      <c r="HC73" s="19"/>
      <c r="HD73" s="19"/>
      <c r="HE73" s="19"/>
      <c r="HF73" s="19"/>
      <c r="HG73" s="19"/>
      <c r="HH73" s="19"/>
      <c r="HI73" s="19"/>
      <c r="HJ73" s="19"/>
      <c r="HK73" s="19"/>
      <c r="HL73" s="19"/>
      <c r="HM73" s="19"/>
      <c r="HN73" s="19"/>
      <c r="HO73" s="19"/>
      <c r="HP73" s="19"/>
      <c r="HQ73" s="19"/>
      <c r="HR73" s="19"/>
      <c r="HS73" s="19"/>
      <c r="HT73" s="19"/>
      <c r="HU73" s="19"/>
      <c r="HV73" s="19"/>
      <c r="HW73" s="19"/>
      <c r="HX73" s="19"/>
      <c r="HY73" s="19"/>
      <c r="HZ73" s="19"/>
      <c r="IA73" s="19"/>
      <c r="IB73" s="19"/>
      <c r="IC73" s="19"/>
      <c r="ID73" s="19"/>
    </row>
    <row r="74" spans="1:266" x14ac:dyDescent="0.25">
      <c r="A74" s="8"/>
      <c r="B74" s="5" t="s">
        <v>61</v>
      </c>
      <c r="C74" s="8"/>
      <c r="D74" s="7" t="s">
        <v>456</v>
      </c>
      <c r="E74" s="8" t="s">
        <v>467</v>
      </c>
      <c r="F74" s="5"/>
      <c r="G74" s="5"/>
      <c r="H74" s="5"/>
      <c r="I74" s="5"/>
      <c r="J74" s="5"/>
      <c r="K74" s="4"/>
      <c r="L74" s="6" t="str">
        <f>IF($E$76=$AK$22,"PAL40H40/3,3",IF($E$76=$AK$23,"PAL30H32/3,3",IF($E$76=$AK$24,"CWP40H35/3,3MC","-------")))</f>
        <v>CWP40H35/3,3MC</v>
      </c>
      <c r="M74" s="14">
        <f>INDEX(cenník!$C$2:$I$568,MATCH($L74,cenník!$B$2:$B$557,0),MATCH(M$24,cenník!$C$1:$I$1,0))</f>
        <v>620413</v>
      </c>
      <c r="N74" s="14" t="str">
        <f>INDEX(cenník!$C$2:$I$568,MATCH($L74,cenník!$B$2:$B$557,0),MATCH(N$24,cenník!$C$1:$I$1,0))</f>
        <v>ks</v>
      </c>
      <c r="O74" s="14">
        <f>SUM(AD66:AD81)</f>
        <v>0</v>
      </c>
      <c r="P74" s="21">
        <f>INDEX(cenník!$C$2:$I$568,MATCH($L74,cenník!$B$2:$B$557,0),MATCH(P$24,cenník!$C$1:$I$1,0))</f>
        <v>21.01</v>
      </c>
      <c r="Q74" s="21">
        <f t="shared" si="38"/>
        <v>0</v>
      </c>
      <c r="R74" s="22">
        <f t="shared" si="35"/>
        <v>0</v>
      </c>
      <c r="S74" s="21">
        <f t="shared" si="36"/>
        <v>21.01</v>
      </c>
      <c r="T74" s="21">
        <f t="shared" si="37"/>
        <v>0</v>
      </c>
      <c r="U74" s="21">
        <f>INDEX(cenník!$C$2:$I$568,MATCH($L74,cenník!$B$2:$B$557,0),MATCH(U$24,cenník!$C$1:$I$1,0))*O74</f>
        <v>0</v>
      </c>
      <c r="V74" s="19"/>
      <c r="W74" s="19"/>
      <c r="X74" s="25">
        <f t="shared" si="34"/>
        <v>0</v>
      </c>
      <c r="Y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77,$BB$2:$CA$2,0),MATCH($W$65,$AH$22:$AH$47,0)))*C77</f>
        <v>0</v>
      </c>
      <c r="Z74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77,$BB$2:$CA$2,0),MATCH($W$65,$AH$22:$AH$47,0)))*C77</f>
        <v>#N/A</v>
      </c>
      <c r="AA74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77,$BB$2:$CA$2,0),MATCH($W$65,$AH$22:$AH$47,0)))*C77</f>
        <v>#N/A</v>
      </c>
      <c r="AB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77,$BB$2:$CA$2,0),MATCH($W$65,$AH$22:$AH$47,0)))*C77</f>
        <v>0</v>
      </c>
      <c r="AC74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77,$BB$2:$CA$2,0),MATCH($W$65,$AH$22:$AH$47,0)))*C77</f>
        <v>#N/A</v>
      </c>
      <c r="AD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77,$BB$2:$CA$2,0),MATCH($W$65,$AH$22:$AH$47,0)))*C77</f>
        <v>0</v>
      </c>
      <c r="AE74" s="19"/>
      <c r="AF74" s="19"/>
      <c r="AG74" s="19"/>
      <c r="AH74" s="19"/>
      <c r="AI74" s="19"/>
      <c r="AJ74" s="19"/>
      <c r="AK74" s="19"/>
      <c r="AL74" s="19"/>
      <c r="AM74" s="19"/>
      <c r="AN74" s="19"/>
      <c r="AO74" s="19"/>
      <c r="AP74" s="19"/>
      <c r="AQ74" s="19"/>
      <c r="AR74" s="19"/>
      <c r="AS74" s="19"/>
      <c r="AT74" s="19"/>
      <c r="AU74" s="19"/>
      <c r="AV74" s="19"/>
      <c r="AW74" s="19"/>
      <c r="AX74" s="19"/>
      <c r="AY74" s="19"/>
      <c r="AZ74" s="19"/>
      <c r="BB74" s="20">
        <v>0</v>
      </c>
      <c r="BC74" s="20">
        <v>1</v>
      </c>
      <c r="BD74" s="20">
        <v>2</v>
      </c>
      <c r="BE74" s="20">
        <v>3</v>
      </c>
      <c r="BF74" s="20">
        <v>4</v>
      </c>
      <c r="BG74" s="20">
        <v>5</v>
      </c>
      <c r="BH74" s="20">
        <v>6</v>
      </c>
      <c r="BI74" s="20">
        <v>7</v>
      </c>
      <c r="BJ74" s="20">
        <v>8</v>
      </c>
      <c r="BK74" s="20">
        <v>9</v>
      </c>
      <c r="BL74" s="20">
        <v>10</v>
      </c>
      <c r="BM74" s="20">
        <v>11</v>
      </c>
      <c r="BN74" s="20">
        <v>12</v>
      </c>
      <c r="BO74" s="20">
        <v>13</v>
      </c>
      <c r="BP74" s="20">
        <v>14</v>
      </c>
      <c r="BQ74" s="20">
        <v>15</v>
      </c>
      <c r="BR74" s="20">
        <v>16</v>
      </c>
      <c r="BS74" s="20">
        <v>17</v>
      </c>
      <c r="BT74" s="20">
        <v>18</v>
      </c>
      <c r="BU74" s="20">
        <v>19</v>
      </c>
      <c r="BV74" s="20">
        <v>20</v>
      </c>
      <c r="BW74" s="20">
        <v>21</v>
      </c>
      <c r="BX74" s="20">
        <v>22</v>
      </c>
      <c r="BY74" s="20">
        <v>23</v>
      </c>
      <c r="BZ74" s="20">
        <v>24</v>
      </c>
      <c r="CA74" s="20">
        <v>25</v>
      </c>
      <c r="DA74" s="17"/>
      <c r="DB74" s="17"/>
      <c r="DC74" s="17"/>
      <c r="DD74" s="26" t="s">
        <v>326</v>
      </c>
      <c r="DE74" s="19">
        <v>0</v>
      </c>
      <c r="DF74" s="19"/>
      <c r="DG74" s="19"/>
      <c r="DH74" s="19"/>
      <c r="DI74" s="19"/>
      <c r="DJ74" s="19"/>
      <c r="DK74" s="19"/>
      <c r="DL74" s="19"/>
      <c r="DM74" s="19"/>
      <c r="DN74" s="19"/>
      <c r="DO74" s="19"/>
      <c r="DP74" s="19"/>
      <c r="DQ74" s="19"/>
      <c r="DR74" s="19"/>
      <c r="DS74" s="19"/>
      <c r="DT74" s="19"/>
      <c r="DU74" s="19"/>
      <c r="DV74" s="19"/>
      <c r="DW74" s="19"/>
      <c r="DX74" s="19"/>
      <c r="DY74" s="19"/>
      <c r="DZ74" s="19"/>
      <c r="EA74" s="19"/>
      <c r="EB74" s="19"/>
      <c r="EC74" s="19">
        <v>0</v>
      </c>
      <c r="ED74" s="19">
        <v>1</v>
      </c>
      <c r="EE74" s="19">
        <v>2</v>
      </c>
      <c r="EF74" s="19">
        <v>3</v>
      </c>
      <c r="EG74" s="19">
        <v>4</v>
      </c>
      <c r="EH74" s="19">
        <v>5</v>
      </c>
      <c r="EI74" s="19">
        <v>6</v>
      </c>
      <c r="EJ74" s="19">
        <v>7</v>
      </c>
      <c r="EK74" s="19">
        <v>8</v>
      </c>
      <c r="EL74" s="19">
        <v>9</v>
      </c>
      <c r="EM74" s="19">
        <v>10</v>
      </c>
      <c r="EN74" s="19">
        <v>11</v>
      </c>
      <c r="EO74" s="19">
        <v>12</v>
      </c>
      <c r="EP74" s="19">
        <v>13</v>
      </c>
      <c r="EQ74" s="19">
        <v>14</v>
      </c>
      <c r="ER74" s="19">
        <v>15</v>
      </c>
      <c r="ES74" s="19">
        <v>16</v>
      </c>
      <c r="ET74" s="19">
        <v>17</v>
      </c>
      <c r="EU74" s="19">
        <v>18</v>
      </c>
      <c r="EV74" s="19">
        <v>19</v>
      </c>
      <c r="EW74" s="19">
        <v>20</v>
      </c>
      <c r="EX74" s="19">
        <v>21</v>
      </c>
      <c r="EY74" s="19">
        <v>22</v>
      </c>
      <c r="EZ74" s="19">
        <v>23</v>
      </c>
      <c r="FA74" s="19">
        <v>24</v>
      </c>
      <c r="FB74" s="19">
        <v>25</v>
      </c>
      <c r="FC74" s="19">
        <v>26</v>
      </c>
      <c r="FD74" s="19">
        <v>27</v>
      </c>
      <c r="FE74" s="19">
        <v>28</v>
      </c>
      <c r="FF74" s="19">
        <v>29</v>
      </c>
      <c r="FG74" s="19">
        <v>30</v>
      </c>
      <c r="FH74" s="19">
        <v>31</v>
      </c>
      <c r="FI74" s="19">
        <v>32</v>
      </c>
      <c r="FJ74" s="19">
        <v>33</v>
      </c>
      <c r="FK74" s="19">
        <v>34</v>
      </c>
      <c r="FL74" s="19">
        <v>35</v>
      </c>
      <c r="FM74" s="19">
        <v>36</v>
      </c>
      <c r="FN74" s="19">
        <v>37</v>
      </c>
      <c r="FO74" s="19">
        <v>38</v>
      </c>
      <c r="FP74" s="19">
        <v>39</v>
      </c>
      <c r="FQ74" s="19">
        <v>40</v>
      </c>
      <c r="FR74" s="19">
        <v>41</v>
      </c>
      <c r="FS74" s="19">
        <v>42</v>
      </c>
      <c r="FT74" s="19">
        <v>43</v>
      </c>
      <c r="FU74" s="19">
        <v>44</v>
      </c>
      <c r="FV74" s="19">
        <v>45</v>
      </c>
      <c r="FW74" s="19">
        <v>46</v>
      </c>
      <c r="FX74" s="19">
        <v>47</v>
      </c>
      <c r="FY74" s="19">
        <v>48</v>
      </c>
      <c r="FZ74" s="19">
        <v>49</v>
      </c>
      <c r="GA74" s="19">
        <v>50</v>
      </c>
      <c r="GC74" s="19"/>
      <c r="GD74" s="19"/>
      <c r="GE74" s="19"/>
      <c r="GF74" s="19">
        <v>0</v>
      </c>
      <c r="GG74" s="19">
        <v>1</v>
      </c>
      <c r="GH74" s="19">
        <v>2</v>
      </c>
      <c r="GI74" s="19">
        <v>3</v>
      </c>
      <c r="GJ74" s="19">
        <v>4</v>
      </c>
      <c r="GK74" s="19">
        <v>5</v>
      </c>
      <c r="GL74" s="19">
        <v>6</v>
      </c>
      <c r="GM74" s="19">
        <v>7</v>
      </c>
      <c r="GN74" s="19">
        <v>8</v>
      </c>
      <c r="GO74" s="19">
        <v>9</v>
      </c>
      <c r="GP74" s="19">
        <v>10</v>
      </c>
      <c r="GQ74" s="19">
        <v>11</v>
      </c>
      <c r="GR74" s="19">
        <v>12</v>
      </c>
      <c r="GS74" s="19">
        <v>13</v>
      </c>
      <c r="GT74" s="19">
        <v>14</v>
      </c>
      <c r="GU74" s="19">
        <v>15</v>
      </c>
      <c r="GV74" s="19">
        <v>16</v>
      </c>
      <c r="GW74" s="19">
        <v>17</v>
      </c>
      <c r="GX74" s="19">
        <v>18</v>
      </c>
      <c r="GY74" s="19">
        <v>19</v>
      </c>
      <c r="GZ74" s="19">
        <v>20</v>
      </c>
      <c r="HA74" s="19">
        <v>21</v>
      </c>
      <c r="HB74" s="19">
        <v>22</v>
      </c>
      <c r="HC74" s="19">
        <v>23</v>
      </c>
      <c r="HD74" s="19">
        <v>24</v>
      </c>
      <c r="HE74" s="19">
        <v>25</v>
      </c>
      <c r="HF74" s="19">
        <v>26</v>
      </c>
      <c r="HG74" s="19">
        <v>27</v>
      </c>
      <c r="HH74" s="19">
        <v>28</v>
      </c>
      <c r="HI74" s="19">
        <v>29</v>
      </c>
      <c r="HJ74" s="19">
        <v>30</v>
      </c>
      <c r="HK74" s="19">
        <v>31</v>
      </c>
      <c r="HL74" s="19">
        <v>32</v>
      </c>
      <c r="HM74" s="19">
        <v>33</v>
      </c>
      <c r="HN74" s="19">
        <v>34</v>
      </c>
      <c r="HO74" s="19">
        <v>35</v>
      </c>
      <c r="HP74" s="19">
        <v>36</v>
      </c>
      <c r="HQ74" s="19">
        <v>37</v>
      </c>
      <c r="HR74" s="19">
        <v>38</v>
      </c>
      <c r="HS74" s="19">
        <v>39</v>
      </c>
      <c r="HT74" s="19">
        <v>40</v>
      </c>
      <c r="HU74" s="19">
        <v>41</v>
      </c>
      <c r="HV74" s="19">
        <v>42</v>
      </c>
      <c r="HW74" s="19">
        <v>43</v>
      </c>
      <c r="HX74" s="19">
        <v>44</v>
      </c>
      <c r="HY74" s="19">
        <v>45</v>
      </c>
      <c r="HZ74" s="19">
        <v>46</v>
      </c>
      <c r="IA74" s="19">
        <v>47</v>
      </c>
      <c r="IB74" s="19">
        <v>48</v>
      </c>
      <c r="IC74" s="19">
        <v>49</v>
      </c>
      <c r="ID74" s="19">
        <v>50</v>
      </c>
    </row>
    <row r="75" spans="1:266" x14ac:dyDescent="0.25">
      <c r="A75" s="8"/>
      <c r="B75" s="5" t="s">
        <v>61</v>
      </c>
      <c r="C75" s="8"/>
      <c r="D75" s="7" t="s">
        <v>458</v>
      </c>
      <c r="E75" s="8">
        <v>0</v>
      </c>
      <c r="F75" s="5"/>
      <c r="G75" s="5"/>
      <c r="H75" s="5"/>
      <c r="I75" s="5"/>
      <c r="J75" s="5" t="s">
        <v>95</v>
      </c>
      <c r="K75" s="4"/>
      <c r="L75" s="6" t="str">
        <f>IF($E$76=$AK$22,"LPAN40",IF($E$76=$AK$23,"LPAN30",IF($E$76=$AK$24,"LC40H35MC",0)))</f>
        <v>LC40H35MC</v>
      </c>
      <c r="M75" s="14">
        <f>INDEX(cenník!$C$2:$I$568,MATCH($L75,cenník!$B$2:$B$557,0),MATCH(M$24,cenník!$C$1:$I$1,0))</f>
        <v>620414</v>
      </c>
      <c r="N75" s="14" t="str">
        <f>INDEX(cenník!$C$2:$I$568,MATCH($L75,cenník!$B$2:$B$557,0),MATCH(N$24,cenník!$C$1:$I$1,0))</f>
        <v>ks</v>
      </c>
      <c r="O75" s="14">
        <f>SUM(Y66:Y81)</f>
        <v>0</v>
      </c>
      <c r="P75" s="21">
        <f>INDEX(cenník!$C$2:$I$568,MATCH($L75,cenník!$B$2:$B$557,0),MATCH(P$24,cenník!$C$1:$I$1,0))</f>
        <v>1.69</v>
      </c>
      <c r="Q75" s="21">
        <f t="shared" si="38"/>
        <v>0</v>
      </c>
      <c r="R75" s="22">
        <f t="shared" si="35"/>
        <v>0</v>
      </c>
      <c r="S75" s="21">
        <f t="shared" si="36"/>
        <v>1.69</v>
      </c>
      <c r="T75" s="21">
        <f t="shared" si="37"/>
        <v>0</v>
      </c>
      <c r="U75" s="21">
        <f>INDEX(cenník!$C$2:$I$568,MATCH($L75,cenník!$B$2:$B$557,0),MATCH(U$24,cenník!$C$1:$I$1,0))*O75</f>
        <v>0</v>
      </c>
      <c r="V75" s="19"/>
      <c r="W75" s="19"/>
      <c r="X75" s="25">
        <f t="shared" si="34"/>
        <v>0</v>
      </c>
      <c r="Y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78,$BB$2:$CA$2,0),MATCH($W$65,$AH$22:$AH$47,0)))*C78</f>
        <v>0</v>
      </c>
      <c r="Z75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78,$BB$2:$CA$2,0),MATCH($W$65,$AH$22:$AH$47,0)))*C78</f>
        <v>#N/A</v>
      </c>
      <c r="AA75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78,$BB$2:$CA$2,0),MATCH($W$65,$AH$22:$AH$47,0)))*C78</f>
        <v>#N/A</v>
      </c>
      <c r="AB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78,$BB$2:$CA$2,0),MATCH($W$65,$AH$22:$AH$47,0)))*C78</f>
        <v>0</v>
      </c>
      <c r="AC75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78,$BB$2:$CA$2,0),MATCH($W$65,$AH$22:$AH$47,0)))*C78</f>
        <v>#N/A</v>
      </c>
      <c r="AD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78,$BB$2:$CA$2,0),MATCH($W$65,$AH$22:$AH$47,0)))*C78</f>
        <v>0</v>
      </c>
      <c r="AE75" s="19"/>
      <c r="AF75" s="19"/>
      <c r="AG75" s="19"/>
      <c r="AH75" s="19"/>
      <c r="AI75" s="19"/>
      <c r="AJ75" s="19"/>
      <c r="AK75" s="19"/>
      <c r="AL75" s="19"/>
      <c r="AM75" s="19"/>
      <c r="AN75" s="19"/>
      <c r="AO75" s="19"/>
      <c r="AP75" s="19"/>
      <c r="AQ75" s="19"/>
      <c r="AR75" s="19"/>
      <c r="AS75" s="19"/>
      <c r="AT75" s="19"/>
      <c r="AU75" s="19"/>
      <c r="AV75" s="19"/>
      <c r="AW75" s="19"/>
      <c r="AX75" s="19"/>
      <c r="AY75" s="19"/>
      <c r="AZ75" s="19"/>
      <c r="BA75" s="20" t="s">
        <v>63</v>
      </c>
      <c r="BB75" s="20">
        <v>0</v>
      </c>
      <c r="BC75" s="20">
        <v>0</v>
      </c>
      <c r="BD75" s="20">
        <v>0</v>
      </c>
      <c r="BE75" s="20">
        <v>0</v>
      </c>
      <c r="BF75" s="20">
        <v>0</v>
      </c>
      <c r="BG75" s="20">
        <v>0</v>
      </c>
      <c r="BH75" s="20">
        <v>2</v>
      </c>
      <c r="BI75" s="20">
        <v>0</v>
      </c>
      <c r="BJ75" s="20">
        <v>0</v>
      </c>
      <c r="BK75" s="20">
        <v>2</v>
      </c>
      <c r="BL75" s="20">
        <v>0</v>
      </c>
      <c r="BM75" s="20">
        <v>0</v>
      </c>
      <c r="BN75" s="20">
        <v>0</v>
      </c>
      <c r="BO75" s="20">
        <v>0</v>
      </c>
      <c r="BP75" s="20">
        <v>0</v>
      </c>
      <c r="BQ75" s="20">
        <v>0</v>
      </c>
      <c r="BR75" s="20">
        <v>0</v>
      </c>
      <c r="BS75" s="20">
        <v>2</v>
      </c>
      <c r="BT75" s="20">
        <v>0</v>
      </c>
      <c r="BU75" s="20">
        <v>0</v>
      </c>
      <c r="BV75" s="20">
        <v>0</v>
      </c>
      <c r="BW75" s="20">
        <v>0</v>
      </c>
      <c r="BX75" s="20">
        <v>0</v>
      </c>
      <c r="BY75" s="20">
        <v>0</v>
      </c>
      <c r="BZ75" s="20">
        <v>0</v>
      </c>
      <c r="CA75" s="20">
        <v>0</v>
      </c>
      <c r="DA75" s="17"/>
      <c r="DB75" s="17"/>
      <c r="DC75" s="17"/>
      <c r="DD75" s="26" t="s">
        <v>327</v>
      </c>
      <c r="DE75" s="19">
        <v>0</v>
      </c>
      <c r="DF75" s="19"/>
      <c r="DG75" s="19"/>
      <c r="DH75" s="19"/>
      <c r="DI75" s="19"/>
      <c r="DJ75" s="19"/>
      <c r="DK75" s="19"/>
      <c r="DL75" s="19"/>
      <c r="DM75" s="19"/>
      <c r="DN75" s="19"/>
      <c r="DO75" s="19"/>
      <c r="DP75" s="19"/>
      <c r="DQ75" s="19"/>
      <c r="DR75" s="19"/>
      <c r="DS75" s="19"/>
      <c r="DT75" s="19"/>
      <c r="DU75" s="19"/>
      <c r="DV75" s="19"/>
      <c r="DW75" s="19"/>
      <c r="DX75" s="19"/>
      <c r="DY75" s="19"/>
      <c r="DZ75" s="19"/>
      <c r="EA75" s="19"/>
      <c r="EB75" s="19" t="s">
        <v>63</v>
      </c>
      <c r="EC75" s="19">
        <v>0</v>
      </c>
      <c r="ED75" s="19">
        <v>0</v>
      </c>
      <c r="EE75" s="19">
        <v>0</v>
      </c>
      <c r="EF75" s="19">
        <v>0</v>
      </c>
      <c r="EG75" s="19">
        <v>0</v>
      </c>
      <c r="EH75" s="19">
        <v>0</v>
      </c>
      <c r="EI75" s="19">
        <v>0</v>
      </c>
      <c r="EJ75" s="19">
        <v>0</v>
      </c>
      <c r="EK75" s="19">
        <v>0</v>
      </c>
      <c r="EL75" s="19">
        <v>0</v>
      </c>
      <c r="EM75" s="19">
        <v>0</v>
      </c>
      <c r="EN75" s="19">
        <v>0</v>
      </c>
      <c r="EO75" s="19">
        <v>0</v>
      </c>
      <c r="EP75" s="19">
        <v>0</v>
      </c>
      <c r="EQ75" s="19">
        <v>0</v>
      </c>
      <c r="ER75" s="19">
        <v>0</v>
      </c>
      <c r="ES75" s="19">
        <v>0</v>
      </c>
      <c r="ET75" s="19">
        <v>0</v>
      </c>
      <c r="EU75" s="19">
        <v>0</v>
      </c>
      <c r="EV75" s="19">
        <v>0</v>
      </c>
      <c r="EW75" s="19">
        <v>0</v>
      </c>
      <c r="EX75" s="19">
        <v>0</v>
      </c>
      <c r="EY75" s="19">
        <v>0</v>
      </c>
      <c r="EZ75" s="19">
        <v>0</v>
      </c>
      <c r="FA75" s="19">
        <v>0</v>
      </c>
      <c r="FB75" s="19">
        <v>0</v>
      </c>
      <c r="FC75" s="19">
        <v>0</v>
      </c>
      <c r="FD75" s="19">
        <v>0</v>
      </c>
      <c r="FE75" s="19">
        <v>0</v>
      </c>
      <c r="FF75" s="19">
        <v>0</v>
      </c>
      <c r="FG75" s="19">
        <v>0</v>
      </c>
      <c r="FH75" s="19">
        <v>0</v>
      </c>
      <c r="FI75" s="19">
        <v>0</v>
      </c>
      <c r="FJ75" s="19">
        <v>0</v>
      </c>
      <c r="FK75" s="19">
        <v>0</v>
      </c>
      <c r="FL75" s="19">
        <v>0</v>
      </c>
      <c r="FM75" s="19">
        <v>0</v>
      </c>
      <c r="FN75" s="19">
        <v>0</v>
      </c>
      <c r="FO75" s="19">
        <v>0</v>
      </c>
      <c r="FP75" s="19">
        <v>0</v>
      </c>
      <c r="FQ75" s="19">
        <v>0</v>
      </c>
      <c r="FR75" s="19">
        <v>0</v>
      </c>
      <c r="FS75" s="19">
        <v>0</v>
      </c>
      <c r="FT75" s="19">
        <v>0</v>
      </c>
      <c r="FU75" s="19">
        <v>0</v>
      </c>
      <c r="FV75" s="19">
        <v>0</v>
      </c>
      <c r="FW75" s="19">
        <v>0</v>
      </c>
      <c r="FX75" s="19">
        <v>0</v>
      </c>
      <c r="FY75" s="19">
        <v>0</v>
      </c>
      <c r="FZ75" s="19">
        <v>0</v>
      </c>
      <c r="GA75" s="19">
        <v>0</v>
      </c>
      <c r="GC75" s="19"/>
      <c r="GD75" s="19"/>
      <c r="GE75" s="19" t="s">
        <v>63</v>
      </c>
      <c r="GF75" s="19">
        <v>0</v>
      </c>
      <c r="GG75" s="19">
        <v>0</v>
      </c>
      <c r="GH75" s="19">
        <v>2</v>
      </c>
      <c r="GI75" s="19">
        <v>0</v>
      </c>
      <c r="GJ75" s="19">
        <v>0</v>
      </c>
      <c r="GK75" s="19">
        <v>0</v>
      </c>
      <c r="GL75" s="19">
        <v>0</v>
      </c>
      <c r="GM75" s="19">
        <v>0</v>
      </c>
      <c r="GN75" s="19">
        <v>0</v>
      </c>
      <c r="GO75" s="19">
        <v>0</v>
      </c>
      <c r="GP75" s="19">
        <v>0</v>
      </c>
      <c r="GQ75" s="19">
        <v>0</v>
      </c>
      <c r="GR75" s="19">
        <v>0</v>
      </c>
      <c r="GS75" s="19">
        <v>0</v>
      </c>
      <c r="GT75" s="19">
        <v>0</v>
      </c>
      <c r="GU75" s="19">
        <v>0</v>
      </c>
      <c r="GV75" s="19">
        <v>0</v>
      </c>
      <c r="GW75" s="19">
        <v>0</v>
      </c>
      <c r="GX75" s="19">
        <v>0</v>
      </c>
      <c r="GY75" s="19">
        <v>0</v>
      </c>
      <c r="GZ75" s="19">
        <v>0</v>
      </c>
      <c r="HA75" s="19">
        <v>0</v>
      </c>
      <c r="HB75" s="19">
        <v>0</v>
      </c>
      <c r="HC75" s="19">
        <v>0</v>
      </c>
      <c r="HD75" s="19">
        <v>0</v>
      </c>
      <c r="HE75" s="19">
        <v>0</v>
      </c>
      <c r="HF75" s="19">
        <v>0</v>
      </c>
      <c r="HG75" s="19">
        <v>0</v>
      </c>
      <c r="HH75" s="19">
        <v>0</v>
      </c>
      <c r="HI75" s="19">
        <v>0</v>
      </c>
      <c r="HJ75" s="19">
        <v>0</v>
      </c>
      <c r="HK75" s="19">
        <v>0</v>
      </c>
      <c r="HL75" s="19">
        <v>0</v>
      </c>
      <c r="HM75" s="19">
        <v>0</v>
      </c>
      <c r="HN75" s="19">
        <v>0</v>
      </c>
      <c r="HO75" s="19">
        <v>0</v>
      </c>
      <c r="HP75" s="19">
        <v>0</v>
      </c>
      <c r="HQ75" s="19">
        <v>0</v>
      </c>
      <c r="HR75" s="19">
        <v>0</v>
      </c>
      <c r="HS75" s="19">
        <v>0</v>
      </c>
      <c r="HT75" s="19">
        <v>0</v>
      </c>
      <c r="HU75" s="19">
        <v>0</v>
      </c>
      <c r="HV75" s="19">
        <v>0</v>
      </c>
      <c r="HW75" s="19">
        <v>0</v>
      </c>
      <c r="HX75" s="19">
        <v>0</v>
      </c>
      <c r="HY75" s="19">
        <v>0</v>
      </c>
      <c r="HZ75" s="19">
        <v>0</v>
      </c>
      <c r="IA75" s="19">
        <v>2</v>
      </c>
      <c r="IB75" s="19">
        <v>0</v>
      </c>
      <c r="IC75" s="19">
        <v>0</v>
      </c>
      <c r="ID75" s="19">
        <v>0</v>
      </c>
    </row>
    <row r="76" spans="1:266" x14ac:dyDescent="0.25">
      <c r="A76" s="8"/>
      <c r="B76" s="5" t="s">
        <v>61</v>
      </c>
      <c r="C76" s="8"/>
      <c r="D76" s="6" t="s">
        <v>459</v>
      </c>
      <c r="E76" s="8" t="s">
        <v>468</v>
      </c>
      <c r="F76" s="222" t="str">
        <f>IF(E76="30x32 hliník","možno použiť vo veternej zóne 1 a snehovej zóne 1,2,3 s maximálnou vzdialenosťou podpier 0,8 m podľa noriem PN-EN 1991-1-3 a PN-EN 1991-1-4","")</f>
        <v/>
      </c>
      <c r="G76" s="222"/>
      <c r="H76" s="222"/>
      <c r="I76" s="222"/>
      <c r="J76" s="4"/>
      <c r="K76" s="4"/>
      <c r="L76" s="6" t="s">
        <v>2</v>
      </c>
      <c r="M76" s="14">
        <f>INDEX(cenník!$C$2:$I$568,MATCH($L76,cenník!$B$2:$B$557,0),MATCH(M$24,cenník!$C$1:$I$1,0))</f>
        <v>898140</v>
      </c>
      <c r="N76" s="14" t="str">
        <f>INDEX(cenník!$C$2:$I$568,MATCH($L76,cenník!$B$2:$B$557,0),MATCH(N$24,cenník!$C$1:$I$1,0))</f>
        <v>ks</v>
      </c>
      <c r="O76" s="14">
        <f>SUM(X65:X80)</f>
        <v>0</v>
      </c>
      <c r="P76" s="21">
        <f>INDEX(cenník!$C$2:$I$568,MATCH($L76,cenník!$B$2:$B$557,0),MATCH(P$24,cenník!$C$1:$I$1,0))</f>
        <v>11.02</v>
      </c>
      <c r="Q76" s="21">
        <f t="shared" si="38"/>
        <v>0</v>
      </c>
      <c r="R76" s="22">
        <f t="shared" si="35"/>
        <v>0</v>
      </c>
      <c r="S76" s="21">
        <f t="shared" si="36"/>
        <v>11.02</v>
      </c>
      <c r="T76" s="21">
        <f t="shared" si="37"/>
        <v>0</v>
      </c>
      <c r="U76" s="21">
        <f>INDEX(cenník!$C$2:$I$568,MATCH($L76,cenník!$B$2:$B$557,0),MATCH(U$24,cenník!$C$1:$I$1,0))*O76</f>
        <v>0</v>
      </c>
      <c r="V76" s="19"/>
      <c r="W76" s="19"/>
      <c r="X76" s="25">
        <f t="shared" si="34"/>
        <v>0</v>
      </c>
      <c r="Y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79,$BB$2:$CA$2,0),MATCH($W$65,$AH$22:$AH$47,0)))*C79</f>
        <v>0</v>
      </c>
      <c r="Z76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79,$BB$2:$CA$2,0),MATCH($W$65,$AH$22:$AH$47,0)))*C79</f>
        <v>#N/A</v>
      </c>
      <c r="AA76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79,$BB$2:$CA$2,0),MATCH($W$65,$AH$22:$AH$47,0)))*C79</f>
        <v>#N/A</v>
      </c>
      <c r="AB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79,$BB$2:$CA$2,0),MATCH($W$65,$AH$22:$AH$47,0)))*C79</f>
        <v>0</v>
      </c>
      <c r="AC76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79,$BB$2:$CA$2,0),MATCH($W$65,$AH$22:$AH$47,0)))*C79</f>
        <v>#N/A</v>
      </c>
      <c r="AD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79,$BB$2:$CA$2,0),MATCH($W$65,$AH$22:$AH$47,0)))*C79</f>
        <v>0</v>
      </c>
      <c r="AE76" s="19"/>
      <c r="AF76" s="19"/>
      <c r="AG76" s="19"/>
      <c r="AH76" s="19"/>
      <c r="AI76" s="19"/>
      <c r="AJ76" s="19"/>
      <c r="AK76" s="19"/>
      <c r="AL76" s="19"/>
      <c r="AM76" s="19"/>
      <c r="AN76" s="19"/>
      <c r="AO76" s="19"/>
      <c r="AP76" s="19"/>
      <c r="AQ76" s="19"/>
      <c r="AR76" s="19"/>
      <c r="AS76" s="19"/>
      <c r="AT76" s="19"/>
      <c r="AU76" s="19"/>
      <c r="AV76" s="19"/>
      <c r="AW76" s="19"/>
      <c r="AX76" s="19"/>
      <c r="AY76" s="19"/>
      <c r="AZ76" s="19"/>
      <c r="BA76" s="20" t="s">
        <v>11</v>
      </c>
      <c r="BB76" s="20">
        <v>0</v>
      </c>
      <c r="BC76" s="20">
        <v>0</v>
      </c>
      <c r="BD76" s="20">
        <v>0</v>
      </c>
      <c r="BE76" s="20">
        <v>4</v>
      </c>
      <c r="BF76" s="20">
        <v>2</v>
      </c>
      <c r="BG76" s="20">
        <v>0</v>
      </c>
      <c r="BH76" s="20">
        <v>0</v>
      </c>
      <c r="BI76" s="20">
        <v>0</v>
      </c>
      <c r="BJ76" s="20">
        <v>0</v>
      </c>
      <c r="BK76" s="20">
        <v>0</v>
      </c>
      <c r="BL76" s="20">
        <v>0</v>
      </c>
      <c r="BM76" s="20">
        <v>4</v>
      </c>
      <c r="BN76" s="20">
        <v>2</v>
      </c>
      <c r="BO76" s="20">
        <v>0</v>
      </c>
      <c r="BP76" s="20">
        <v>0</v>
      </c>
      <c r="BQ76" s="20">
        <v>0</v>
      </c>
      <c r="BR76" s="20">
        <v>0</v>
      </c>
      <c r="BS76" s="20">
        <v>0</v>
      </c>
      <c r="BT76" s="20">
        <v>0</v>
      </c>
      <c r="BU76" s="20">
        <v>0</v>
      </c>
      <c r="BV76" s="20">
        <v>0</v>
      </c>
      <c r="BW76" s="20">
        <v>0</v>
      </c>
      <c r="BX76" s="20">
        <v>0</v>
      </c>
      <c r="BY76" s="20">
        <v>0</v>
      </c>
      <c r="BZ76" s="20">
        <v>0</v>
      </c>
      <c r="CA76" s="20">
        <v>0</v>
      </c>
      <c r="DA76" s="17"/>
      <c r="DB76" s="17"/>
      <c r="DC76" s="17"/>
      <c r="DD76" s="26" t="s">
        <v>328</v>
      </c>
      <c r="DE76" s="19">
        <v>0</v>
      </c>
      <c r="DF76" s="19"/>
      <c r="DG76" s="19"/>
      <c r="DH76" s="19"/>
      <c r="DI76" s="19"/>
      <c r="DJ76" s="19"/>
      <c r="DK76" s="19"/>
      <c r="DL76" s="19"/>
      <c r="DM76" s="19"/>
      <c r="DN76" s="19"/>
      <c r="DO76" s="19"/>
      <c r="DP76" s="19"/>
      <c r="DQ76" s="19"/>
      <c r="DR76" s="19"/>
      <c r="DS76" s="19"/>
      <c r="DT76" s="19"/>
      <c r="DU76" s="19"/>
      <c r="DV76" s="19"/>
      <c r="DW76" s="19"/>
      <c r="DX76" s="19"/>
      <c r="DY76" s="19"/>
      <c r="DZ76" s="19"/>
      <c r="EA76" s="19"/>
      <c r="EB76" s="19" t="s">
        <v>11</v>
      </c>
      <c r="EC76" s="19">
        <v>0</v>
      </c>
      <c r="ED76" s="19">
        <v>2</v>
      </c>
      <c r="EE76" s="19">
        <v>4</v>
      </c>
      <c r="EF76" s="19">
        <v>0</v>
      </c>
      <c r="EG76" s="19">
        <v>2</v>
      </c>
      <c r="EH76" s="19">
        <v>0</v>
      </c>
      <c r="EI76" s="19">
        <v>2</v>
      </c>
      <c r="EJ76" s="19">
        <v>0</v>
      </c>
      <c r="EK76" s="19">
        <v>2</v>
      </c>
      <c r="EL76" s="19">
        <v>0</v>
      </c>
      <c r="EM76" s="19">
        <v>0</v>
      </c>
      <c r="EN76" s="19">
        <v>2</v>
      </c>
      <c r="EO76" s="19">
        <v>0</v>
      </c>
      <c r="EP76" s="19">
        <v>2</v>
      </c>
      <c r="EQ76" s="19">
        <v>0</v>
      </c>
      <c r="ER76" s="19">
        <v>0</v>
      </c>
      <c r="ES76" s="19">
        <v>2</v>
      </c>
      <c r="ET76" s="19">
        <v>0</v>
      </c>
      <c r="EU76" s="19">
        <v>2</v>
      </c>
      <c r="EV76" s="19">
        <v>0</v>
      </c>
      <c r="EW76" s="19">
        <v>0</v>
      </c>
      <c r="EX76" s="19">
        <v>0</v>
      </c>
      <c r="EY76" s="19">
        <v>0</v>
      </c>
      <c r="EZ76" s="19">
        <v>2</v>
      </c>
      <c r="FA76" s="19">
        <v>0</v>
      </c>
      <c r="FB76" s="19">
        <v>0</v>
      </c>
      <c r="FC76" s="19">
        <v>0</v>
      </c>
      <c r="FD76" s="19">
        <v>0</v>
      </c>
      <c r="FE76" s="19">
        <v>0</v>
      </c>
      <c r="FF76" s="19">
        <v>0</v>
      </c>
      <c r="FG76" s="19">
        <v>0</v>
      </c>
      <c r="FH76" s="19">
        <v>0</v>
      </c>
      <c r="FI76" s="19">
        <v>0</v>
      </c>
      <c r="FJ76" s="19">
        <v>0</v>
      </c>
      <c r="FK76" s="19">
        <v>0</v>
      </c>
      <c r="FL76" s="19">
        <v>0</v>
      </c>
      <c r="FM76" s="19">
        <v>0</v>
      </c>
      <c r="FN76" s="19">
        <v>0</v>
      </c>
      <c r="FO76" s="19">
        <v>0</v>
      </c>
      <c r="FP76" s="19">
        <v>0</v>
      </c>
      <c r="FQ76" s="19">
        <v>0</v>
      </c>
      <c r="FR76" s="19">
        <v>0</v>
      </c>
      <c r="FS76" s="19">
        <v>0</v>
      </c>
      <c r="FT76" s="19">
        <v>0</v>
      </c>
      <c r="FU76" s="19">
        <v>0</v>
      </c>
      <c r="FV76" s="19">
        <v>0</v>
      </c>
      <c r="FW76" s="19">
        <v>0</v>
      </c>
      <c r="FX76" s="19">
        <v>0</v>
      </c>
      <c r="FY76" s="19">
        <v>0</v>
      </c>
      <c r="FZ76" s="19">
        <v>0</v>
      </c>
      <c r="GA76" s="19">
        <v>0</v>
      </c>
      <c r="GC76" s="19"/>
      <c r="GD76" s="19"/>
      <c r="GE76" s="19" t="s">
        <v>11</v>
      </c>
      <c r="GF76" s="19">
        <v>0</v>
      </c>
      <c r="GG76" s="19">
        <v>0</v>
      </c>
      <c r="GH76" s="19">
        <v>0</v>
      </c>
      <c r="GI76" s="19">
        <v>0</v>
      </c>
      <c r="GJ76" s="19">
        <v>2</v>
      </c>
      <c r="GK76" s="19">
        <v>2</v>
      </c>
      <c r="GL76" s="19">
        <v>0</v>
      </c>
      <c r="GM76" s="19">
        <v>2</v>
      </c>
      <c r="GN76" s="19">
        <v>0</v>
      </c>
      <c r="GO76" s="19">
        <v>0</v>
      </c>
      <c r="GP76" s="19">
        <v>2</v>
      </c>
      <c r="GQ76" s="19">
        <v>0</v>
      </c>
      <c r="GR76" s="19">
        <v>0</v>
      </c>
      <c r="GS76" s="19">
        <v>0</v>
      </c>
      <c r="GT76" s="19">
        <v>4</v>
      </c>
      <c r="GU76" s="19">
        <v>0</v>
      </c>
      <c r="GV76" s="19">
        <v>0</v>
      </c>
      <c r="GW76" s="19">
        <v>0</v>
      </c>
      <c r="GX76" s="19">
        <v>0</v>
      </c>
      <c r="GY76" s="19">
        <v>0</v>
      </c>
      <c r="GZ76" s="19">
        <v>0</v>
      </c>
      <c r="HA76" s="19">
        <v>0</v>
      </c>
      <c r="HB76" s="19">
        <v>0</v>
      </c>
      <c r="HC76" s="19">
        <v>0</v>
      </c>
      <c r="HD76" s="19">
        <v>0</v>
      </c>
      <c r="HE76" s="19">
        <v>0</v>
      </c>
      <c r="HF76" s="19">
        <v>0</v>
      </c>
      <c r="HG76" s="19">
        <v>0</v>
      </c>
      <c r="HH76" s="19">
        <v>0</v>
      </c>
      <c r="HI76" s="19">
        <v>0</v>
      </c>
      <c r="HJ76" s="19">
        <v>0</v>
      </c>
      <c r="HK76" s="19">
        <v>0</v>
      </c>
      <c r="HL76" s="19">
        <v>0</v>
      </c>
      <c r="HM76" s="19">
        <v>0</v>
      </c>
      <c r="HN76" s="19">
        <v>0</v>
      </c>
      <c r="HO76" s="19">
        <v>0</v>
      </c>
      <c r="HP76" s="19">
        <v>0</v>
      </c>
      <c r="HQ76" s="19">
        <v>0</v>
      </c>
      <c r="HR76" s="19">
        <v>0</v>
      </c>
      <c r="HS76" s="19">
        <v>0</v>
      </c>
      <c r="HT76" s="19">
        <v>0</v>
      </c>
      <c r="HU76" s="19">
        <v>0</v>
      </c>
      <c r="HV76" s="19">
        <v>0</v>
      </c>
      <c r="HW76" s="19">
        <v>0</v>
      </c>
      <c r="HX76" s="19">
        <v>0</v>
      </c>
      <c r="HY76" s="19">
        <v>0</v>
      </c>
      <c r="HZ76" s="19">
        <v>0</v>
      </c>
      <c r="IA76" s="19">
        <v>0</v>
      </c>
      <c r="IB76" s="19">
        <v>0</v>
      </c>
      <c r="IC76" s="19">
        <v>0</v>
      </c>
      <c r="ID76" s="19">
        <v>0</v>
      </c>
    </row>
    <row r="77" spans="1:266" x14ac:dyDescent="0.25">
      <c r="A77" s="8"/>
      <c r="B77" s="5" t="s">
        <v>61</v>
      </c>
      <c r="C77" s="8"/>
      <c r="D77" s="6" t="s">
        <v>460</v>
      </c>
      <c r="E77" s="8">
        <v>0</v>
      </c>
      <c r="F77" s="222"/>
      <c r="G77" s="222"/>
      <c r="H77" s="222"/>
      <c r="I77" s="222"/>
      <c r="J77" s="5" t="s">
        <v>461</v>
      </c>
      <c r="K77" s="4"/>
      <c r="L77" s="6" t="s">
        <v>3</v>
      </c>
      <c r="M77" s="14">
        <f>INDEX(cenník!$C$2:$I$568,MATCH($L77,cenník!$B$2:$B$557,0),MATCH(M$24,cenník!$C$1:$I$1,0))</f>
        <v>890810</v>
      </c>
      <c r="N77" s="14" t="str">
        <f>INDEX(cenník!$C$2:$I$568,MATCH($L77,cenník!$B$2:$B$557,0),MATCH(N$24,cenník!$C$1:$I$1,0))</f>
        <v>100ks</v>
      </c>
      <c r="O77" s="14">
        <f>ROUNDUP((O76*2)/100,0)</f>
        <v>0</v>
      </c>
      <c r="P77" s="21">
        <f>INDEX(cenník!$C$2:$I$568,MATCH($L77,cenník!$B$2:$B$557,0),MATCH(P$24,cenník!$C$1:$I$1,0))</f>
        <v>22.46</v>
      </c>
      <c r="Q77" s="21">
        <f t="shared" si="38"/>
        <v>0</v>
      </c>
      <c r="R77" s="22">
        <f t="shared" si="35"/>
        <v>0</v>
      </c>
      <c r="S77" s="21">
        <f t="shared" si="36"/>
        <v>22.46</v>
      </c>
      <c r="T77" s="21">
        <f t="shared" si="37"/>
        <v>0</v>
      </c>
      <c r="U77" s="21">
        <f>INDEX(cenník!$C$2:$I$568,MATCH($L77,cenník!$B$2:$B$557,0),MATCH(U$24,cenník!$C$1:$I$1,0))*O77</f>
        <v>0</v>
      </c>
      <c r="V77" s="19"/>
      <c r="W77" s="19"/>
      <c r="X77" s="25">
        <f t="shared" si="34"/>
        <v>0</v>
      </c>
      <c r="Y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80,$BB$2:$CA$2,0),MATCH($W$65,$AH$22:$AH$47,0)))*C80</f>
        <v>0</v>
      </c>
      <c r="Z77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80,$BB$2:$CA$2,0),MATCH($W$65,$AH$22:$AH$47,0)))*C80</f>
        <v>#N/A</v>
      </c>
      <c r="AA77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80,$BB$2:$CA$2,0),MATCH($W$65,$AH$22:$AH$47,0)))*C80</f>
        <v>#N/A</v>
      </c>
      <c r="AB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80,$BB$2:$CA$2,0),MATCH($W$65,$AH$22:$AH$47,0)))*C80</f>
        <v>0</v>
      </c>
      <c r="AC77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80,$BB$2:$CA$2,0),MATCH($W$65,$AH$22:$AH$47,0)))*C80</f>
        <v>#N/A</v>
      </c>
      <c r="AD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80,$BB$2:$CA$2,0),MATCH($W$65,$AH$22:$AH$47,0)))*C80</f>
        <v>0</v>
      </c>
      <c r="AE77" s="19"/>
      <c r="AF77" s="19"/>
      <c r="AG77" s="19"/>
      <c r="AH77" s="19"/>
      <c r="AI77" s="19"/>
      <c r="AJ77" s="19"/>
      <c r="AK77" s="19"/>
      <c r="AL77" s="19"/>
      <c r="AM77" s="19"/>
      <c r="AN77" s="19"/>
      <c r="AO77" s="19"/>
      <c r="AP77" s="19"/>
      <c r="AQ77" s="19"/>
      <c r="AR77" s="19"/>
      <c r="AS77" s="19"/>
      <c r="AT77" s="19"/>
      <c r="AU77" s="19"/>
      <c r="AV77" s="19"/>
      <c r="AW77" s="19"/>
      <c r="AX77" s="19"/>
      <c r="AY77" s="19"/>
      <c r="AZ77" s="19"/>
      <c r="BA77" s="20" t="s">
        <v>64</v>
      </c>
      <c r="BB77" s="20">
        <v>0</v>
      </c>
      <c r="BC77" s="20">
        <v>2</v>
      </c>
      <c r="BD77" s="20">
        <v>0</v>
      </c>
      <c r="BE77" s="20">
        <v>0</v>
      </c>
      <c r="BF77" s="20">
        <v>0</v>
      </c>
      <c r="BG77" s="20">
        <v>0</v>
      </c>
      <c r="BH77" s="20">
        <v>0</v>
      </c>
      <c r="BI77" s="20">
        <v>2</v>
      </c>
      <c r="BJ77" s="20">
        <v>0</v>
      </c>
      <c r="BK77" s="20">
        <v>0</v>
      </c>
      <c r="BL77" s="20">
        <v>0</v>
      </c>
      <c r="BM77" s="20">
        <v>0</v>
      </c>
      <c r="BN77" s="20">
        <v>0</v>
      </c>
      <c r="BO77" s="20">
        <v>0</v>
      </c>
      <c r="BP77" s="20">
        <v>4</v>
      </c>
      <c r="BQ77" s="20">
        <v>2</v>
      </c>
      <c r="BR77" s="20">
        <v>0</v>
      </c>
      <c r="BS77" s="20">
        <v>0</v>
      </c>
      <c r="BT77" s="20">
        <v>0</v>
      </c>
      <c r="BU77" s="20">
        <v>4</v>
      </c>
      <c r="BV77" s="20">
        <v>2</v>
      </c>
      <c r="BW77" s="20">
        <v>0</v>
      </c>
      <c r="BX77" s="20">
        <v>4</v>
      </c>
      <c r="BY77" s="20">
        <v>0</v>
      </c>
      <c r="BZ77" s="20">
        <v>0</v>
      </c>
      <c r="CA77" s="20">
        <v>2</v>
      </c>
      <c r="DA77" s="17"/>
      <c r="DB77" s="17"/>
      <c r="DC77" s="17"/>
      <c r="DD77" s="19"/>
      <c r="DE77" s="19"/>
      <c r="DF77" s="19"/>
      <c r="DG77" s="19"/>
      <c r="DH77" s="19"/>
      <c r="DI77" s="19"/>
      <c r="DJ77" s="19"/>
      <c r="DK77" s="19"/>
      <c r="DL77" s="19"/>
      <c r="DM77" s="19"/>
      <c r="DN77" s="19"/>
      <c r="DO77" s="19"/>
      <c r="DP77" s="19"/>
      <c r="DQ77" s="19"/>
      <c r="DR77" s="19"/>
      <c r="DS77" s="19"/>
      <c r="DT77" s="19"/>
      <c r="DU77" s="19"/>
      <c r="DV77" s="19"/>
      <c r="DW77" s="19"/>
      <c r="DX77" s="19"/>
      <c r="DY77" s="19"/>
      <c r="DZ77" s="19"/>
      <c r="EA77" s="19"/>
      <c r="EB77" s="19" t="s">
        <v>64</v>
      </c>
      <c r="EC77" s="19">
        <v>0</v>
      </c>
      <c r="ED77" s="19">
        <v>0</v>
      </c>
      <c r="EE77" s="19">
        <v>0</v>
      </c>
      <c r="EF77" s="19">
        <v>0</v>
      </c>
      <c r="EG77" s="19">
        <v>2</v>
      </c>
      <c r="EH77" s="19">
        <v>0</v>
      </c>
      <c r="EI77" s="19">
        <v>0</v>
      </c>
      <c r="EJ77" s="19">
        <v>0</v>
      </c>
      <c r="EK77" s="19">
        <v>0</v>
      </c>
      <c r="EL77" s="19">
        <v>4</v>
      </c>
      <c r="EM77" s="19">
        <v>0</v>
      </c>
      <c r="EN77" s="19">
        <v>2</v>
      </c>
      <c r="EO77" s="19">
        <v>0</v>
      </c>
      <c r="EP77" s="19">
        <v>0</v>
      </c>
      <c r="EQ77" s="19">
        <v>0</v>
      </c>
      <c r="ER77" s="19">
        <v>0</v>
      </c>
      <c r="ES77" s="19">
        <v>2</v>
      </c>
      <c r="ET77" s="19">
        <v>0</v>
      </c>
      <c r="EU77" s="19">
        <v>0</v>
      </c>
      <c r="EV77" s="19">
        <v>0</v>
      </c>
      <c r="EW77" s="19">
        <v>0</v>
      </c>
      <c r="EX77" s="19">
        <v>0</v>
      </c>
      <c r="EY77" s="19">
        <v>2</v>
      </c>
      <c r="EZ77" s="19">
        <v>0</v>
      </c>
      <c r="FA77" s="19">
        <v>0</v>
      </c>
      <c r="FB77" s="19">
        <v>0</v>
      </c>
      <c r="FC77" s="19">
        <v>0</v>
      </c>
      <c r="FD77" s="19">
        <v>0</v>
      </c>
      <c r="FE77" s="19">
        <v>0</v>
      </c>
      <c r="FF77" s="19">
        <v>0</v>
      </c>
      <c r="FG77" s="19">
        <v>0</v>
      </c>
      <c r="FH77" s="19">
        <v>0</v>
      </c>
      <c r="FI77" s="19">
        <v>4</v>
      </c>
      <c r="FJ77" s="19">
        <v>0</v>
      </c>
      <c r="FK77" s="19">
        <v>0</v>
      </c>
      <c r="FL77" s="19">
        <v>0</v>
      </c>
      <c r="FM77" s="19">
        <v>2</v>
      </c>
      <c r="FN77" s="19">
        <v>0</v>
      </c>
      <c r="FO77" s="19">
        <v>0</v>
      </c>
      <c r="FP77" s="19">
        <v>0</v>
      </c>
      <c r="FQ77" s="19">
        <v>0</v>
      </c>
      <c r="FR77" s="19">
        <v>2</v>
      </c>
      <c r="FS77" s="19">
        <v>0</v>
      </c>
      <c r="FT77" s="19">
        <v>2</v>
      </c>
      <c r="FU77" s="19">
        <v>0</v>
      </c>
      <c r="FV77" s="19">
        <v>0</v>
      </c>
      <c r="FW77" s="19">
        <v>0</v>
      </c>
      <c r="FX77" s="19">
        <v>0</v>
      </c>
      <c r="FY77" s="19">
        <v>2</v>
      </c>
      <c r="FZ77" s="19">
        <v>0</v>
      </c>
      <c r="GA77" s="19">
        <v>0</v>
      </c>
      <c r="GC77" s="19"/>
      <c r="GD77" s="19"/>
      <c r="GE77" s="19" t="s">
        <v>64</v>
      </c>
      <c r="GF77" s="19">
        <v>0</v>
      </c>
      <c r="GG77" s="19">
        <v>2</v>
      </c>
      <c r="GH77" s="19">
        <v>0</v>
      </c>
      <c r="GI77" s="19">
        <v>0</v>
      </c>
      <c r="GJ77" s="19">
        <v>0</v>
      </c>
      <c r="GK77" s="19">
        <v>2</v>
      </c>
      <c r="GL77" s="19">
        <v>0</v>
      </c>
      <c r="GM77" s="19">
        <v>0</v>
      </c>
      <c r="GN77" s="19">
        <v>4</v>
      </c>
      <c r="GO77" s="19">
        <v>0</v>
      </c>
      <c r="GP77" s="19">
        <v>0</v>
      </c>
      <c r="GQ77" s="19">
        <v>4</v>
      </c>
      <c r="GR77" s="19">
        <v>0</v>
      </c>
      <c r="GS77" s="19">
        <v>2</v>
      </c>
      <c r="GT77" s="19">
        <v>0</v>
      </c>
      <c r="GU77" s="19">
        <v>0</v>
      </c>
      <c r="GV77" s="19">
        <v>2</v>
      </c>
      <c r="GW77" s="19">
        <v>0</v>
      </c>
      <c r="GX77" s="19">
        <v>0</v>
      </c>
      <c r="GY77" s="19">
        <v>2</v>
      </c>
      <c r="GZ77" s="19">
        <v>0</v>
      </c>
      <c r="HA77" s="19">
        <v>0</v>
      </c>
      <c r="HB77" s="19">
        <v>4</v>
      </c>
      <c r="HC77" s="19">
        <v>0</v>
      </c>
      <c r="HD77" s="19">
        <v>0</v>
      </c>
      <c r="HE77" s="19">
        <v>0</v>
      </c>
      <c r="HF77" s="19">
        <v>0</v>
      </c>
      <c r="HG77" s="19">
        <v>2</v>
      </c>
      <c r="HH77" s="19">
        <v>0</v>
      </c>
      <c r="HI77" s="19">
        <v>0</v>
      </c>
      <c r="HJ77" s="19">
        <v>2</v>
      </c>
      <c r="HK77" s="19">
        <v>0</v>
      </c>
      <c r="HL77" s="19">
        <v>2</v>
      </c>
      <c r="HM77" s="19">
        <v>0</v>
      </c>
      <c r="HN77" s="19">
        <v>0</v>
      </c>
      <c r="HO77" s="19">
        <v>0</v>
      </c>
      <c r="HP77" s="19">
        <v>0</v>
      </c>
      <c r="HQ77" s="19">
        <v>0</v>
      </c>
      <c r="HR77" s="19">
        <v>2</v>
      </c>
      <c r="HS77" s="19">
        <v>0</v>
      </c>
      <c r="HT77" s="19">
        <v>0</v>
      </c>
      <c r="HU77" s="19">
        <v>2</v>
      </c>
      <c r="HV77" s="19">
        <v>0</v>
      </c>
      <c r="HW77" s="19">
        <v>0</v>
      </c>
      <c r="HX77" s="19">
        <v>0</v>
      </c>
      <c r="HY77" s="19">
        <v>0</v>
      </c>
      <c r="HZ77" s="19">
        <v>0</v>
      </c>
      <c r="IA77" s="19">
        <v>0</v>
      </c>
      <c r="IB77" s="19">
        <v>0</v>
      </c>
      <c r="IC77" s="19">
        <v>0</v>
      </c>
      <c r="ID77" s="19">
        <v>0</v>
      </c>
    </row>
    <row r="78" spans="1:266" x14ac:dyDescent="0.25">
      <c r="A78" s="8"/>
      <c r="B78" s="5" t="s">
        <v>61</v>
      </c>
      <c r="C78" s="8"/>
      <c r="D78" s="6" t="s">
        <v>474</v>
      </c>
      <c r="E78" s="4"/>
      <c r="F78" s="222"/>
      <c r="G78" s="222"/>
      <c r="H78" s="222"/>
      <c r="I78" s="222"/>
      <c r="J78" s="4"/>
      <c r="K78" s="4"/>
      <c r="L78" s="6" t="str">
        <f>IF(E76=$AK$22,"SSZ10x20E A2",IF(E76=$AK$23,"SSZ10x20E A2",IF(E76=$AK$24,"SGKFM10X20PV",0)))</f>
        <v>SGKFM10X20PV</v>
      </c>
      <c r="M78" s="14">
        <f>INDEX(cenník!$C$2:$I$568,MATCH($L78,cenník!$B$2:$B$557,0),MATCH(M$24,cenník!$C$1:$I$1,0))</f>
        <v>651643</v>
      </c>
      <c r="N78" s="14" t="str">
        <f>INDEX(cenník!$C$2:$I$568,MATCH($L78,cenník!$B$2:$B$557,0),MATCH(N$24,cenník!$C$1:$I$1,0))</f>
        <v>100ks</v>
      </c>
      <c r="O78" s="14">
        <f>ROUNDUP(((O76+IF(E76=$AK$24,E77+O75*4,0))/100),0)</f>
        <v>0</v>
      </c>
      <c r="P78" s="21">
        <f>INDEX(cenník!$C$2:$I$568,MATCH($L78,cenník!$B$2:$B$557,0),MATCH(P$24,cenník!$C$1:$I$1,0))</f>
        <v>49.87</v>
      </c>
      <c r="Q78" s="21">
        <f t="shared" si="38"/>
        <v>0</v>
      </c>
      <c r="R78" s="22">
        <f t="shared" si="35"/>
        <v>0</v>
      </c>
      <c r="S78" s="21">
        <f t="shared" si="36"/>
        <v>49.87</v>
      </c>
      <c r="T78" s="21">
        <f t="shared" si="37"/>
        <v>0</v>
      </c>
      <c r="U78" s="21">
        <f>INDEX(cenník!$C$2:$I$568,MATCH($L78,cenník!$B$2:$B$557,0),MATCH(U$24,cenník!$C$1:$I$1,0))*O78</f>
        <v>0</v>
      </c>
      <c r="V78" s="19"/>
      <c r="W78" s="19"/>
      <c r="X78" s="25">
        <f t="shared" si="34"/>
        <v>0</v>
      </c>
      <c r="Y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81,$BB$2:$CA$2,0),MATCH($W$65,$AH$22:$AH$47,0)))*C81</f>
        <v>0</v>
      </c>
      <c r="Z7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81,$BB$2:$CA$2,0),MATCH($W$65,$AH$22:$AH$47,0)))*C81</f>
        <v>#N/A</v>
      </c>
      <c r="AA7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81,$BB$2:$CA$2,0),MATCH($W$65,$AH$22:$AH$47,0)))*C81</f>
        <v>#N/A</v>
      </c>
      <c r="AB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81,$BB$2:$CA$2,0),MATCH($W$65,$AH$22:$AH$47,0)))*C81</f>
        <v>0</v>
      </c>
      <c r="AC7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81,$BB$2:$CA$2,0),MATCH($W$65,$AH$22:$AH$47,0)))*C81</f>
        <v>#N/A</v>
      </c>
      <c r="AD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81,$BB$2:$CA$2,0),MATCH($W$65,$AH$22:$AH$47,0)))*C81</f>
        <v>0</v>
      </c>
      <c r="AE78" s="19"/>
      <c r="AF78" s="19"/>
      <c r="AG78" s="19"/>
      <c r="AH78" s="19"/>
      <c r="AI78" s="19"/>
      <c r="AJ78" s="19"/>
      <c r="AK78" s="19"/>
      <c r="AL78" s="19"/>
      <c r="AM78" s="19"/>
      <c r="AN78" s="19"/>
      <c r="AO78" s="19"/>
      <c r="AP78" s="19"/>
      <c r="AQ78" s="19"/>
      <c r="AR78" s="19"/>
      <c r="AS78" s="19"/>
      <c r="AT78" s="19"/>
      <c r="AU78" s="19"/>
      <c r="AV78" s="19"/>
      <c r="AW78" s="19"/>
      <c r="AX78" s="19"/>
      <c r="AY78" s="19"/>
      <c r="AZ78" s="19"/>
      <c r="BA78" s="20" t="s">
        <v>14</v>
      </c>
      <c r="BB78" s="20">
        <v>0</v>
      </c>
      <c r="BC78" s="20">
        <v>0</v>
      </c>
      <c r="BD78" s="20">
        <v>2</v>
      </c>
      <c r="BE78" s="20">
        <v>0</v>
      </c>
      <c r="BF78" s="20">
        <v>2</v>
      </c>
      <c r="BG78" s="20">
        <v>4</v>
      </c>
      <c r="BH78" s="20">
        <v>4</v>
      </c>
      <c r="BI78" s="20">
        <v>2</v>
      </c>
      <c r="BJ78" s="20">
        <v>0</v>
      </c>
      <c r="BK78" s="20">
        <v>0</v>
      </c>
      <c r="BL78" s="20">
        <v>8</v>
      </c>
      <c r="BM78" s="20">
        <v>6</v>
      </c>
      <c r="BN78" s="20">
        <v>8</v>
      </c>
      <c r="BO78" s="20">
        <v>6</v>
      </c>
      <c r="BP78" s="20">
        <v>4</v>
      </c>
      <c r="BQ78" s="20">
        <v>2</v>
      </c>
      <c r="BR78" s="20">
        <v>2</v>
      </c>
      <c r="BS78" s="20">
        <v>2</v>
      </c>
      <c r="BT78" s="20">
        <v>12</v>
      </c>
      <c r="BU78" s="20">
        <v>10</v>
      </c>
      <c r="BV78" s="20">
        <v>8</v>
      </c>
      <c r="BW78" s="20">
        <v>8</v>
      </c>
      <c r="BX78" s="20">
        <v>8</v>
      </c>
      <c r="BY78" s="20">
        <v>18</v>
      </c>
      <c r="BZ78" s="20">
        <v>2</v>
      </c>
      <c r="CA78" s="20">
        <v>14</v>
      </c>
      <c r="DA78" s="17"/>
      <c r="DB78" s="17"/>
      <c r="DC78" s="17"/>
      <c r="DD78" s="19" t="s">
        <v>195</v>
      </c>
      <c r="DE78" s="19">
        <v>0</v>
      </c>
      <c r="DF78" s="19">
        <v>1</v>
      </c>
      <c r="DG78" s="19">
        <v>2</v>
      </c>
      <c r="DH78" s="19">
        <v>3</v>
      </c>
      <c r="DI78" s="19">
        <v>4</v>
      </c>
      <c r="DJ78" s="19">
        <v>5</v>
      </c>
      <c r="DK78" s="19">
        <v>6</v>
      </c>
      <c r="DL78" s="19">
        <v>7</v>
      </c>
      <c r="DM78" s="19">
        <v>8</v>
      </c>
      <c r="DN78" s="19">
        <v>9</v>
      </c>
      <c r="DO78" s="19">
        <v>10</v>
      </c>
      <c r="DP78" s="19">
        <v>11</v>
      </c>
      <c r="DQ78" s="19">
        <v>12</v>
      </c>
      <c r="DR78" s="19">
        <v>13</v>
      </c>
      <c r="DS78" s="19">
        <v>14</v>
      </c>
      <c r="DT78" s="19">
        <v>15</v>
      </c>
      <c r="DU78" s="19">
        <v>16</v>
      </c>
      <c r="DV78" s="19">
        <v>17</v>
      </c>
      <c r="DW78" s="19">
        <v>18</v>
      </c>
      <c r="DX78" s="19">
        <v>19</v>
      </c>
      <c r="DY78" s="19">
        <v>20</v>
      </c>
      <c r="DZ78" s="19"/>
      <c r="EA78" s="19"/>
      <c r="EB78" s="19" t="s">
        <v>14</v>
      </c>
      <c r="EC78" s="19">
        <v>0</v>
      </c>
      <c r="ED78" s="19">
        <v>0</v>
      </c>
      <c r="EE78" s="19">
        <v>0</v>
      </c>
      <c r="EF78" s="19">
        <v>4</v>
      </c>
      <c r="EG78" s="19">
        <v>0</v>
      </c>
      <c r="EH78" s="19">
        <v>6</v>
      </c>
      <c r="EI78" s="19">
        <v>6</v>
      </c>
      <c r="EJ78" s="19">
        <v>0</v>
      </c>
      <c r="EK78" s="19">
        <v>2</v>
      </c>
      <c r="EL78" s="19">
        <v>8</v>
      </c>
      <c r="EM78" s="19">
        <v>12</v>
      </c>
      <c r="EN78" s="19">
        <v>0</v>
      </c>
      <c r="EO78" s="19">
        <v>8</v>
      </c>
      <c r="EP78" s="19">
        <v>8</v>
      </c>
      <c r="EQ78" s="19">
        <v>0</v>
      </c>
      <c r="ER78" s="19">
        <v>18</v>
      </c>
      <c r="ES78" s="19">
        <v>6</v>
      </c>
      <c r="ET78" s="19">
        <v>12</v>
      </c>
      <c r="EU78" s="19">
        <v>14</v>
      </c>
      <c r="EV78" s="19">
        <v>6</v>
      </c>
      <c r="EW78" s="19">
        <v>24</v>
      </c>
      <c r="EX78" s="19">
        <v>0</v>
      </c>
      <c r="EY78" s="19">
        <v>8</v>
      </c>
      <c r="EZ78" s="19">
        <v>20</v>
      </c>
      <c r="FA78" s="19">
        <v>12</v>
      </c>
      <c r="FB78" s="19">
        <v>30</v>
      </c>
      <c r="FC78" s="19">
        <v>6</v>
      </c>
      <c r="FD78" s="19">
        <v>24</v>
      </c>
      <c r="FE78" s="19">
        <v>0</v>
      </c>
      <c r="FF78" s="19">
        <v>18</v>
      </c>
      <c r="FG78" s="19">
        <v>36</v>
      </c>
      <c r="FH78" s="19">
        <v>12</v>
      </c>
      <c r="FI78" s="19">
        <v>8</v>
      </c>
      <c r="FJ78" s="19">
        <v>6</v>
      </c>
      <c r="FK78" s="19">
        <v>24</v>
      </c>
      <c r="FL78" s="19">
        <v>0</v>
      </c>
      <c r="FM78" s="19">
        <v>2</v>
      </c>
      <c r="FN78" s="19">
        <v>0</v>
      </c>
      <c r="FO78" s="19">
        <v>12</v>
      </c>
      <c r="FP78" s="19">
        <v>30</v>
      </c>
      <c r="FQ78" s="19">
        <v>4</v>
      </c>
      <c r="FR78" s="19">
        <v>8</v>
      </c>
      <c r="FS78" s="19">
        <v>0</v>
      </c>
      <c r="FT78" s="19">
        <v>2</v>
      </c>
      <c r="FU78" s="19">
        <v>0</v>
      </c>
      <c r="FV78" s="19">
        <v>10</v>
      </c>
      <c r="FW78" s="19">
        <v>30</v>
      </c>
      <c r="FX78" s="19">
        <v>4</v>
      </c>
      <c r="FY78" s="19">
        <v>8</v>
      </c>
      <c r="FZ78" s="19">
        <v>0</v>
      </c>
      <c r="GA78" s="19">
        <v>16</v>
      </c>
      <c r="GC78" s="19"/>
      <c r="GD78" s="19"/>
      <c r="GE78" s="19" t="s">
        <v>14</v>
      </c>
      <c r="GF78" s="19">
        <v>0</v>
      </c>
      <c r="GG78" s="19">
        <v>0</v>
      </c>
      <c r="GH78" s="19">
        <v>2</v>
      </c>
      <c r="GI78" s="19">
        <v>2</v>
      </c>
      <c r="GJ78" s="19">
        <v>2</v>
      </c>
      <c r="GK78" s="19">
        <v>2</v>
      </c>
      <c r="GL78" s="19">
        <v>4</v>
      </c>
      <c r="GM78" s="19">
        <v>4</v>
      </c>
      <c r="GN78" s="19">
        <v>6</v>
      </c>
      <c r="GO78" s="19">
        <v>8</v>
      </c>
      <c r="GP78" s="19">
        <v>6</v>
      </c>
      <c r="GQ78" s="19">
        <v>8</v>
      </c>
      <c r="GR78" s="19">
        <v>12</v>
      </c>
      <c r="GS78" s="19">
        <v>10</v>
      </c>
      <c r="GT78" s="19">
        <v>8</v>
      </c>
      <c r="GU78" s="19">
        <v>12</v>
      </c>
      <c r="GV78" s="19">
        <v>12</v>
      </c>
      <c r="GW78" s="19">
        <v>0</v>
      </c>
      <c r="GX78" s="19">
        <v>14</v>
      </c>
      <c r="GY78" s="19">
        <v>14</v>
      </c>
      <c r="GZ78" s="19">
        <v>2</v>
      </c>
      <c r="HA78" s="19">
        <v>16</v>
      </c>
      <c r="HB78" s="19">
        <v>8</v>
      </c>
      <c r="HC78" s="19">
        <v>4</v>
      </c>
      <c r="HD78" s="19">
        <v>18</v>
      </c>
      <c r="HE78" s="19">
        <v>34</v>
      </c>
      <c r="HF78" s="19">
        <v>6</v>
      </c>
      <c r="HG78" s="19">
        <v>6</v>
      </c>
      <c r="HH78" s="19">
        <v>36</v>
      </c>
      <c r="HI78" s="19">
        <v>8</v>
      </c>
      <c r="HJ78" s="19">
        <v>8</v>
      </c>
      <c r="HK78" s="19">
        <v>0</v>
      </c>
      <c r="HL78" s="19">
        <v>4</v>
      </c>
      <c r="HM78" s="19">
        <v>26</v>
      </c>
      <c r="HN78" s="19">
        <v>0</v>
      </c>
      <c r="HO78" s="19">
        <v>12</v>
      </c>
      <c r="HP78" s="19">
        <v>28</v>
      </c>
      <c r="HQ78" s="19">
        <v>0</v>
      </c>
      <c r="HR78" s="19">
        <v>0</v>
      </c>
      <c r="HS78" s="19">
        <v>30</v>
      </c>
      <c r="HT78" s="19">
        <v>2</v>
      </c>
      <c r="HU78" s="19">
        <v>2</v>
      </c>
      <c r="HV78" s="19">
        <v>0</v>
      </c>
      <c r="HW78" s="19">
        <v>4</v>
      </c>
      <c r="HX78" s="19">
        <v>20</v>
      </c>
      <c r="HY78" s="19">
        <v>0</v>
      </c>
      <c r="HZ78" s="19">
        <v>6</v>
      </c>
      <c r="IA78" s="19">
        <v>6</v>
      </c>
      <c r="IB78" s="19">
        <v>0</v>
      </c>
      <c r="IC78" s="19">
        <v>10</v>
      </c>
      <c r="ID78" s="19">
        <v>24</v>
      </c>
    </row>
    <row r="79" spans="1:266" x14ac:dyDescent="0.25">
      <c r="A79" s="8"/>
      <c r="B79" s="5" t="s">
        <v>61</v>
      </c>
      <c r="C79" s="8"/>
      <c r="D79" s="44" t="s">
        <v>563</v>
      </c>
      <c r="E79" s="4"/>
      <c r="F79" s="222"/>
      <c r="G79" s="222"/>
      <c r="H79" s="222"/>
      <c r="I79" s="222"/>
      <c r="J79" s="4"/>
      <c r="K79" s="4"/>
      <c r="L79" s="6" t="str">
        <f>IF(E76=$AK$22,"NKZM10E A2",IF(E76=$AK$23,"NKZM10E A2",IF(E76=$AK$24,"-------",0)))</f>
        <v>-------</v>
      </c>
      <c r="M79" s="14" t="str">
        <f>INDEX(cenník!$C$2:$I$568,MATCH($L79,cenník!$B$2:$B$557,0),MATCH(M$24,cenník!$C$1:$I$1,0))</f>
        <v>-------</v>
      </c>
      <c r="N79" s="14">
        <f>INDEX(cenník!$C$2:$I$568,MATCH($L79,cenník!$B$2:$B$557,0),MATCH(N$24,cenník!$C$1:$I$1,0))</f>
        <v>0</v>
      </c>
      <c r="O79" s="14">
        <f>IF(L79="-------",0,ROUNDUP((O76/100),0))</f>
        <v>0</v>
      </c>
      <c r="P79" s="21">
        <f>INDEX(cenník!$C$2:$I$568,MATCH($L79,cenník!$B$2:$B$557,0),MATCH(P$24,cenník!$C$1:$I$1,0))</f>
        <v>0</v>
      </c>
      <c r="Q79" s="21">
        <f t="shared" si="38"/>
        <v>0</v>
      </c>
      <c r="R79" s="22">
        <f t="shared" si="35"/>
        <v>0</v>
      </c>
      <c r="S79" s="21">
        <f t="shared" si="36"/>
        <v>0</v>
      </c>
      <c r="T79" s="21">
        <f t="shared" si="37"/>
        <v>0</v>
      </c>
      <c r="U79" s="21">
        <f>INDEX(cenník!$C$2:$I$568,MATCH($L79,cenník!$B$2:$B$557,0),MATCH(U$24,cenník!$C$1:$I$1,0))*O79</f>
        <v>0</v>
      </c>
      <c r="V79" s="19"/>
      <c r="W79" s="19"/>
      <c r="X79" s="25">
        <f t="shared" si="34"/>
        <v>0</v>
      </c>
      <c r="Y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82,$BB$2:$CA$2,0),MATCH($W$65,$AH$22:$AH$47,0)))*C82</f>
        <v>0</v>
      </c>
      <c r="Z7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82,$BB$2:$CA$2,0),MATCH($W$65,$AH$22:$AH$47,0)))*C82</f>
        <v>#N/A</v>
      </c>
      <c r="AA7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82,$BB$2:$CA$2,0),MATCH($W$65,$AH$22:$AH$47,0)))*C82</f>
        <v>#N/A</v>
      </c>
      <c r="AB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82,$BB$2:$CA$2,0),MATCH($W$65,$AH$22:$AH$47,0)))*C82</f>
        <v>0</v>
      </c>
      <c r="AC7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82,$BB$2:$CA$2,0),MATCH($W$65,$AH$22:$AH$47,0)))*C82</f>
        <v>#N/A</v>
      </c>
      <c r="AD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82,$BB$2:$CA$2,0),MATCH($W$65,$AH$22:$AH$47,0)))*C82</f>
        <v>0</v>
      </c>
      <c r="AE79" s="19" t="str">
        <f>INDEX(($AH$53:$AI$62),MATCH(I70,$AG$53:$AG$62,0),MATCH(E73,$AH$52:$AI$52,0))</f>
        <v>suma</v>
      </c>
      <c r="AF79" s="19"/>
      <c r="AG79" s="19"/>
      <c r="AH79" s="19"/>
      <c r="AI79" s="19"/>
      <c r="AJ79" s="19"/>
      <c r="AK79" s="19"/>
      <c r="AL79" s="19"/>
      <c r="AM79" s="19"/>
      <c r="AN79" s="19"/>
      <c r="AO79" s="19"/>
      <c r="AP79" s="19"/>
      <c r="AQ79" s="19"/>
      <c r="AR79" s="19"/>
      <c r="AS79" s="19"/>
      <c r="AT79" s="19"/>
      <c r="AU79" s="19"/>
      <c r="AV79" s="19"/>
      <c r="AW79" s="19"/>
      <c r="AX79" s="19"/>
      <c r="AY79" s="19"/>
      <c r="AZ79" s="19"/>
      <c r="BA79" s="20" t="s">
        <v>18</v>
      </c>
      <c r="BB79" s="20">
        <v>0</v>
      </c>
      <c r="BC79" s="20">
        <v>0</v>
      </c>
      <c r="BD79" s="20">
        <v>0</v>
      </c>
      <c r="BE79" s="20">
        <v>0</v>
      </c>
      <c r="BF79" s="20">
        <v>0</v>
      </c>
      <c r="BG79" s="20">
        <v>0</v>
      </c>
      <c r="BH79" s="20">
        <v>0</v>
      </c>
      <c r="BI79" s="20">
        <v>2</v>
      </c>
      <c r="BJ79" s="20">
        <v>6</v>
      </c>
      <c r="BK79" s="20">
        <v>6</v>
      </c>
      <c r="BL79" s="20">
        <v>0</v>
      </c>
      <c r="BM79" s="20">
        <v>0</v>
      </c>
      <c r="BN79" s="20">
        <v>0</v>
      </c>
      <c r="BO79" s="20">
        <v>4</v>
      </c>
      <c r="BP79" s="20">
        <v>4</v>
      </c>
      <c r="BQ79" s="20">
        <v>8</v>
      </c>
      <c r="BR79" s="20">
        <v>10</v>
      </c>
      <c r="BS79" s="20">
        <v>10</v>
      </c>
      <c r="BT79" s="20">
        <v>2</v>
      </c>
      <c r="BU79" s="20">
        <v>2</v>
      </c>
      <c r="BV79" s="20">
        <v>6</v>
      </c>
      <c r="BW79" s="20">
        <v>8</v>
      </c>
      <c r="BX79" s="20">
        <v>6</v>
      </c>
      <c r="BY79" s="20">
        <v>0</v>
      </c>
      <c r="BZ79" s="20">
        <v>16</v>
      </c>
      <c r="CA79" s="20">
        <v>4</v>
      </c>
      <c r="DA79" s="17"/>
      <c r="DB79" s="17"/>
      <c r="DC79" s="17"/>
      <c r="DD79" s="19" t="s">
        <v>64</v>
      </c>
      <c r="DE79" s="19">
        <v>0</v>
      </c>
      <c r="DF79" s="19">
        <v>2</v>
      </c>
      <c r="DG79" s="19">
        <v>4</v>
      </c>
      <c r="DH79" s="19">
        <v>0</v>
      </c>
      <c r="DI79" s="19">
        <v>4</v>
      </c>
      <c r="DJ79" s="19">
        <v>0</v>
      </c>
      <c r="DK79" s="19">
        <v>4</v>
      </c>
      <c r="DL79" s="19">
        <v>0</v>
      </c>
      <c r="DM79" s="19">
        <v>2</v>
      </c>
      <c r="DN79" s="19">
        <v>0</v>
      </c>
      <c r="DO79" s="19">
        <v>2</v>
      </c>
      <c r="DP79" s="19">
        <v>4</v>
      </c>
      <c r="DQ79" s="19">
        <v>2</v>
      </c>
      <c r="DR79" s="19">
        <v>4</v>
      </c>
      <c r="DS79" s="19">
        <v>0</v>
      </c>
      <c r="DT79" s="19">
        <v>4</v>
      </c>
      <c r="DU79" s="19">
        <v>0</v>
      </c>
      <c r="DV79" s="19">
        <v>2</v>
      </c>
      <c r="DW79" s="19">
        <v>0</v>
      </c>
      <c r="DX79" s="19">
        <v>2</v>
      </c>
      <c r="DY79" s="19">
        <v>4</v>
      </c>
      <c r="DZ79" s="19"/>
      <c r="EA79" s="19"/>
      <c r="EB79" s="19" t="s">
        <v>18</v>
      </c>
      <c r="EC79" s="19">
        <v>0</v>
      </c>
      <c r="ED79" s="19">
        <v>0</v>
      </c>
      <c r="EE79" s="19">
        <v>0</v>
      </c>
      <c r="EF79" s="19">
        <v>0</v>
      </c>
      <c r="EG79" s="19">
        <v>2</v>
      </c>
      <c r="EH79" s="19">
        <v>0</v>
      </c>
      <c r="EI79" s="19">
        <v>0</v>
      </c>
      <c r="EJ79" s="19">
        <v>8</v>
      </c>
      <c r="EK79" s="19">
        <v>6</v>
      </c>
      <c r="EL79" s="19">
        <v>0</v>
      </c>
      <c r="EM79" s="19">
        <v>0</v>
      </c>
      <c r="EN79" s="19">
        <v>10</v>
      </c>
      <c r="EO79" s="19">
        <v>6</v>
      </c>
      <c r="EP79" s="19">
        <v>6</v>
      </c>
      <c r="EQ79" s="19">
        <v>16</v>
      </c>
      <c r="ER79" s="19">
        <v>0</v>
      </c>
      <c r="ES79" s="19">
        <v>10</v>
      </c>
      <c r="ET79" s="19">
        <v>8</v>
      </c>
      <c r="EU79" s="19">
        <v>6</v>
      </c>
      <c r="EV79" s="19">
        <v>16</v>
      </c>
      <c r="EW79" s="19">
        <v>0</v>
      </c>
      <c r="EX79" s="19">
        <v>24</v>
      </c>
      <c r="EY79" s="19">
        <v>16</v>
      </c>
      <c r="EZ79" s="19">
        <v>6</v>
      </c>
      <c r="FA79" s="19">
        <v>16</v>
      </c>
      <c r="FB79" s="19">
        <v>0</v>
      </c>
      <c r="FC79" s="19">
        <v>24</v>
      </c>
      <c r="FD79" s="19">
        <v>8</v>
      </c>
      <c r="FE79" s="19">
        <v>32</v>
      </c>
      <c r="FF79" s="19">
        <v>16</v>
      </c>
      <c r="FG79" s="19">
        <v>0</v>
      </c>
      <c r="FH79" s="19">
        <v>24</v>
      </c>
      <c r="FI79" s="19">
        <v>26</v>
      </c>
      <c r="FJ79" s="19">
        <v>32</v>
      </c>
      <c r="FK79" s="19">
        <v>16</v>
      </c>
      <c r="FL79" s="19">
        <v>40</v>
      </c>
      <c r="FM79" s="19">
        <v>38</v>
      </c>
      <c r="FN79" s="19">
        <v>42</v>
      </c>
      <c r="FO79" s="19">
        <v>32</v>
      </c>
      <c r="FP79" s="19">
        <v>16</v>
      </c>
      <c r="FQ79" s="19">
        <v>42</v>
      </c>
      <c r="FR79" s="19">
        <v>38</v>
      </c>
      <c r="FS79" s="19">
        <v>48</v>
      </c>
      <c r="FT79" s="19">
        <v>46</v>
      </c>
      <c r="FU79" s="19">
        <v>50</v>
      </c>
      <c r="FV79" s="19">
        <v>42</v>
      </c>
      <c r="FW79" s="19">
        <v>24</v>
      </c>
      <c r="FX79" s="19">
        <v>50</v>
      </c>
      <c r="FY79" s="19">
        <v>46</v>
      </c>
      <c r="FZ79" s="19">
        <v>56</v>
      </c>
      <c r="GA79" s="19">
        <v>42</v>
      </c>
      <c r="GC79" s="19"/>
      <c r="GD79" s="19"/>
      <c r="GE79" s="19" t="s">
        <v>18</v>
      </c>
      <c r="GF79" s="19">
        <v>0</v>
      </c>
      <c r="GG79" s="19">
        <v>0</v>
      </c>
      <c r="GH79" s="19">
        <v>0</v>
      </c>
      <c r="GI79" s="19">
        <v>2</v>
      </c>
      <c r="GJ79" s="19">
        <v>2</v>
      </c>
      <c r="GK79" s="19">
        <v>2</v>
      </c>
      <c r="GL79" s="19">
        <v>4</v>
      </c>
      <c r="GM79" s="19">
        <v>4</v>
      </c>
      <c r="GN79" s="19">
        <v>2</v>
      </c>
      <c r="GO79" s="19">
        <v>4</v>
      </c>
      <c r="GP79" s="19">
        <v>6</v>
      </c>
      <c r="GQ79" s="19">
        <v>4</v>
      </c>
      <c r="GR79" s="19">
        <v>4</v>
      </c>
      <c r="GS79" s="19">
        <v>6</v>
      </c>
      <c r="GT79" s="19">
        <v>8</v>
      </c>
      <c r="GU79" s="19">
        <v>8</v>
      </c>
      <c r="GV79" s="19">
        <v>8</v>
      </c>
      <c r="GW79" s="19">
        <v>22</v>
      </c>
      <c r="GX79" s="19">
        <v>10</v>
      </c>
      <c r="GY79" s="19">
        <v>10</v>
      </c>
      <c r="GZ79" s="19">
        <v>24</v>
      </c>
      <c r="HA79" s="19">
        <v>12</v>
      </c>
      <c r="HB79" s="19">
        <v>18</v>
      </c>
      <c r="HC79" s="19">
        <v>26</v>
      </c>
      <c r="HD79" s="19">
        <v>14</v>
      </c>
      <c r="HE79" s="19">
        <v>0</v>
      </c>
      <c r="HF79" s="19">
        <v>28</v>
      </c>
      <c r="HG79" s="19">
        <v>28</v>
      </c>
      <c r="HH79" s="19">
        <v>2</v>
      </c>
      <c r="HI79" s="19">
        <v>30</v>
      </c>
      <c r="HJ79" s="19">
        <v>30</v>
      </c>
      <c r="HK79" s="19">
        <v>40</v>
      </c>
      <c r="HL79" s="19">
        <v>36</v>
      </c>
      <c r="HM79" s="19">
        <v>18</v>
      </c>
      <c r="HN79" s="19">
        <v>44</v>
      </c>
      <c r="HO79" s="19">
        <v>34</v>
      </c>
      <c r="HP79" s="19">
        <v>20</v>
      </c>
      <c r="HQ79" s="19">
        <v>48</v>
      </c>
      <c r="HR79" s="19">
        <v>48</v>
      </c>
      <c r="HS79" s="19">
        <v>22</v>
      </c>
      <c r="HT79" s="19">
        <v>50</v>
      </c>
      <c r="HU79" s="19">
        <v>50</v>
      </c>
      <c r="HV79" s="19">
        <v>54</v>
      </c>
      <c r="HW79" s="19">
        <v>52</v>
      </c>
      <c r="HX79" s="19">
        <v>38</v>
      </c>
      <c r="HY79" s="19">
        <v>58</v>
      </c>
      <c r="HZ79" s="19">
        <v>54</v>
      </c>
      <c r="IA79" s="19">
        <v>54</v>
      </c>
      <c r="IB79" s="19">
        <v>62</v>
      </c>
      <c r="IC79" s="19">
        <v>54</v>
      </c>
      <c r="ID79" s="19">
        <v>42</v>
      </c>
    </row>
    <row r="80" spans="1:266" x14ac:dyDescent="0.25">
      <c r="A80" s="8"/>
      <c r="B80" s="5" t="s">
        <v>61</v>
      </c>
      <c r="C80" s="8"/>
      <c r="D80" s="4"/>
      <c r="E80" s="4"/>
      <c r="F80" s="222"/>
      <c r="G80" s="222"/>
      <c r="H80" s="222"/>
      <c r="I80" s="222"/>
      <c r="J80" s="4"/>
      <c r="K80" s="4"/>
      <c r="L80" s="6" t="str">
        <f>IF(E73=$AC$1,INDEX(($AN$28:$AO$37,$AN$42:$AO$51,$AN$56:$AO$65),MATCH(I70,$AM$28:$AM$37,0),MATCH(E74,$AN$27:$AO$27,0),MATCH(E76,$AK$22:$AK$24,0)),IF(E73=$AC$2,INDEX(($AT$28:$AU$37,$AT$42:$AU$51,$AT$56:$AU$65),MATCH(I70,$AS$28:$AS$37,0),MATCH(E74,$AT$27:$AU$27,0),MATCH(E76,$AK$22:$AK$24,0)),0))</f>
        <v>BUF35L</v>
      </c>
      <c r="M80" s="14">
        <f>INDEX(cenník!$C$2:$I$568,MATCH($L80,cenník!$B$2:$B$557,0),MATCH(M$24,cenník!$C$1:$I$1,0))</f>
        <v>827335</v>
      </c>
      <c r="N80" s="14" t="str">
        <f>INDEX(cenník!$C$2:$I$568,MATCH($L80,cenník!$B$2:$B$557,0),MATCH(N$24,cenník!$C$1:$I$1,0))</f>
        <v>ks</v>
      </c>
      <c r="O80" s="14">
        <f>SUM(IF(A69=0,0,IF((A69&gt;0),C69*4)),IF(A70=0,0,IF((A70&gt;0),C70*4)),IF(A71=0,0,IF((A71&gt;0),C71*4)),IF(A72=0,0,IF((A72&gt;0),C72*4)),IF(A73=0,0,IF((A73&gt;0),C73*4)),IF(A74=0,0,IF((A74&gt;0),C74*4)),IF(A75=0,0,IF((A75&gt;0),C75*4)),IF(A76=0,0,IF((A76&gt;0),C76*4)),IF(A77=0,0,IF((A77&gt;0),C77*4)),IF(A78=0,0,IF((A78&gt;0),C78*4)),IF(A79=0,0,IF((A79&gt;0),C79*4)),IF(A80=0,0,IF((A80&gt;0),C80*4)),IF(A81=0,0,IF((A81&gt;0),C81*4)),IF(A82=0,0,IF((A82&gt;0),C82*4)),IF(A83=0,0,IF((A83&gt;0),C83*4)),,IF(A84=0,0,IF((A84&gt;0),C84*4)))</f>
        <v>0</v>
      </c>
      <c r="P80" s="21">
        <f>INDEX(cenník!$C$2:$I$568,MATCH($L80,cenník!$B$2:$B$557,0),MATCH(P$24,cenník!$C$1:$I$1,0))</f>
        <v>1.1399999999999999</v>
      </c>
      <c r="Q80" s="21">
        <f t="shared" si="38"/>
        <v>0</v>
      </c>
      <c r="R80" s="22">
        <f t="shared" si="35"/>
        <v>0</v>
      </c>
      <c r="S80" s="21">
        <f t="shared" si="36"/>
        <v>1.1399999999999999</v>
      </c>
      <c r="T80" s="21">
        <f t="shared" si="37"/>
        <v>0</v>
      </c>
      <c r="U80" s="21">
        <f>INDEX(cenník!$C$2:$I$568,MATCH($L80,cenník!$B$2:$B$557,0),MATCH(U$24,cenník!$C$1:$I$1,0))*O80</f>
        <v>0</v>
      </c>
      <c r="V80" s="19"/>
      <c r="W80" s="19"/>
      <c r="X80" s="25">
        <f t="shared" si="34"/>
        <v>0</v>
      </c>
      <c r="Y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83,$BB$2:$CA$2,0),MATCH($W$65,$AH$22:$AH$47,0)))*C83</f>
        <v>0</v>
      </c>
      <c r="Z8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83,$BB$2:$CA$2,0),MATCH($W$65,$AH$22:$AH$47,0)))*C83</f>
        <v>#N/A</v>
      </c>
      <c r="AA8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83,$BB$2:$CA$2,0),MATCH($W$65,$AH$22:$AH$47,0)))*C83</f>
        <v>#N/A</v>
      </c>
      <c r="AB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83,$BB$2:$CA$2,0),MATCH($W$65,$AH$22:$AH$47,0)))*C83</f>
        <v>0</v>
      </c>
      <c r="AC8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83,$BB$2:$CA$2,0),MATCH($W$65,$AH$22:$AH$47,0)))*C83</f>
        <v>#N/A</v>
      </c>
      <c r="AD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83,$BB$2:$CA$2,0),MATCH($W$65,$AH$22:$AH$47,0)))*C83</f>
        <v>0</v>
      </c>
      <c r="AE80" s="19"/>
      <c r="AF80" s="19"/>
      <c r="AG80" s="19"/>
      <c r="AH80" s="19"/>
      <c r="AI80" s="19"/>
      <c r="AJ80" s="19"/>
      <c r="AK80" s="19"/>
      <c r="AL80" s="19"/>
      <c r="AM80" s="19"/>
      <c r="AN80" s="19"/>
      <c r="AO80" s="19"/>
      <c r="AP80" s="19"/>
      <c r="AQ80" s="19"/>
      <c r="AR80" s="19"/>
      <c r="AS80" s="19"/>
      <c r="AT80" s="19"/>
      <c r="AU80" s="19"/>
      <c r="AV80" s="19"/>
      <c r="AW80" s="19"/>
      <c r="AX80" s="19"/>
      <c r="AY80" s="19"/>
      <c r="AZ80" s="19"/>
      <c r="BA80" s="20" t="s">
        <v>179</v>
      </c>
      <c r="BB80" s="20">
        <v>0</v>
      </c>
      <c r="BC80" s="20">
        <v>0</v>
      </c>
      <c r="BD80" s="20">
        <v>0</v>
      </c>
      <c r="BE80" s="20">
        <v>4</v>
      </c>
      <c r="BF80" s="20">
        <v>4</v>
      </c>
      <c r="BG80" s="20">
        <v>4</v>
      </c>
      <c r="BH80" s="20">
        <v>8</v>
      </c>
      <c r="BI80" s="20">
        <v>8</v>
      </c>
      <c r="BJ80" s="20">
        <v>8</v>
      </c>
      <c r="BK80" s="20">
        <v>12</v>
      </c>
      <c r="BL80" s="20">
        <v>12</v>
      </c>
      <c r="BM80" s="20">
        <v>16</v>
      </c>
      <c r="BN80" s="20">
        <v>16</v>
      </c>
      <c r="BO80" s="20">
        <v>16</v>
      </c>
      <c r="BP80" s="20">
        <v>20</v>
      </c>
      <c r="BQ80" s="20">
        <v>20</v>
      </c>
      <c r="BR80" s="20">
        <v>20</v>
      </c>
      <c r="BS80" s="20">
        <v>24</v>
      </c>
      <c r="BT80" s="20">
        <v>24</v>
      </c>
      <c r="BU80" s="20">
        <v>28</v>
      </c>
      <c r="BV80" s="20">
        <v>28</v>
      </c>
      <c r="BW80" s="20">
        <v>28</v>
      </c>
      <c r="BX80" s="20">
        <v>32</v>
      </c>
      <c r="BY80" s="20">
        <v>32</v>
      </c>
      <c r="BZ80" s="20">
        <v>32</v>
      </c>
      <c r="CA80" s="20">
        <v>36</v>
      </c>
      <c r="DA80" s="17"/>
      <c r="DB80" s="17"/>
      <c r="DC80" s="17"/>
      <c r="DD80" s="19" t="s">
        <v>18</v>
      </c>
      <c r="DE80" s="19">
        <v>0</v>
      </c>
      <c r="DF80" s="19">
        <v>0</v>
      </c>
      <c r="DG80" s="19">
        <v>0</v>
      </c>
      <c r="DH80" s="19">
        <v>4</v>
      </c>
      <c r="DI80" s="19">
        <v>2</v>
      </c>
      <c r="DJ80" s="19">
        <v>6</v>
      </c>
      <c r="DK80" s="19">
        <v>4</v>
      </c>
      <c r="DL80" s="19">
        <v>8</v>
      </c>
      <c r="DM80" s="19">
        <v>8</v>
      </c>
      <c r="DN80" s="19">
        <v>10</v>
      </c>
      <c r="DO80" s="19">
        <v>10</v>
      </c>
      <c r="DP80" s="19">
        <v>10</v>
      </c>
      <c r="DQ80" s="19">
        <v>12</v>
      </c>
      <c r="DR80" s="19">
        <v>12</v>
      </c>
      <c r="DS80" s="19">
        <v>16</v>
      </c>
      <c r="DT80" s="19">
        <v>14</v>
      </c>
      <c r="DU80" s="19">
        <v>18</v>
      </c>
      <c r="DV80" s="19">
        <v>18</v>
      </c>
      <c r="DW80" s="19">
        <v>20</v>
      </c>
      <c r="DX80" s="19">
        <v>20</v>
      </c>
      <c r="DY80" s="19">
        <v>20</v>
      </c>
      <c r="DZ80" s="19"/>
      <c r="EA80" s="19"/>
      <c r="EB80" s="19" t="s">
        <v>179</v>
      </c>
      <c r="EC80" s="19">
        <v>0</v>
      </c>
      <c r="ED80" s="19">
        <v>0</v>
      </c>
      <c r="EE80" s="19">
        <v>4</v>
      </c>
      <c r="EF80" s="19">
        <v>4</v>
      </c>
      <c r="EG80" s="19">
        <v>8</v>
      </c>
      <c r="EH80" s="19">
        <v>8</v>
      </c>
      <c r="EI80" s="19">
        <v>12</v>
      </c>
      <c r="EJ80" s="19">
        <v>12</v>
      </c>
      <c r="EK80" s="19">
        <v>16</v>
      </c>
      <c r="EL80" s="19">
        <v>20</v>
      </c>
      <c r="EM80" s="19">
        <v>20</v>
      </c>
      <c r="EN80" s="19">
        <v>24</v>
      </c>
      <c r="EO80" s="19">
        <v>24</v>
      </c>
      <c r="EP80" s="19">
        <v>28</v>
      </c>
      <c r="EQ80" s="19">
        <v>28</v>
      </c>
      <c r="ER80" s="19">
        <v>32</v>
      </c>
      <c r="ES80" s="19">
        <v>36</v>
      </c>
      <c r="ET80" s="19">
        <v>36</v>
      </c>
      <c r="EU80" s="19">
        <v>40</v>
      </c>
      <c r="EV80" s="19">
        <v>40</v>
      </c>
      <c r="EW80" s="19">
        <v>44</v>
      </c>
      <c r="EX80" s="19">
        <v>44</v>
      </c>
      <c r="EY80" s="19">
        <v>48</v>
      </c>
      <c r="EZ80" s="19">
        <v>52</v>
      </c>
      <c r="FA80" s="19">
        <v>52</v>
      </c>
      <c r="FB80" s="19">
        <v>56</v>
      </c>
      <c r="FC80" s="19">
        <v>56</v>
      </c>
      <c r="FD80" s="19">
        <v>60</v>
      </c>
      <c r="FE80" s="19">
        <v>60</v>
      </c>
      <c r="FF80" s="19">
        <v>64</v>
      </c>
      <c r="FG80" s="19">
        <v>68</v>
      </c>
      <c r="FH80" s="19">
        <v>68</v>
      </c>
      <c r="FI80" s="19">
        <v>72</v>
      </c>
      <c r="FJ80" s="19">
        <v>72</v>
      </c>
      <c r="FK80" s="19">
        <v>76</v>
      </c>
      <c r="FL80" s="19">
        <v>76</v>
      </c>
      <c r="FM80" s="19">
        <v>80</v>
      </c>
      <c r="FN80" s="19">
        <v>80</v>
      </c>
      <c r="FO80" s="19">
        <v>84</v>
      </c>
      <c r="FP80" s="19">
        <v>88</v>
      </c>
      <c r="FQ80" s="19">
        <v>88</v>
      </c>
      <c r="FR80" s="19">
        <v>92</v>
      </c>
      <c r="FS80" s="19">
        <v>92</v>
      </c>
      <c r="FT80" s="19">
        <v>96</v>
      </c>
      <c r="FU80" s="19">
        <v>96</v>
      </c>
      <c r="FV80" s="19">
        <v>100</v>
      </c>
      <c r="FW80" s="19">
        <v>104</v>
      </c>
      <c r="FX80" s="19">
        <v>104</v>
      </c>
      <c r="FY80" s="19">
        <v>108</v>
      </c>
      <c r="FZ80" s="19">
        <v>108</v>
      </c>
      <c r="GA80" s="19">
        <v>112</v>
      </c>
      <c r="GC80" s="19"/>
      <c r="GD80" s="19"/>
      <c r="GE80" s="19" t="s">
        <v>179</v>
      </c>
      <c r="GF80" s="19">
        <v>0</v>
      </c>
      <c r="GG80" s="19">
        <f>((((SUM(GG75:GG79))/2)-1))*4</f>
        <v>0</v>
      </c>
      <c r="GH80" s="19">
        <f t="shared" ref="GH80:ID80" si="39">((((SUM(GH75:GH79))/2)-1))*4</f>
        <v>4</v>
      </c>
      <c r="GI80" s="19">
        <f t="shared" si="39"/>
        <v>4</v>
      </c>
      <c r="GJ80" s="19">
        <f t="shared" si="39"/>
        <v>8</v>
      </c>
      <c r="GK80" s="19">
        <f t="shared" si="39"/>
        <v>12</v>
      </c>
      <c r="GL80" s="19">
        <f t="shared" si="39"/>
        <v>12</v>
      </c>
      <c r="GM80" s="19">
        <f t="shared" si="39"/>
        <v>16</v>
      </c>
      <c r="GN80" s="19">
        <f t="shared" si="39"/>
        <v>20</v>
      </c>
      <c r="GO80" s="19">
        <f t="shared" si="39"/>
        <v>20</v>
      </c>
      <c r="GP80" s="19">
        <f t="shared" si="39"/>
        <v>24</v>
      </c>
      <c r="GQ80" s="19">
        <f t="shared" si="39"/>
        <v>28</v>
      </c>
      <c r="GR80" s="19">
        <f t="shared" si="39"/>
        <v>28</v>
      </c>
      <c r="GS80" s="19">
        <f t="shared" si="39"/>
        <v>32</v>
      </c>
      <c r="GT80" s="19">
        <f t="shared" si="39"/>
        <v>36</v>
      </c>
      <c r="GU80" s="19">
        <f t="shared" si="39"/>
        <v>36</v>
      </c>
      <c r="GV80" s="19">
        <f t="shared" si="39"/>
        <v>40</v>
      </c>
      <c r="GW80" s="19">
        <f t="shared" si="39"/>
        <v>40</v>
      </c>
      <c r="GX80" s="19">
        <f t="shared" si="39"/>
        <v>44</v>
      </c>
      <c r="GY80" s="19">
        <f t="shared" si="39"/>
        <v>48</v>
      </c>
      <c r="GZ80" s="19">
        <f t="shared" si="39"/>
        <v>48</v>
      </c>
      <c r="HA80" s="19">
        <f t="shared" si="39"/>
        <v>52</v>
      </c>
      <c r="HB80" s="19">
        <f t="shared" si="39"/>
        <v>56</v>
      </c>
      <c r="HC80" s="19">
        <f t="shared" si="39"/>
        <v>56</v>
      </c>
      <c r="HD80" s="19">
        <f t="shared" si="39"/>
        <v>60</v>
      </c>
      <c r="HE80" s="19">
        <f t="shared" si="39"/>
        <v>64</v>
      </c>
      <c r="HF80" s="19">
        <f t="shared" si="39"/>
        <v>64</v>
      </c>
      <c r="HG80" s="19">
        <f t="shared" si="39"/>
        <v>68</v>
      </c>
      <c r="HH80" s="19">
        <f t="shared" si="39"/>
        <v>72</v>
      </c>
      <c r="HI80" s="19">
        <f t="shared" si="39"/>
        <v>72</v>
      </c>
      <c r="HJ80" s="19">
        <f t="shared" si="39"/>
        <v>76</v>
      </c>
      <c r="HK80" s="19">
        <f t="shared" si="39"/>
        <v>76</v>
      </c>
      <c r="HL80" s="19">
        <f t="shared" si="39"/>
        <v>80</v>
      </c>
      <c r="HM80" s="19">
        <f t="shared" si="39"/>
        <v>84</v>
      </c>
      <c r="HN80" s="19">
        <f t="shared" si="39"/>
        <v>84</v>
      </c>
      <c r="HO80" s="19">
        <f t="shared" si="39"/>
        <v>88</v>
      </c>
      <c r="HP80" s="19">
        <f t="shared" si="39"/>
        <v>92</v>
      </c>
      <c r="HQ80" s="19">
        <f t="shared" si="39"/>
        <v>92</v>
      </c>
      <c r="HR80" s="19">
        <f t="shared" si="39"/>
        <v>96</v>
      </c>
      <c r="HS80" s="19">
        <f t="shared" si="39"/>
        <v>100</v>
      </c>
      <c r="HT80" s="19">
        <f t="shared" si="39"/>
        <v>100</v>
      </c>
      <c r="HU80" s="19">
        <f t="shared" si="39"/>
        <v>104</v>
      </c>
      <c r="HV80" s="19">
        <f t="shared" si="39"/>
        <v>104</v>
      </c>
      <c r="HW80" s="19">
        <f t="shared" si="39"/>
        <v>108</v>
      </c>
      <c r="HX80" s="19">
        <f t="shared" si="39"/>
        <v>112</v>
      </c>
      <c r="HY80" s="19">
        <f t="shared" si="39"/>
        <v>112</v>
      </c>
      <c r="HZ80" s="19">
        <f t="shared" si="39"/>
        <v>116</v>
      </c>
      <c r="IA80" s="19">
        <f t="shared" si="39"/>
        <v>120</v>
      </c>
      <c r="IB80" s="19">
        <f t="shared" si="39"/>
        <v>120</v>
      </c>
      <c r="IC80" s="19">
        <f t="shared" si="39"/>
        <v>124</v>
      </c>
      <c r="ID80" s="19">
        <f t="shared" si="39"/>
        <v>128</v>
      </c>
    </row>
    <row r="81" spans="1:238" x14ac:dyDescent="0.25">
      <c r="A81" s="8"/>
      <c r="B81" s="5" t="s">
        <v>61</v>
      </c>
      <c r="C81" s="8"/>
      <c r="D81" s="4"/>
      <c r="E81" s="4"/>
      <c r="F81" s="4"/>
      <c r="G81" s="4"/>
      <c r="H81" s="4"/>
      <c r="I81" s="4"/>
      <c r="J81" s="4"/>
      <c r="K81" s="4"/>
      <c r="L81" s="6" t="str">
        <f>IF(E73=$AC$1,INDEX(($AN$38:$AO$38,$AN$52:$AO$52,$AN$66:$AO$66),1,MATCH($E$74,$AN$27:$AO$27,0),MATCH($E$76,$AK$22:$AK$24,0)),IF(E73=$AC$2,INDEX(($AT$38:$AU$38,$AT$52:$AU$52,$AT$66:$AU$66),1,MATCH($E$74,$AT$27:$AU$27,0),MATCH($E$76,$AK$22:$AK$24,0)),0))</f>
        <v>PUFL</v>
      </c>
      <c r="M81" s="14">
        <f>INDEX(cenník!$C$2:$I$568,MATCH($L81,cenník!$B$2:$B$557,0),MATCH(M$24,cenník!$C$1:$I$1,0))</f>
        <v>897302</v>
      </c>
      <c r="N81" s="14" t="str">
        <f>INDEX(cenník!$C$2:$I$568,MATCH($L81,cenník!$B$2:$B$557,0),MATCH(N$24,cenník!$C$1:$I$1,0))</f>
        <v>ks</v>
      </c>
      <c r="O81" s="14">
        <f>SUM(IF(A69=0,0,IF(A69&gt;0,(A69-1)*2*C69)),IF(A70=0,0,IF(A70&gt;0,(A70-1)*2*C70)),IF(A71=0,0,IF(A71&gt;0,(A71-1)*2*C71)),IF(A72=0,0,IF(A72&gt;0,(A72-1)*2*C72)),IF(A73=0,0,IF(A73&gt;0,(A73-1)*2*C73)),IF(A74=0,0,IF(A74&gt;0,(A74-1)*2*C74)),IF(A75=0,0,IF(A75&gt;0,(A75-1)*2*C75)),IF(A76=0,0,IF(A76&gt;0,(A76-1)*2*C76)),IF(A77=0,0,IF(A77&gt;0,(A77-1)*2*C77)),IF(A78=0,0,IF(A78&gt;0,(A78-1)*2*C78)),IF(A79=0,0,IF(A79&gt;0,(A79-1)*2*C79)),IF(A80=0,0,IF(A80&gt;0,(A80-1)*2*C80)),IF(A81=0,0,IF(A81&gt;0,(A81-1)*2*C81)),IF(A82=0,0,IF(A82&gt;0,(A82-1)*2*C82)),IF(A83=0,0,IF(A83&gt;0,(A83-1)*2*C83)),IF(A84=0,0,IF(A84&gt;0,(A84-1)*2*C84)))</f>
        <v>0</v>
      </c>
      <c r="P81" s="21">
        <f>INDEX(cenník!$C$2:$I$568,MATCH($L81,cenník!$B$2:$B$557,0),MATCH(P$24,cenník!$C$1:$I$1,0))</f>
        <v>1.2</v>
      </c>
      <c r="Q81" s="21">
        <f t="shared" si="38"/>
        <v>0</v>
      </c>
      <c r="R81" s="22">
        <f t="shared" si="35"/>
        <v>0</v>
      </c>
      <c r="S81" s="21">
        <f t="shared" si="36"/>
        <v>1.2</v>
      </c>
      <c r="T81" s="21">
        <f t="shared" si="37"/>
        <v>0</v>
      </c>
      <c r="U81" s="21">
        <f>INDEX(cenník!$C$2:$I$568,MATCH($L81,cenník!$B$2:$B$557,0),MATCH(U$24,cenník!$C$1:$I$1,0))*O81</f>
        <v>0</v>
      </c>
      <c r="V81" s="19"/>
      <c r="W81" s="19"/>
      <c r="X81" s="19"/>
      <c r="Y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$75,$BA$3:$BA$17,0),MATCH(A84,$BB$2:$CA$2,0),MATCH($W$65,$AH$22:$AH$47,0)))*C84</f>
        <v>0</v>
      </c>
      <c r="Z8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$70,$BA$3:$BA$17,0),MATCH(A84,$BB$2:$CA$2,0),MATCH($W$65,$AH$22:$AH$47,0)))*C84</f>
        <v>#N/A</v>
      </c>
      <c r="AA8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$71,$BA$3:$BA$17,0),MATCH(A84,$BB$2:$CA$2,0),MATCH($W$65,$AH$22:$AH$47,0)))*C84</f>
        <v>#N/A</v>
      </c>
      <c r="AB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$72,$BA$3:$BA$17,0),MATCH(A84,$BB$2:$CA$2,0),MATCH($W$65,$AH$22:$AH$47,0)))*C84</f>
        <v>0</v>
      </c>
      <c r="AC8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$73,$BA$3:$BA$17,0),MATCH(A84,$BB$2:$CA$2,0),MATCH($W$65,$AH$22:$AH$47,0)))*C84</f>
        <v>#N/A</v>
      </c>
      <c r="AD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$74,$BA$3:$BA$17,0),MATCH(A84,$BB$2:$CA$2,0),MATCH($W$65,$AH$22:$AH$47,0)))*C84</f>
        <v>0</v>
      </c>
      <c r="AE81" s="19"/>
      <c r="AF81" s="19"/>
      <c r="AG81" s="19"/>
      <c r="AH81" s="19"/>
      <c r="AI81" s="19"/>
      <c r="AJ81" s="19"/>
      <c r="AK81" s="19"/>
      <c r="AL81" s="19"/>
      <c r="AM81" s="19"/>
      <c r="AN81" s="19"/>
      <c r="AO81" s="19"/>
      <c r="AP81" s="19"/>
      <c r="AQ81" s="19"/>
      <c r="AR81" s="19"/>
      <c r="AS81" s="19"/>
      <c r="AT81" s="19"/>
      <c r="AU81" s="19"/>
      <c r="AV81" s="19"/>
      <c r="AW81" s="19"/>
      <c r="AX81" s="19"/>
      <c r="AY81" s="19"/>
      <c r="AZ81" s="19"/>
      <c r="BA81" s="20" t="s">
        <v>234</v>
      </c>
      <c r="BB81" s="20">
        <v>0</v>
      </c>
      <c r="BC81" s="20">
        <v>0</v>
      </c>
      <c r="BD81" s="20">
        <v>0</v>
      </c>
      <c r="BE81" s="20">
        <v>0</v>
      </c>
      <c r="BF81" s="20">
        <v>0</v>
      </c>
      <c r="BG81" s="20">
        <v>0</v>
      </c>
      <c r="BH81" s="20">
        <v>2</v>
      </c>
      <c r="BI81" s="20">
        <v>0</v>
      </c>
      <c r="BJ81" s="20">
        <v>0</v>
      </c>
      <c r="BK81" s="20">
        <v>2</v>
      </c>
      <c r="BL81" s="20">
        <v>0</v>
      </c>
      <c r="BM81" s="20">
        <v>0</v>
      </c>
      <c r="BN81" s="20">
        <v>0</v>
      </c>
      <c r="BO81" s="20">
        <v>0</v>
      </c>
      <c r="BP81" s="20">
        <v>0</v>
      </c>
      <c r="BQ81" s="20">
        <v>0</v>
      </c>
      <c r="BR81" s="20">
        <v>0</v>
      </c>
      <c r="BS81" s="20">
        <v>2</v>
      </c>
      <c r="BT81" s="20">
        <v>0</v>
      </c>
      <c r="BU81" s="20">
        <v>0</v>
      </c>
      <c r="BV81" s="20">
        <v>0</v>
      </c>
      <c r="BW81" s="20">
        <v>0</v>
      </c>
      <c r="BX81" s="20">
        <v>0</v>
      </c>
      <c r="BY81" s="20">
        <v>0</v>
      </c>
      <c r="BZ81" s="20">
        <v>0</v>
      </c>
      <c r="CA81" s="20">
        <v>0</v>
      </c>
      <c r="DA81" s="17"/>
      <c r="DB81" s="17"/>
      <c r="DC81" s="17"/>
      <c r="DD81" s="19" t="s">
        <v>179</v>
      </c>
      <c r="DE81" s="19">
        <v>0</v>
      </c>
      <c r="DF81" s="19">
        <v>0</v>
      </c>
      <c r="DG81" s="19">
        <v>4</v>
      </c>
      <c r="DH81" s="19">
        <v>4</v>
      </c>
      <c r="DI81" s="19">
        <v>8</v>
      </c>
      <c r="DJ81" s="19">
        <v>8</v>
      </c>
      <c r="DK81" s="19">
        <v>12</v>
      </c>
      <c r="DL81" s="19">
        <v>12</v>
      </c>
      <c r="DM81" s="19">
        <v>16</v>
      </c>
      <c r="DN81" s="19">
        <v>16</v>
      </c>
      <c r="DO81" s="19">
        <v>20</v>
      </c>
      <c r="DP81" s="19">
        <v>24</v>
      </c>
      <c r="DQ81" s="19">
        <v>24</v>
      </c>
      <c r="DR81" s="19">
        <v>28</v>
      </c>
      <c r="DS81" s="19">
        <v>28</v>
      </c>
      <c r="DT81" s="19">
        <v>32</v>
      </c>
      <c r="DU81" s="19">
        <v>32</v>
      </c>
      <c r="DV81" s="19">
        <v>36</v>
      </c>
      <c r="DW81" s="19">
        <v>36</v>
      </c>
      <c r="DX81" s="19">
        <v>40</v>
      </c>
      <c r="DY81" s="19">
        <v>44</v>
      </c>
      <c r="DZ81" s="19"/>
      <c r="EA81" s="19"/>
      <c r="EB81" s="26" t="s">
        <v>234</v>
      </c>
      <c r="EC81" s="19">
        <v>0</v>
      </c>
      <c r="ED81" s="19">
        <v>0</v>
      </c>
      <c r="EE81" s="19">
        <v>0</v>
      </c>
      <c r="EF81" s="19">
        <v>0</v>
      </c>
      <c r="EG81" s="19">
        <v>0</v>
      </c>
      <c r="EH81" s="19">
        <v>0</v>
      </c>
      <c r="EI81" s="19">
        <v>0</v>
      </c>
      <c r="EJ81" s="19">
        <v>0</v>
      </c>
      <c r="EK81" s="19">
        <v>0</v>
      </c>
      <c r="EL81" s="19">
        <v>0</v>
      </c>
      <c r="EM81" s="19">
        <v>0</v>
      </c>
      <c r="EN81" s="19">
        <v>0</v>
      </c>
      <c r="EO81" s="19">
        <v>0</v>
      </c>
      <c r="EP81" s="19">
        <v>0</v>
      </c>
      <c r="EQ81" s="19">
        <v>0</v>
      </c>
      <c r="ER81" s="19">
        <v>0</v>
      </c>
      <c r="ES81" s="19">
        <v>0</v>
      </c>
      <c r="ET81" s="19">
        <v>0</v>
      </c>
      <c r="EU81" s="19">
        <v>0</v>
      </c>
      <c r="EV81" s="19">
        <v>0</v>
      </c>
      <c r="EW81" s="19">
        <v>0</v>
      </c>
      <c r="EX81" s="19">
        <v>0</v>
      </c>
      <c r="EY81" s="19">
        <v>0</v>
      </c>
      <c r="EZ81" s="19">
        <v>0</v>
      </c>
      <c r="FA81" s="19">
        <v>0</v>
      </c>
      <c r="FB81" s="19">
        <v>0</v>
      </c>
      <c r="FC81" s="19">
        <v>0</v>
      </c>
      <c r="FD81" s="19">
        <v>0</v>
      </c>
      <c r="FE81" s="19">
        <v>0</v>
      </c>
      <c r="FF81" s="19">
        <v>0</v>
      </c>
      <c r="FG81" s="19">
        <v>0</v>
      </c>
      <c r="FH81" s="19">
        <v>0</v>
      </c>
      <c r="FI81" s="19">
        <v>0</v>
      </c>
      <c r="FJ81" s="19">
        <v>0</v>
      </c>
      <c r="FK81" s="19">
        <v>0</v>
      </c>
      <c r="FL81" s="19">
        <v>0</v>
      </c>
      <c r="FM81" s="19">
        <v>0</v>
      </c>
      <c r="FN81" s="19">
        <v>0</v>
      </c>
      <c r="FO81" s="19">
        <v>0</v>
      </c>
      <c r="FP81" s="19">
        <v>0</v>
      </c>
      <c r="FQ81" s="19">
        <v>0</v>
      </c>
      <c r="FR81" s="19">
        <v>0</v>
      </c>
      <c r="FS81" s="19">
        <v>0</v>
      </c>
      <c r="FT81" s="19">
        <v>0</v>
      </c>
      <c r="FU81" s="19">
        <v>0</v>
      </c>
      <c r="FV81" s="19">
        <v>0</v>
      </c>
      <c r="FW81" s="19">
        <v>0</v>
      </c>
      <c r="FX81" s="19">
        <v>0</v>
      </c>
      <c r="FY81" s="19">
        <v>0</v>
      </c>
      <c r="FZ81" s="19">
        <v>0</v>
      </c>
      <c r="GA81" s="19">
        <v>0</v>
      </c>
      <c r="GC81" s="19"/>
      <c r="GD81" s="19"/>
      <c r="GE81" s="26" t="s">
        <v>234</v>
      </c>
      <c r="GF81" s="19">
        <v>0</v>
      </c>
      <c r="GG81" s="19">
        <v>0</v>
      </c>
      <c r="GH81" s="19">
        <v>2</v>
      </c>
      <c r="GI81" s="19">
        <v>0</v>
      </c>
      <c r="GJ81" s="19">
        <v>0</v>
      </c>
      <c r="GK81" s="19">
        <v>0</v>
      </c>
      <c r="GL81" s="19">
        <v>0</v>
      </c>
      <c r="GM81" s="19">
        <v>0</v>
      </c>
      <c r="GN81" s="19">
        <v>0</v>
      </c>
      <c r="GO81" s="19">
        <v>0</v>
      </c>
      <c r="GP81" s="19">
        <v>0</v>
      </c>
      <c r="GQ81" s="19">
        <v>0</v>
      </c>
      <c r="GR81" s="19">
        <v>0</v>
      </c>
      <c r="GS81" s="19">
        <v>0</v>
      </c>
      <c r="GT81" s="19">
        <v>0</v>
      </c>
      <c r="GU81" s="19">
        <v>0</v>
      </c>
      <c r="GV81" s="19">
        <v>0</v>
      </c>
      <c r="GW81" s="19">
        <v>0</v>
      </c>
      <c r="GX81" s="19">
        <v>0</v>
      </c>
      <c r="GY81" s="19">
        <v>0</v>
      </c>
      <c r="GZ81" s="19">
        <v>0</v>
      </c>
      <c r="HA81" s="19">
        <v>0</v>
      </c>
      <c r="HB81" s="19">
        <v>0</v>
      </c>
      <c r="HC81" s="19">
        <v>0</v>
      </c>
      <c r="HD81" s="19">
        <v>0</v>
      </c>
      <c r="HE81" s="19">
        <v>0</v>
      </c>
      <c r="HF81" s="19">
        <v>0</v>
      </c>
      <c r="HG81" s="19">
        <v>0</v>
      </c>
      <c r="HH81" s="19">
        <v>0</v>
      </c>
      <c r="HI81" s="19">
        <v>0</v>
      </c>
      <c r="HJ81" s="19">
        <v>0</v>
      </c>
      <c r="HK81" s="19">
        <v>0</v>
      </c>
      <c r="HL81" s="19">
        <v>0</v>
      </c>
      <c r="HM81" s="19">
        <v>0</v>
      </c>
      <c r="HN81" s="19">
        <v>0</v>
      </c>
      <c r="HO81" s="19">
        <v>0</v>
      </c>
      <c r="HP81" s="19">
        <v>0</v>
      </c>
      <c r="HQ81" s="19">
        <v>0</v>
      </c>
      <c r="HR81" s="19">
        <v>0</v>
      </c>
      <c r="HS81" s="19">
        <v>0</v>
      </c>
      <c r="HT81" s="19">
        <v>0</v>
      </c>
      <c r="HU81" s="19">
        <v>0</v>
      </c>
      <c r="HV81" s="19">
        <v>0</v>
      </c>
      <c r="HW81" s="19">
        <v>0</v>
      </c>
      <c r="HX81" s="19">
        <v>0</v>
      </c>
      <c r="HY81" s="19">
        <v>0</v>
      </c>
      <c r="HZ81" s="19">
        <v>0</v>
      </c>
      <c r="IA81" s="19">
        <v>2</v>
      </c>
      <c r="IB81" s="19">
        <v>0</v>
      </c>
      <c r="IC81" s="19">
        <v>0</v>
      </c>
      <c r="ID81" s="19">
        <v>0</v>
      </c>
    </row>
    <row r="82" spans="1:238" x14ac:dyDescent="0.25">
      <c r="A82" s="8"/>
      <c r="B82" s="5" t="s">
        <v>61</v>
      </c>
      <c r="C82" s="8"/>
      <c r="D82" s="4"/>
      <c r="E82" s="4"/>
      <c r="F82" s="4"/>
      <c r="G82" s="4"/>
      <c r="H82" s="4"/>
      <c r="I82" s="4"/>
      <c r="J82" s="4"/>
      <c r="K82" s="4"/>
      <c r="L82" s="6" t="str">
        <f>IF(E73=$AC$1,INDEX(($AP$28:$AP$37,$AP$42:$AP$51,$AP$56:$AP$65),MATCH(I70,$AM$28:$AM$37,0),1,MATCH(E76,$AK$22:$AK$24,0)),IF(E73=$AC$2,INDEX(($AV$28:$AV$37,$AV$42:$AV$51,$AV$56:$AV$65),MATCH(I70,$AS$28:$AS$37,0),1,MATCH(E76,$AK$22:$AK$24,0)),0))</f>
        <v>SAM8X30E</v>
      </c>
      <c r="M82" s="14">
        <f>INDEX(cenník!$C$2:$I$568,MATCH($L82,cenník!$B$2:$B$557,0),MATCH(M$24,cenník!$C$1:$I$1,0))</f>
        <v>898530</v>
      </c>
      <c r="N82" s="14" t="str">
        <f>INDEX(cenník!$C$2:$I$568,MATCH($L82,cenník!$B$2:$B$557,0),MATCH(N$24,cenník!$C$1:$I$1,0))</f>
        <v>ks</v>
      </c>
      <c r="O82" s="14">
        <f>IF(AE79="suma",SUM(O80:O81),IF(AE79="len buff",O80,IF(AE79=0,0,0)))</f>
        <v>0</v>
      </c>
      <c r="P82" s="21">
        <f>INDEX(cenník!$C$2:$I$568,MATCH($L82,cenník!$B$2:$B$557,0),MATCH(P$24,cenník!$C$1:$I$1,0))</f>
        <v>0.18</v>
      </c>
      <c r="Q82" s="21">
        <f t="shared" si="38"/>
        <v>0</v>
      </c>
      <c r="R82" s="22">
        <f t="shared" si="35"/>
        <v>0</v>
      </c>
      <c r="S82" s="21">
        <f t="shared" si="36"/>
        <v>0.18</v>
      </c>
      <c r="T82" s="21">
        <f t="shared" si="37"/>
        <v>0</v>
      </c>
      <c r="U82" s="21">
        <f>INDEX(cenník!$C$2:$I$568,MATCH($L82,cenník!$B$2:$B$557,0),MATCH(U$24,cenník!$C$1:$I$1,0))*O82</f>
        <v>0</v>
      </c>
      <c r="V82" s="19"/>
      <c r="AE82" s="19"/>
      <c r="AF82" s="19"/>
      <c r="AG82" s="19"/>
      <c r="AH82" s="19"/>
      <c r="AI82" s="19"/>
      <c r="AJ82" s="19"/>
      <c r="AK82" s="19"/>
      <c r="AL82" s="19"/>
      <c r="AM82" s="19"/>
      <c r="AN82" s="19"/>
      <c r="AO82" s="19"/>
      <c r="AP82" s="19"/>
      <c r="AQ82" s="19"/>
      <c r="AR82" s="19"/>
      <c r="AS82" s="19"/>
      <c r="AT82" s="19"/>
      <c r="AU82" s="19"/>
      <c r="AV82" s="19"/>
      <c r="AW82" s="19"/>
      <c r="AX82" s="19"/>
      <c r="AY82" s="19"/>
      <c r="AZ82" s="19"/>
      <c r="BA82" s="20" t="s">
        <v>235</v>
      </c>
      <c r="BB82" s="20">
        <v>0</v>
      </c>
      <c r="BC82" s="20">
        <v>0</v>
      </c>
      <c r="BD82" s="20">
        <v>0</v>
      </c>
      <c r="BE82" s="20">
        <v>4</v>
      </c>
      <c r="BF82" s="20">
        <v>2</v>
      </c>
      <c r="BG82" s="20">
        <v>0</v>
      </c>
      <c r="BH82" s="20">
        <v>0</v>
      </c>
      <c r="BI82" s="20">
        <v>0</v>
      </c>
      <c r="BJ82" s="20">
        <v>0</v>
      </c>
      <c r="BK82" s="20">
        <v>0</v>
      </c>
      <c r="BL82" s="20">
        <v>0</v>
      </c>
      <c r="BM82" s="20">
        <v>4</v>
      </c>
      <c r="BN82" s="20">
        <v>2</v>
      </c>
      <c r="BO82" s="20">
        <v>0</v>
      </c>
      <c r="BP82" s="20">
        <v>0</v>
      </c>
      <c r="BQ82" s="20">
        <v>0</v>
      </c>
      <c r="BR82" s="20">
        <v>0</v>
      </c>
      <c r="BS82" s="20">
        <v>0</v>
      </c>
      <c r="BT82" s="20">
        <v>0</v>
      </c>
      <c r="BU82" s="20">
        <v>0</v>
      </c>
      <c r="BV82" s="20">
        <v>0</v>
      </c>
      <c r="BW82" s="20">
        <v>0</v>
      </c>
      <c r="BX82" s="20">
        <v>0</v>
      </c>
      <c r="BY82" s="20">
        <v>0</v>
      </c>
      <c r="BZ82" s="20">
        <v>0</v>
      </c>
      <c r="CA82" s="20">
        <v>0</v>
      </c>
      <c r="DA82" s="17"/>
      <c r="DB82" s="17"/>
      <c r="DC82" s="17"/>
      <c r="DD82" s="19" t="s">
        <v>236</v>
      </c>
      <c r="DE82" s="19">
        <v>0</v>
      </c>
      <c r="DF82" s="19">
        <v>2</v>
      </c>
      <c r="DG82" s="19">
        <v>4</v>
      </c>
      <c r="DH82" s="19">
        <v>0</v>
      </c>
      <c r="DI82" s="19">
        <v>4</v>
      </c>
      <c r="DJ82" s="19">
        <v>0</v>
      </c>
      <c r="DK82" s="19">
        <v>4</v>
      </c>
      <c r="DL82" s="19">
        <v>0</v>
      </c>
      <c r="DM82" s="19">
        <v>2</v>
      </c>
      <c r="DN82" s="19">
        <v>0</v>
      </c>
      <c r="DO82" s="19">
        <v>2</v>
      </c>
      <c r="DP82" s="19">
        <v>4</v>
      </c>
      <c r="DQ82" s="19">
        <v>2</v>
      </c>
      <c r="DR82" s="19">
        <v>4</v>
      </c>
      <c r="DS82" s="19">
        <v>0</v>
      </c>
      <c r="DT82" s="19">
        <v>4</v>
      </c>
      <c r="DU82" s="19">
        <v>0</v>
      </c>
      <c r="DV82" s="19">
        <v>2</v>
      </c>
      <c r="DW82" s="19">
        <v>0</v>
      </c>
      <c r="DX82" s="19">
        <v>2</v>
      </c>
      <c r="DY82" s="19">
        <v>4</v>
      </c>
      <c r="DZ82" s="19"/>
      <c r="EA82" s="19"/>
      <c r="EB82" s="26" t="s">
        <v>235</v>
      </c>
      <c r="EC82" s="19">
        <v>0</v>
      </c>
      <c r="ED82" s="19">
        <v>2</v>
      </c>
      <c r="EE82" s="19">
        <v>4</v>
      </c>
      <c r="EF82" s="19">
        <v>0</v>
      </c>
      <c r="EG82" s="19">
        <v>2</v>
      </c>
      <c r="EH82" s="19">
        <v>0</v>
      </c>
      <c r="EI82" s="19">
        <v>2</v>
      </c>
      <c r="EJ82" s="19">
        <v>0</v>
      </c>
      <c r="EK82" s="19">
        <v>2</v>
      </c>
      <c r="EL82" s="19">
        <v>0</v>
      </c>
      <c r="EM82" s="19">
        <v>0</v>
      </c>
      <c r="EN82" s="19">
        <v>2</v>
      </c>
      <c r="EO82" s="19">
        <v>0</v>
      </c>
      <c r="EP82" s="19">
        <v>2</v>
      </c>
      <c r="EQ82" s="19">
        <v>0</v>
      </c>
      <c r="ER82" s="19">
        <v>0</v>
      </c>
      <c r="ES82" s="19">
        <v>2</v>
      </c>
      <c r="ET82" s="19">
        <v>0</v>
      </c>
      <c r="EU82" s="19">
        <v>2</v>
      </c>
      <c r="EV82" s="19">
        <v>0</v>
      </c>
      <c r="EW82" s="19">
        <v>0</v>
      </c>
      <c r="EX82" s="19">
        <v>0</v>
      </c>
      <c r="EY82" s="19">
        <v>0</v>
      </c>
      <c r="EZ82" s="19">
        <v>2</v>
      </c>
      <c r="FA82" s="19">
        <v>0</v>
      </c>
      <c r="FB82" s="19">
        <v>0</v>
      </c>
      <c r="FC82" s="19">
        <v>0</v>
      </c>
      <c r="FD82" s="19">
        <v>0</v>
      </c>
      <c r="FE82" s="19">
        <v>0</v>
      </c>
      <c r="FF82" s="19">
        <v>0</v>
      </c>
      <c r="FG82" s="19">
        <v>0</v>
      </c>
      <c r="FH82" s="19">
        <v>0</v>
      </c>
      <c r="FI82" s="19">
        <v>0</v>
      </c>
      <c r="FJ82" s="19">
        <v>0</v>
      </c>
      <c r="FK82" s="19">
        <v>0</v>
      </c>
      <c r="FL82" s="19">
        <v>0</v>
      </c>
      <c r="FM82" s="19">
        <v>0</v>
      </c>
      <c r="FN82" s="19">
        <v>0</v>
      </c>
      <c r="FO82" s="19">
        <v>0</v>
      </c>
      <c r="FP82" s="19">
        <v>0</v>
      </c>
      <c r="FQ82" s="19">
        <v>0</v>
      </c>
      <c r="FR82" s="19">
        <v>0</v>
      </c>
      <c r="FS82" s="19">
        <v>0</v>
      </c>
      <c r="FT82" s="19">
        <v>0</v>
      </c>
      <c r="FU82" s="19">
        <v>0</v>
      </c>
      <c r="FV82" s="19">
        <v>0</v>
      </c>
      <c r="FW82" s="19">
        <v>0</v>
      </c>
      <c r="FX82" s="19">
        <v>0</v>
      </c>
      <c r="FY82" s="19">
        <v>0</v>
      </c>
      <c r="FZ82" s="19">
        <v>0</v>
      </c>
      <c r="GA82" s="19">
        <v>0</v>
      </c>
      <c r="GC82" s="19"/>
      <c r="GD82" s="19"/>
      <c r="GE82" s="26" t="s">
        <v>235</v>
      </c>
      <c r="GF82" s="19">
        <v>0</v>
      </c>
      <c r="GG82" s="19">
        <v>0</v>
      </c>
      <c r="GH82" s="19">
        <v>0</v>
      </c>
      <c r="GI82" s="19">
        <v>0</v>
      </c>
      <c r="GJ82" s="19">
        <v>2</v>
      </c>
      <c r="GK82" s="19">
        <v>2</v>
      </c>
      <c r="GL82" s="19">
        <v>0</v>
      </c>
      <c r="GM82" s="19">
        <v>2</v>
      </c>
      <c r="GN82" s="19">
        <v>0</v>
      </c>
      <c r="GO82" s="19">
        <v>0</v>
      </c>
      <c r="GP82" s="19">
        <v>2</v>
      </c>
      <c r="GQ82" s="19">
        <v>0</v>
      </c>
      <c r="GR82" s="19">
        <v>0</v>
      </c>
      <c r="GS82" s="19">
        <v>0</v>
      </c>
      <c r="GT82" s="19">
        <v>4</v>
      </c>
      <c r="GU82" s="19">
        <v>0</v>
      </c>
      <c r="GV82" s="19">
        <v>0</v>
      </c>
      <c r="GW82" s="19">
        <v>0</v>
      </c>
      <c r="GX82" s="19">
        <v>0</v>
      </c>
      <c r="GY82" s="19">
        <v>0</v>
      </c>
      <c r="GZ82" s="19">
        <v>0</v>
      </c>
      <c r="HA82" s="19">
        <v>0</v>
      </c>
      <c r="HB82" s="19">
        <v>0</v>
      </c>
      <c r="HC82" s="19">
        <v>0</v>
      </c>
      <c r="HD82" s="19">
        <v>0</v>
      </c>
      <c r="HE82" s="19">
        <v>0</v>
      </c>
      <c r="HF82" s="19">
        <v>0</v>
      </c>
      <c r="HG82" s="19">
        <v>0</v>
      </c>
      <c r="HH82" s="19">
        <v>0</v>
      </c>
      <c r="HI82" s="19">
        <v>0</v>
      </c>
      <c r="HJ82" s="19">
        <v>0</v>
      </c>
      <c r="HK82" s="19">
        <v>0</v>
      </c>
      <c r="HL82" s="19">
        <v>0</v>
      </c>
      <c r="HM82" s="19">
        <v>0</v>
      </c>
      <c r="HN82" s="19">
        <v>0</v>
      </c>
      <c r="HO82" s="19">
        <v>0</v>
      </c>
      <c r="HP82" s="19">
        <v>0</v>
      </c>
      <c r="HQ82" s="19">
        <v>0</v>
      </c>
      <c r="HR82" s="19">
        <v>0</v>
      </c>
      <c r="HS82" s="19">
        <v>0</v>
      </c>
      <c r="HT82" s="19">
        <v>0</v>
      </c>
      <c r="HU82" s="19">
        <v>0</v>
      </c>
      <c r="HV82" s="19">
        <v>0</v>
      </c>
      <c r="HW82" s="19">
        <v>0</v>
      </c>
      <c r="HX82" s="19">
        <v>0</v>
      </c>
      <c r="HY82" s="19">
        <v>0</v>
      </c>
      <c r="HZ82" s="19">
        <v>0</v>
      </c>
      <c r="IA82" s="19">
        <v>0</v>
      </c>
      <c r="IB82" s="19">
        <v>0</v>
      </c>
      <c r="IC82" s="19">
        <v>0</v>
      </c>
      <c r="ID82" s="19">
        <v>0</v>
      </c>
    </row>
    <row r="83" spans="1:238" x14ac:dyDescent="0.25">
      <c r="A83" s="8"/>
      <c r="B83" s="5" t="s">
        <v>61</v>
      </c>
      <c r="C83" s="8"/>
      <c r="D83" s="4"/>
      <c r="E83" s="4"/>
      <c r="F83" s="4"/>
      <c r="G83" s="4"/>
      <c r="H83" s="4"/>
      <c r="I83" s="4"/>
      <c r="J83" s="4"/>
      <c r="K83" s="4"/>
      <c r="L83" s="6" t="str">
        <f>IF(E73=$AC$1,INDEX(($AQ$28:$AQ$37,$AQ$42:$AQ$51,$AQ$56:$AQ$65),MATCH(I70,$AM$28:$AM$37,0),1,MATCH(E76,$AK$22:$AK$24,0)),IF(E73=$AC$2,INDEX(($AW$28:$AW$37,$AW$42:$AW$51,$AW$56:$AW$65),MATCH(I70,$AS$28:$AS$37,0),1,MATCH(E76,$AK$22:$AK$24,0)),0))</f>
        <v>NRM8F</v>
      </c>
      <c r="M83" s="14">
        <f>INDEX(cenník!$C$2:$I$568,MATCH($L83,cenník!$B$2:$B$557,0),MATCH(M$24,cenník!$C$1:$I$1,0))</f>
        <v>890101</v>
      </c>
      <c r="N83" s="14" t="str">
        <f>INDEX(cenník!$C$2:$I$568,MATCH($L83,cenník!$B$2:$B$557,0),MATCH(N$24,cenník!$C$1:$I$1,0))</f>
        <v>ks</v>
      </c>
      <c r="O83" s="14">
        <f>O82</f>
        <v>0</v>
      </c>
      <c r="P83" s="21">
        <f>INDEX(cenník!$C$2:$I$568,MATCH($L83,cenník!$B$2:$B$557,0),MATCH(P$24,cenník!$C$1:$I$1,0))</f>
        <v>0.78</v>
      </c>
      <c r="Q83" s="21">
        <f t="shared" si="38"/>
        <v>0</v>
      </c>
      <c r="R83" s="22">
        <f t="shared" si="35"/>
        <v>0</v>
      </c>
      <c r="S83" s="21">
        <f t="shared" si="36"/>
        <v>0.78</v>
      </c>
      <c r="T83" s="21">
        <f t="shared" si="37"/>
        <v>0</v>
      </c>
      <c r="U83" s="21">
        <f>INDEX(cenník!$C$2:$I$568,MATCH($L83,cenník!$B$2:$B$557,0),MATCH(U$24,cenník!$C$1:$I$1,0))*O83</f>
        <v>0</v>
      </c>
      <c r="V83" s="19"/>
      <c r="AE83" s="19"/>
      <c r="AF83" s="19"/>
      <c r="AG83" s="19"/>
      <c r="AH83" s="19"/>
      <c r="AI83" s="19"/>
      <c r="AJ83" s="19"/>
      <c r="AK83" s="19"/>
      <c r="AL83" s="19"/>
      <c r="AM83" s="19"/>
      <c r="AN83" s="19"/>
      <c r="AO83" s="19"/>
      <c r="AP83" s="19"/>
      <c r="AQ83" s="19"/>
      <c r="AR83" s="19"/>
      <c r="AS83" s="19"/>
      <c r="AT83" s="19"/>
      <c r="AU83" s="19"/>
      <c r="AV83" s="19"/>
      <c r="AW83" s="19"/>
      <c r="AX83" s="19"/>
      <c r="AY83" s="19"/>
      <c r="AZ83" s="19"/>
      <c r="BA83" s="20" t="s">
        <v>236</v>
      </c>
      <c r="BB83" s="20">
        <v>0</v>
      </c>
      <c r="BC83" s="20">
        <v>2</v>
      </c>
      <c r="BD83" s="20">
        <v>0</v>
      </c>
      <c r="BE83" s="20">
        <v>0</v>
      </c>
      <c r="BF83" s="20">
        <v>0</v>
      </c>
      <c r="BG83" s="20">
        <v>0</v>
      </c>
      <c r="BH83" s="20">
        <v>0</v>
      </c>
      <c r="BI83" s="20">
        <v>2</v>
      </c>
      <c r="BJ83" s="20">
        <v>0</v>
      </c>
      <c r="BK83" s="20">
        <v>0</v>
      </c>
      <c r="BL83" s="20">
        <v>0</v>
      </c>
      <c r="BM83" s="20">
        <v>0</v>
      </c>
      <c r="BN83" s="20">
        <v>0</v>
      </c>
      <c r="BO83" s="20">
        <v>0</v>
      </c>
      <c r="BP83" s="20">
        <v>4</v>
      </c>
      <c r="BQ83" s="20">
        <v>2</v>
      </c>
      <c r="BR83" s="20">
        <v>0</v>
      </c>
      <c r="BS83" s="20">
        <v>0</v>
      </c>
      <c r="BT83" s="20">
        <v>0</v>
      </c>
      <c r="BU83" s="20">
        <v>4</v>
      </c>
      <c r="BV83" s="20">
        <v>2</v>
      </c>
      <c r="BW83" s="20">
        <v>0</v>
      </c>
      <c r="BX83" s="20">
        <v>4</v>
      </c>
      <c r="BY83" s="20">
        <v>0</v>
      </c>
      <c r="BZ83" s="20">
        <v>0</v>
      </c>
      <c r="CA83" s="20">
        <v>2</v>
      </c>
      <c r="DA83" s="17"/>
      <c r="DB83" s="17"/>
      <c r="DC83" s="17"/>
      <c r="DD83" s="19" t="s">
        <v>238</v>
      </c>
      <c r="DE83" s="19">
        <v>0</v>
      </c>
      <c r="DF83" s="19">
        <v>0</v>
      </c>
      <c r="DG83" s="19">
        <v>0</v>
      </c>
      <c r="DH83" s="19">
        <v>4</v>
      </c>
      <c r="DI83" s="19">
        <v>2</v>
      </c>
      <c r="DJ83" s="19">
        <v>6</v>
      </c>
      <c r="DK83" s="19">
        <v>4</v>
      </c>
      <c r="DL83" s="19">
        <v>8</v>
      </c>
      <c r="DM83" s="19">
        <v>8</v>
      </c>
      <c r="DN83" s="19">
        <v>10</v>
      </c>
      <c r="DO83" s="19">
        <v>10</v>
      </c>
      <c r="DP83" s="19">
        <v>10</v>
      </c>
      <c r="DQ83" s="19">
        <v>12</v>
      </c>
      <c r="DR83" s="19">
        <v>12</v>
      </c>
      <c r="DS83" s="19">
        <v>16</v>
      </c>
      <c r="DT83" s="19">
        <v>14</v>
      </c>
      <c r="DU83" s="19">
        <v>18</v>
      </c>
      <c r="DV83" s="19">
        <v>18</v>
      </c>
      <c r="DW83" s="19">
        <v>20</v>
      </c>
      <c r="DX83" s="19">
        <v>20</v>
      </c>
      <c r="DY83" s="19">
        <v>20</v>
      </c>
      <c r="DZ83" s="19"/>
      <c r="EA83" s="19"/>
      <c r="EB83" s="26" t="s">
        <v>236</v>
      </c>
      <c r="EC83" s="19">
        <v>0</v>
      </c>
      <c r="ED83" s="19">
        <v>0</v>
      </c>
      <c r="EE83" s="19">
        <v>0</v>
      </c>
      <c r="EF83" s="19">
        <v>0</v>
      </c>
      <c r="EG83" s="19">
        <v>2</v>
      </c>
      <c r="EH83" s="19">
        <v>0</v>
      </c>
      <c r="EI83" s="19">
        <v>0</v>
      </c>
      <c r="EJ83" s="19">
        <v>0</v>
      </c>
      <c r="EK83" s="19">
        <v>0</v>
      </c>
      <c r="EL83" s="19">
        <v>4</v>
      </c>
      <c r="EM83" s="19">
        <v>0</v>
      </c>
      <c r="EN83" s="19">
        <v>2</v>
      </c>
      <c r="EO83" s="19">
        <v>0</v>
      </c>
      <c r="EP83" s="19">
        <v>0</v>
      </c>
      <c r="EQ83" s="19">
        <v>0</v>
      </c>
      <c r="ER83" s="19">
        <v>0</v>
      </c>
      <c r="ES83" s="19">
        <v>2</v>
      </c>
      <c r="ET83" s="19">
        <v>0</v>
      </c>
      <c r="EU83" s="19">
        <v>0</v>
      </c>
      <c r="EV83" s="19">
        <v>0</v>
      </c>
      <c r="EW83" s="19">
        <v>0</v>
      </c>
      <c r="EX83" s="19">
        <v>0</v>
      </c>
      <c r="EY83" s="19">
        <v>2</v>
      </c>
      <c r="EZ83" s="19">
        <v>0</v>
      </c>
      <c r="FA83" s="19">
        <v>0</v>
      </c>
      <c r="FB83" s="19">
        <v>0</v>
      </c>
      <c r="FC83" s="19">
        <v>0</v>
      </c>
      <c r="FD83" s="19">
        <v>0</v>
      </c>
      <c r="FE83" s="19">
        <v>0</v>
      </c>
      <c r="FF83" s="19">
        <v>0</v>
      </c>
      <c r="FG83" s="19">
        <v>0</v>
      </c>
      <c r="FH83" s="19">
        <v>0</v>
      </c>
      <c r="FI83" s="19">
        <v>4</v>
      </c>
      <c r="FJ83" s="19">
        <v>0</v>
      </c>
      <c r="FK83" s="19">
        <v>0</v>
      </c>
      <c r="FL83" s="19">
        <v>0</v>
      </c>
      <c r="FM83" s="19">
        <v>2</v>
      </c>
      <c r="FN83" s="19">
        <v>0</v>
      </c>
      <c r="FO83" s="19">
        <v>0</v>
      </c>
      <c r="FP83" s="19">
        <v>0</v>
      </c>
      <c r="FQ83" s="19">
        <v>0</v>
      </c>
      <c r="FR83" s="19">
        <v>2</v>
      </c>
      <c r="FS83" s="19">
        <v>0</v>
      </c>
      <c r="FT83" s="19">
        <v>2</v>
      </c>
      <c r="FU83" s="19">
        <v>0</v>
      </c>
      <c r="FV83" s="19">
        <v>0</v>
      </c>
      <c r="FW83" s="19">
        <v>0</v>
      </c>
      <c r="FX83" s="19">
        <v>0</v>
      </c>
      <c r="FY83" s="19">
        <v>2</v>
      </c>
      <c r="FZ83" s="19">
        <v>0</v>
      </c>
      <c r="GA83" s="19">
        <v>0</v>
      </c>
      <c r="GC83" s="19"/>
      <c r="GD83" s="19"/>
      <c r="GE83" s="26" t="s">
        <v>236</v>
      </c>
      <c r="GF83" s="19">
        <v>0</v>
      </c>
      <c r="GG83" s="19">
        <v>2</v>
      </c>
      <c r="GH83" s="19">
        <v>0</v>
      </c>
      <c r="GI83" s="19">
        <v>0</v>
      </c>
      <c r="GJ83" s="19">
        <v>0</v>
      </c>
      <c r="GK83" s="19">
        <v>2</v>
      </c>
      <c r="GL83" s="19">
        <v>0</v>
      </c>
      <c r="GM83" s="19">
        <v>0</v>
      </c>
      <c r="GN83" s="19">
        <v>4</v>
      </c>
      <c r="GO83" s="19">
        <v>0</v>
      </c>
      <c r="GP83" s="19">
        <v>0</v>
      </c>
      <c r="GQ83" s="19">
        <v>4</v>
      </c>
      <c r="GR83" s="19">
        <v>0</v>
      </c>
      <c r="GS83" s="19">
        <v>2</v>
      </c>
      <c r="GT83" s="19">
        <v>0</v>
      </c>
      <c r="GU83" s="19">
        <v>0</v>
      </c>
      <c r="GV83" s="19">
        <v>2</v>
      </c>
      <c r="GW83" s="19">
        <v>0</v>
      </c>
      <c r="GX83" s="19">
        <v>0</v>
      </c>
      <c r="GY83" s="19">
        <v>2</v>
      </c>
      <c r="GZ83" s="19">
        <v>0</v>
      </c>
      <c r="HA83" s="19">
        <v>0</v>
      </c>
      <c r="HB83" s="19">
        <v>4</v>
      </c>
      <c r="HC83" s="19">
        <v>0</v>
      </c>
      <c r="HD83" s="19">
        <v>0</v>
      </c>
      <c r="HE83" s="19">
        <v>0</v>
      </c>
      <c r="HF83" s="19">
        <v>0</v>
      </c>
      <c r="HG83" s="19">
        <v>2</v>
      </c>
      <c r="HH83" s="19">
        <v>0</v>
      </c>
      <c r="HI83" s="19">
        <v>0</v>
      </c>
      <c r="HJ83" s="19">
        <v>2</v>
      </c>
      <c r="HK83" s="19">
        <v>0</v>
      </c>
      <c r="HL83" s="19">
        <v>2</v>
      </c>
      <c r="HM83" s="19">
        <v>0</v>
      </c>
      <c r="HN83" s="19">
        <v>0</v>
      </c>
      <c r="HO83" s="19">
        <v>0</v>
      </c>
      <c r="HP83" s="19">
        <v>0</v>
      </c>
      <c r="HQ83" s="19">
        <v>0</v>
      </c>
      <c r="HR83" s="19">
        <v>2</v>
      </c>
      <c r="HS83" s="19">
        <v>0</v>
      </c>
      <c r="HT83" s="19">
        <v>0</v>
      </c>
      <c r="HU83" s="19">
        <v>2</v>
      </c>
      <c r="HV83" s="19">
        <v>0</v>
      </c>
      <c r="HW83" s="19">
        <v>0</v>
      </c>
      <c r="HX83" s="19">
        <v>0</v>
      </c>
      <c r="HY83" s="19">
        <v>0</v>
      </c>
      <c r="HZ83" s="19">
        <v>0</v>
      </c>
      <c r="IA83" s="19">
        <v>0</v>
      </c>
      <c r="IB83" s="19">
        <v>0</v>
      </c>
      <c r="IC83" s="19">
        <v>0</v>
      </c>
      <c r="ID83" s="19">
        <v>0</v>
      </c>
    </row>
    <row r="84" spans="1:238" x14ac:dyDescent="0.25">
      <c r="A84" s="8"/>
      <c r="B84" s="5" t="s">
        <v>61</v>
      </c>
      <c r="C84" s="8"/>
      <c r="D84" s="4"/>
      <c r="E84" s="4"/>
      <c r="F84" s="4"/>
      <c r="G84" s="4"/>
      <c r="H84" s="4"/>
      <c r="I84" s="4"/>
      <c r="J84" s="4"/>
      <c r="K84" s="4"/>
      <c r="L84" s="6" t="str">
        <f>IF(L81="PUFK","PUPK",IF(L81="PUFKL","PUPK","PUP"))</f>
        <v>PUP</v>
      </c>
      <c r="M84" s="14">
        <f>INDEX(cenník!$C$2:$I$568,MATCH($L84,cenník!$B$2:$B$557,0),MATCH(M$24,cenník!$C$1:$I$1,0))</f>
        <v>897303</v>
      </c>
      <c r="N84" s="14" t="str">
        <f>INDEX(cenník!$C$2:$I$568,MATCH($L84,cenník!$B$2:$B$557,0),MATCH(N$24,cenník!$C$1:$I$1,0))</f>
        <v>ks</v>
      </c>
      <c r="O84" s="14">
        <f>SUM((IF(MOD(A69,2)=0,A69/2,IF(MOD(A69,2)=1,FLOOR(A69/2,1)+1,0))*C69),(IF(MOD(A70,2)=0,A70/2,IF(MOD(A70,2)=1,FLOOR(A70/2,1)+1,0))*C70),(IF(MOD(A71,2)=0,A71/2,IF(MOD(A71,2)=1,FLOOR(A71/2,1)+1,0))*C71),(IF(MOD(A72,2)=0,A72/2,IF(MOD(A72,2)=1,FLOOR(A72/2,1)+1,0))*C72),(IF(MOD(A73,2)=0,A73/2,IF(MOD(A73,2)=1,FLOOR(A73/2,1)+1,0))*C73),(IF(MOD(A74,2)=0,A74/2,IF(MOD(A74,2)=1,FLOOR(A74/2,1)+1,0))*C74),(IF(MOD(A75,2)=0,A75/2,IF(MOD(A75,2)=1,FLOOR(A75/2,1)+1,0))*C75),(IF(MOD(A76,2)=0,A76/2,IF(MOD(A76,2)=1,FLOOR(A76/2,1)+1,0))*C76),(IF(MOD(A77,2)=0,A77/2,IF(MOD(A77,2)=1,FLOOR(A77/2,1)+1,0))*C77),(IF(MOD(A78,2)=0,A78/2,IF(MOD(A78,2)=1,FLOOR(A78/2,1)+1,0))*C78),(IF(MOD(A79,2)=0,A79/2,IF(MOD(A79,2)=1,FLOOR(A79/2,1)+1,0))*C79),(IF(MOD(A80,2)=0,A80/2,IF(MOD(A80,2)=1,FLOOR(A80/2,1)+1,0))*C80),(IF(MOD(A81,2)=0,A81/2,IF(MOD(A81,2)=1,FLOOR(A81/2,1)+1,0))*C81),(IF(MOD(A82,2)=0,A82/2,IF(MOD(A82,2)=1,FLOOR(A82/2,1)+1,0))*C82),(IF(MOD(A83,2)=0,A83/2,IF(MOD(A83,2)=1,FLOOR(A83/2,1)+1,0))*C83),(IF(MOD(A84,2)=0,A84/2,IF(MOD(A84,2)=1,FLOOR(A84/2,1)+1,0))*C84))</f>
        <v>0</v>
      </c>
      <c r="P84" s="21">
        <f>INDEX(cenník!$C$2:$I$568,MATCH($L84,cenník!$B$2:$B$557,0),MATCH(P$24,cenník!$C$1:$I$1,0))</f>
        <v>0.83</v>
      </c>
      <c r="Q84" s="21">
        <f t="shared" si="38"/>
        <v>0</v>
      </c>
      <c r="R84" s="22">
        <f t="shared" si="35"/>
        <v>0</v>
      </c>
      <c r="S84" s="21">
        <f t="shared" si="36"/>
        <v>0.83</v>
      </c>
      <c r="T84" s="21">
        <f t="shared" si="37"/>
        <v>0</v>
      </c>
      <c r="U84" s="21">
        <f>INDEX(cenník!$C$2:$I$568,MATCH($L84,cenník!$B$2:$B$557,0),MATCH(U$24,cenník!$C$1:$I$1,0))*O84</f>
        <v>0</v>
      </c>
      <c r="V84" s="19"/>
      <c r="AE84" s="19"/>
      <c r="AF84" s="19"/>
      <c r="AG84" s="19"/>
      <c r="AH84" s="19"/>
      <c r="AI84" s="19"/>
      <c r="AJ84" s="19"/>
      <c r="AK84" s="19"/>
      <c r="AL84" s="19"/>
      <c r="AM84" s="19"/>
      <c r="AN84" s="19"/>
      <c r="AO84" s="19"/>
      <c r="AP84" s="19"/>
      <c r="AQ84" s="19"/>
      <c r="AR84" s="19"/>
      <c r="AS84" s="19"/>
      <c r="AT84" s="19"/>
      <c r="AU84" s="19"/>
      <c r="AV84" s="19"/>
      <c r="AW84" s="19"/>
      <c r="AX84" s="19"/>
      <c r="AY84" s="19"/>
      <c r="AZ84" s="19"/>
      <c r="BA84" s="20" t="s">
        <v>237</v>
      </c>
      <c r="BB84" s="20">
        <v>0</v>
      </c>
      <c r="BC84" s="20">
        <v>0</v>
      </c>
      <c r="BD84" s="20">
        <v>2</v>
      </c>
      <c r="BE84" s="20">
        <v>0</v>
      </c>
      <c r="BF84" s="20">
        <v>2</v>
      </c>
      <c r="BG84" s="20">
        <v>4</v>
      </c>
      <c r="BH84" s="20">
        <v>4</v>
      </c>
      <c r="BI84" s="20">
        <v>2</v>
      </c>
      <c r="BJ84" s="20">
        <v>0</v>
      </c>
      <c r="BK84" s="20">
        <v>0</v>
      </c>
      <c r="BL84" s="20">
        <v>8</v>
      </c>
      <c r="BM84" s="20">
        <v>6</v>
      </c>
      <c r="BN84" s="20">
        <v>8</v>
      </c>
      <c r="BO84" s="20">
        <v>6</v>
      </c>
      <c r="BP84" s="20">
        <v>4</v>
      </c>
      <c r="BQ84" s="20">
        <v>2</v>
      </c>
      <c r="BR84" s="20">
        <v>2</v>
      </c>
      <c r="BS84" s="20">
        <v>2</v>
      </c>
      <c r="BT84" s="20">
        <v>12</v>
      </c>
      <c r="BU84" s="20">
        <v>10</v>
      </c>
      <c r="BV84" s="20">
        <v>8</v>
      </c>
      <c r="BW84" s="20">
        <v>8</v>
      </c>
      <c r="BX84" s="20">
        <v>8</v>
      </c>
      <c r="BY84" s="20">
        <v>18</v>
      </c>
      <c r="BZ84" s="20">
        <v>2</v>
      </c>
      <c r="CA84" s="20">
        <v>14</v>
      </c>
      <c r="DA84" s="17"/>
      <c r="DB84" s="17"/>
      <c r="DC84" s="17"/>
      <c r="DD84" s="19" t="s">
        <v>239</v>
      </c>
      <c r="DE84" s="19">
        <v>0</v>
      </c>
      <c r="DF84" s="19">
        <v>0</v>
      </c>
      <c r="DG84" s="19">
        <v>4</v>
      </c>
      <c r="DH84" s="19">
        <v>4</v>
      </c>
      <c r="DI84" s="19">
        <v>8</v>
      </c>
      <c r="DJ84" s="19">
        <v>8</v>
      </c>
      <c r="DK84" s="19">
        <v>12</v>
      </c>
      <c r="DL84" s="19">
        <v>12</v>
      </c>
      <c r="DM84" s="19">
        <v>16</v>
      </c>
      <c r="DN84" s="19">
        <v>16</v>
      </c>
      <c r="DO84" s="19">
        <v>20</v>
      </c>
      <c r="DP84" s="19">
        <v>24</v>
      </c>
      <c r="DQ84" s="19">
        <v>24</v>
      </c>
      <c r="DR84" s="19">
        <v>28</v>
      </c>
      <c r="DS84" s="19">
        <v>28</v>
      </c>
      <c r="DT84" s="19">
        <v>32</v>
      </c>
      <c r="DU84" s="19">
        <v>32</v>
      </c>
      <c r="DV84" s="19">
        <v>36</v>
      </c>
      <c r="DW84" s="19">
        <v>36</v>
      </c>
      <c r="DX84" s="19">
        <v>40</v>
      </c>
      <c r="DY84" s="19">
        <v>44</v>
      </c>
      <c r="DZ84" s="19"/>
      <c r="EA84" s="19"/>
      <c r="EB84" s="26" t="s">
        <v>237</v>
      </c>
      <c r="EC84" s="19">
        <v>0</v>
      </c>
      <c r="ED84" s="19">
        <v>0</v>
      </c>
      <c r="EE84" s="19">
        <v>0</v>
      </c>
      <c r="EF84" s="19">
        <v>4</v>
      </c>
      <c r="EG84" s="19">
        <v>0</v>
      </c>
      <c r="EH84" s="19">
        <v>6</v>
      </c>
      <c r="EI84" s="19">
        <v>6</v>
      </c>
      <c r="EJ84" s="19">
        <v>0</v>
      </c>
      <c r="EK84" s="19">
        <v>2</v>
      </c>
      <c r="EL84" s="19">
        <v>8</v>
      </c>
      <c r="EM84" s="19">
        <v>12</v>
      </c>
      <c r="EN84" s="19">
        <v>0</v>
      </c>
      <c r="EO84" s="19">
        <v>8</v>
      </c>
      <c r="EP84" s="19">
        <v>8</v>
      </c>
      <c r="EQ84" s="19">
        <v>0</v>
      </c>
      <c r="ER84" s="19">
        <v>18</v>
      </c>
      <c r="ES84" s="19">
        <v>6</v>
      </c>
      <c r="ET84" s="19">
        <v>12</v>
      </c>
      <c r="EU84" s="19">
        <v>14</v>
      </c>
      <c r="EV84" s="19">
        <v>6</v>
      </c>
      <c r="EW84" s="19">
        <v>24</v>
      </c>
      <c r="EX84" s="19">
        <v>0</v>
      </c>
      <c r="EY84" s="19">
        <v>8</v>
      </c>
      <c r="EZ84" s="19">
        <v>20</v>
      </c>
      <c r="FA84" s="19">
        <v>12</v>
      </c>
      <c r="FB84" s="19">
        <v>30</v>
      </c>
      <c r="FC84" s="19">
        <v>6</v>
      </c>
      <c r="FD84" s="19">
        <v>24</v>
      </c>
      <c r="FE84" s="19">
        <v>0</v>
      </c>
      <c r="FF84" s="19">
        <v>18</v>
      </c>
      <c r="FG84" s="19">
        <v>36</v>
      </c>
      <c r="FH84" s="19">
        <v>12</v>
      </c>
      <c r="FI84" s="19">
        <v>8</v>
      </c>
      <c r="FJ84" s="19">
        <v>6</v>
      </c>
      <c r="FK84" s="19">
        <v>24</v>
      </c>
      <c r="FL84" s="19">
        <v>0</v>
      </c>
      <c r="FM84" s="19">
        <v>2</v>
      </c>
      <c r="FN84" s="19">
        <v>0</v>
      </c>
      <c r="FO84" s="19">
        <v>12</v>
      </c>
      <c r="FP84" s="19">
        <v>30</v>
      </c>
      <c r="FQ84" s="19">
        <v>4</v>
      </c>
      <c r="FR84" s="19">
        <v>8</v>
      </c>
      <c r="FS84" s="19">
        <v>0</v>
      </c>
      <c r="FT84" s="19">
        <v>2</v>
      </c>
      <c r="FU84" s="19">
        <v>0</v>
      </c>
      <c r="FV84" s="19">
        <v>10</v>
      </c>
      <c r="FW84" s="19">
        <v>30</v>
      </c>
      <c r="FX84" s="19">
        <v>4</v>
      </c>
      <c r="FY84" s="19">
        <v>8</v>
      </c>
      <c r="FZ84" s="19">
        <v>0</v>
      </c>
      <c r="GA84" s="19">
        <v>16</v>
      </c>
      <c r="GC84" s="19"/>
      <c r="GD84" s="19"/>
      <c r="GE84" s="26" t="s">
        <v>237</v>
      </c>
      <c r="GF84" s="19">
        <v>0</v>
      </c>
      <c r="GG84" s="19">
        <v>0</v>
      </c>
      <c r="GH84" s="19">
        <v>2</v>
      </c>
      <c r="GI84" s="19">
        <v>2</v>
      </c>
      <c r="GJ84" s="19">
        <v>2</v>
      </c>
      <c r="GK84" s="19">
        <v>2</v>
      </c>
      <c r="GL84" s="19">
        <v>4</v>
      </c>
      <c r="GM84" s="19">
        <v>4</v>
      </c>
      <c r="GN84" s="19">
        <v>6</v>
      </c>
      <c r="GO84" s="19">
        <v>8</v>
      </c>
      <c r="GP84" s="19">
        <v>6</v>
      </c>
      <c r="GQ84" s="19">
        <v>8</v>
      </c>
      <c r="GR84" s="19">
        <v>12</v>
      </c>
      <c r="GS84" s="19">
        <v>10</v>
      </c>
      <c r="GT84" s="19">
        <v>8</v>
      </c>
      <c r="GU84" s="19">
        <v>12</v>
      </c>
      <c r="GV84" s="19">
        <v>12</v>
      </c>
      <c r="GW84" s="19">
        <v>0</v>
      </c>
      <c r="GX84" s="19">
        <v>14</v>
      </c>
      <c r="GY84" s="19">
        <v>14</v>
      </c>
      <c r="GZ84" s="19">
        <v>2</v>
      </c>
      <c r="HA84" s="19">
        <v>16</v>
      </c>
      <c r="HB84" s="19">
        <v>8</v>
      </c>
      <c r="HC84" s="19">
        <v>4</v>
      </c>
      <c r="HD84" s="19">
        <v>18</v>
      </c>
      <c r="HE84" s="19">
        <v>34</v>
      </c>
      <c r="HF84" s="19">
        <v>6</v>
      </c>
      <c r="HG84" s="19">
        <v>6</v>
      </c>
      <c r="HH84" s="19">
        <v>36</v>
      </c>
      <c r="HI84" s="19">
        <v>8</v>
      </c>
      <c r="HJ84" s="19">
        <v>8</v>
      </c>
      <c r="HK84" s="19">
        <v>0</v>
      </c>
      <c r="HL84" s="19">
        <v>4</v>
      </c>
      <c r="HM84" s="19">
        <v>26</v>
      </c>
      <c r="HN84" s="19">
        <v>0</v>
      </c>
      <c r="HO84" s="19">
        <v>12</v>
      </c>
      <c r="HP84" s="19">
        <v>28</v>
      </c>
      <c r="HQ84" s="19">
        <v>0</v>
      </c>
      <c r="HR84" s="19">
        <v>0</v>
      </c>
      <c r="HS84" s="19">
        <v>30</v>
      </c>
      <c r="HT84" s="19">
        <v>2</v>
      </c>
      <c r="HU84" s="19">
        <v>2</v>
      </c>
      <c r="HV84" s="19">
        <v>0</v>
      </c>
      <c r="HW84" s="19">
        <v>4</v>
      </c>
      <c r="HX84" s="19">
        <v>20</v>
      </c>
      <c r="HY84" s="19">
        <v>0</v>
      </c>
      <c r="HZ84" s="19">
        <v>6</v>
      </c>
      <c r="IA84" s="19">
        <v>6</v>
      </c>
      <c r="IB84" s="19">
        <v>0</v>
      </c>
      <c r="IC84" s="19">
        <v>10</v>
      </c>
      <c r="ID84" s="19">
        <v>24</v>
      </c>
    </row>
    <row r="85" spans="1:238" x14ac:dyDescent="0.25">
      <c r="A85" s="4"/>
      <c r="B85" s="6"/>
      <c r="C85" s="4"/>
      <c r="D85" s="4"/>
      <c r="E85" s="4"/>
      <c r="F85" s="4"/>
      <c r="G85" s="4"/>
      <c r="H85" s="4"/>
      <c r="I85" s="4"/>
      <c r="J85" s="4"/>
      <c r="K85" s="4"/>
      <c r="L85" s="6" t="s">
        <v>233</v>
      </c>
      <c r="M85" s="14">
        <f>INDEX(cenník!$C$2:$I$568,MATCH($L85,cenník!$B$2:$B$557,0),MATCH(M$24,cenník!$C$1:$I$1,0))</f>
        <v>808251</v>
      </c>
      <c r="N85" s="14" t="str">
        <f>INDEX(cenník!$C$2:$I$568,MATCH($L85,cenník!$B$2:$B$557,0),MATCH(N$24,cenník!$C$1:$I$1,0))</f>
        <v>ks</v>
      </c>
      <c r="O85" s="14">
        <f>IF(E76=$AK$24,0,E77)</f>
        <v>0</v>
      </c>
      <c r="P85" s="21">
        <f>INDEX(cenník!$C$2:$I$568,MATCH($L85,cenník!$B$2:$B$557,0),MATCH(P$24,cenník!$C$1:$I$1,0))</f>
        <v>0.21</v>
      </c>
      <c r="Q85" s="21">
        <f t="shared" si="38"/>
        <v>0</v>
      </c>
      <c r="R85" s="22">
        <f t="shared" si="35"/>
        <v>0</v>
      </c>
      <c r="S85" s="21">
        <f t="shared" si="36"/>
        <v>0.21</v>
      </c>
      <c r="T85" s="21">
        <f t="shared" si="37"/>
        <v>0</v>
      </c>
      <c r="U85" s="21">
        <f>INDEX(cenník!$C$2:$I$568,MATCH($L85,cenník!$B$2:$B$557,0),MATCH(U$24,cenník!$C$1:$I$1,0))*O85</f>
        <v>0</v>
      </c>
      <c r="V85" s="19"/>
      <c r="AE85" s="19"/>
      <c r="AF85" s="19"/>
      <c r="AG85" s="19"/>
      <c r="AH85" s="19"/>
      <c r="AI85" s="19"/>
      <c r="AJ85" s="19"/>
      <c r="AK85" s="19"/>
      <c r="AL85" s="19"/>
      <c r="AM85" s="19"/>
      <c r="AN85" s="19"/>
      <c r="AO85" s="19"/>
      <c r="AP85" s="19"/>
      <c r="AQ85" s="19"/>
      <c r="AR85" s="19"/>
      <c r="AS85" s="19"/>
      <c r="AT85" s="19"/>
      <c r="AU85" s="19"/>
      <c r="AV85" s="19"/>
      <c r="AW85" s="19"/>
      <c r="AX85" s="19"/>
      <c r="AY85" s="19"/>
      <c r="AZ85" s="19"/>
      <c r="BA85" s="20" t="s">
        <v>238</v>
      </c>
      <c r="BB85" s="20">
        <v>0</v>
      </c>
      <c r="BC85" s="20">
        <v>0</v>
      </c>
      <c r="BD85" s="20">
        <v>0</v>
      </c>
      <c r="BE85" s="20">
        <v>0</v>
      </c>
      <c r="BF85" s="20">
        <v>0</v>
      </c>
      <c r="BG85" s="20">
        <v>0</v>
      </c>
      <c r="BH85" s="20">
        <v>0</v>
      </c>
      <c r="BI85" s="20">
        <v>2</v>
      </c>
      <c r="BJ85" s="20">
        <v>6</v>
      </c>
      <c r="BK85" s="20">
        <v>6</v>
      </c>
      <c r="BL85" s="20">
        <v>0</v>
      </c>
      <c r="BM85" s="20">
        <v>0</v>
      </c>
      <c r="BN85" s="20">
        <v>0</v>
      </c>
      <c r="BO85" s="20">
        <v>4</v>
      </c>
      <c r="BP85" s="20">
        <v>4</v>
      </c>
      <c r="BQ85" s="20">
        <v>8</v>
      </c>
      <c r="BR85" s="20">
        <v>10</v>
      </c>
      <c r="BS85" s="20">
        <v>10</v>
      </c>
      <c r="BT85" s="20">
        <v>2</v>
      </c>
      <c r="BU85" s="20">
        <v>2</v>
      </c>
      <c r="BV85" s="20">
        <v>6</v>
      </c>
      <c r="BW85" s="20">
        <v>8</v>
      </c>
      <c r="BX85" s="20">
        <v>6</v>
      </c>
      <c r="BY85" s="20">
        <v>0</v>
      </c>
      <c r="BZ85" s="20">
        <v>16</v>
      </c>
      <c r="CA85" s="20">
        <v>4</v>
      </c>
      <c r="DA85" s="17"/>
      <c r="DB85" s="17"/>
      <c r="DC85" s="17"/>
      <c r="DD85" s="26" t="s">
        <v>326</v>
      </c>
      <c r="DE85" s="19">
        <v>0</v>
      </c>
      <c r="DF85" s="19"/>
      <c r="DG85" s="19"/>
      <c r="DH85" s="19"/>
      <c r="DI85" s="19"/>
      <c r="DJ85" s="19"/>
      <c r="DK85" s="19"/>
      <c r="DL85" s="19"/>
      <c r="DM85" s="19"/>
      <c r="DN85" s="19"/>
      <c r="DO85" s="19"/>
      <c r="DP85" s="19"/>
      <c r="DQ85" s="19"/>
      <c r="DR85" s="19"/>
      <c r="DS85" s="19"/>
      <c r="DT85" s="19"/>
      <c r="DU85" s="19"/>
      <c r="DV85" s="19"/>
      <c r="DW85" s="19"/>
      <c r="DX85" s="19"/>
      <c r="DY85" s="19"/>
      <c r="DZ85" s="19"/>
      <c r="EA85" s="19"/>
      <c r="EB85" s="26" t="s">
        <v>238</v>
      </c>
      <c r="EC85" s="19">
        <v>0</v>
      </c>
      <c r="ED85" s="19">
        <v>0</v>
      </c>
      <c r="EE85" s="19">
        <v>0</v>
      </c>
      <c r="EF85" s="19">
        <v>0</v>
      </c>
      <c r="EG85" s="19">
        <v>2</v>
      </c>
      <c r="EH85" s="19">
        <v>0</v>
      </c>
      <c r="EI85" s="19">
        <v>0</v>
      </c>
      <c r="EJ85" s="19">
        <v>8</v>
      </c>
      <c r="EK85" s="19">
        <v>6</v>
      </c>
      <c r="EL85" s="19">
        <v>0</v>
      </c>
      <c r="EM85" s="19">
        <v>0</v>
      </c>
      <c r="EN85" s="19">
        <v>10</v>
      </c>
      <c r="EO85" s="19">
        <v>6</v>
      </c>
      <c r="EP85" s="19">
        <v>6</v>
      </c>
      <c r="EQ85" s="19">
        <v>16</v>
      </c>
      <c r="ER85" s="19">
        <v>0</v>
      </c>
      <c r="ES85" s="19">
        <v>10</v>
      </c>
      <c r="ET85" s="19">
        <v>8</v>
      </c>
      <c r="EU85" s="19">
        <v>6</v>
      </c>
      <c r="EV85" s="19">
        <v>16</v>
      </c>
      <c r="EW85" s="19">
        <v>0</v>
      </c>
      <c r="EX85" s="19">
        <v>24</v>
      </c>
      <c r="EY85" s="19">
        <v>16</v>
      </c>
      <c r="EZ85" s="19">
        <v>6</v>
      </c>
      <c r="FA85" s="19">
        <v>16</v>
      </c>
      <c r="FB85" s="19">
        <v>0</v>
      </c>
      <c r="FC85" s="19">
        <v>24</v>
      </c>
      <c r="FD85" s="19">
        <v>8</v>
      </c>
      <c r="FE85" s="19">
        <v>32</v>
      </c>
      <c r="FF85" s="19">
        <v>16</v>
      </c>
      <c r="FG85" s="19">
        <v>0</v>
      </c>
      <c r="FH85" s="19">
        <v>24</v>
      </c>
      <c r="FI85" s="19">
        <v>26</v>
      </c>
      <c r="FJ85" s="19">
        <v>32</v>
      </c>
      <c r="FK85" s="19">
        <v>16</v>
      </c>
      <c r="FL85" s="19">
        <v>40</v>
      </c>
      <c r="FM85" s="19">
        <v>38</v>
      </c>
      <c r="FN85" s="19">
        <v>42</v>
      </c>
      <c r="FO85" s="19">
        <v>32</v>
      </c>
      <c r="FP85" s="19">
        <v>16</v>
      </c>
      <c r="FQ85" s="19">
        <v>42</v>
      </c>
      <c r="FR85" s="19">
        <v>38</v>
      </c>
      <c r="FS85" s="19">
        <v>48</v>
      </c>
      <c r="FT85" s="19">
        <v>46</v>
      </c>
      <c r="FU85" s="19">
        <v>50</v>
      </c>
      <c r="FV85" s="19">
        <v>42</v>
      </c>
      <c r="FW85" s="19">
        <v>24</v>
      </c>
      <c r="FX85" s="19">
        <v>50</v>
      </c>
      <c r="FY85" s="19">
        <v>46</v>
      </c>
      <c r="FZ85" s="19">
        <v>56</v>
      </c>
      <c r="GA85" s="19">
        <v>42</v>
      </c>
      <c r="GC85" s="19"/>
      <c r="GD85" s="19"/>
      <c r="GE85" s="26" t="s">
        <v>238</v>
      </c>
      <c r="GF85" s="19">
        <v>0</v>
      </c>
      <c r="GG85" s="19">
        <v>0</v>
      </c>
      <c r="GH85" s="19">
        <v>0</v>
      </c>
      <c r="GI85" s="19">
        <v>2</v>
      </c>
      <c r="GJ85" s="19">
        <v>2</v>
      </c>
      <c r="GK85" s="19">
        <v>2</v>
      </c>
      <c r="GL85" s="19">
        <v>4</v>
      </c>
      <c r="GM85" s="19">
        <v>4</v>
      </c>
      <c r="GN85" s="19">
        <v>2</v>
      </c>
      <c r="GO85" s="19">
        <v>4</v>
      </c>
      <c r="GP85" s="19">
        <v>6</v>
      </c>
      <c r="GQ85" s="19">
        <v>4</v>
      </c>
      <c r="GR85" s="19">
        <v>4</v>
      </c>
      <c r="GS85" s="19">
        <v>6</v>
      </c>
      <c r="GT85" s="19">
        <v>8</v>
      </c>
      <c r="GU85" s="19">
        <v>8</v>
      </c>
      <c r="GV85" s="19">
        <v>8</v>
      </c>
      <c r="GW85" s="19">
        <v>22</v>
      </c>
      <c r="GX85" s="19">
        <v>10</v>
      </c>
      <c r="GY85" s="19">
        <v>10</v>
      </c>
      <c r="GZ85" s="19">
        <v>24</v>
      </c>
      <c r="HA85" s="19">
        <v>12</v>
      </c>
      <c r="HB85" s="19">
        <v>18</v>
      </c>
      <c r="HC85" s="19">
        <v>26</v>
      </c>
      <c r="HD85" s="19">
        <v>14</v>
      </c>
      <c r="HE85" s="19">
        <v>0</v>
      </c>
      <c r="HF85" s="19">
        <v>28</v>
      </c>
      <c r="HG85" s="19">
        <v>28</v>
      </c>
      <c r="HH85" s="19">
        <v>2</v>
      </c>
      <c r="HI85" s="19">
        <v>30</v>
      </c>
      <c r="HJ85" s="19">
        <v>30</v>
      </c>
      <c r="HK85" s="19">
        <v>40</v>
      </c>
      <c r="HL85" s="19">
        <v>36</v>
      </c>
      <c r="HM85" s="19">
        <v>18</v>
      </c>
      <c r="HN85" s="19">
        <v>44</v>
      </c>
      <c r="HO85" s="19">
        <v>34</v>
      </c>
      <c r="HP85" s="19">
        <v>20</v>
      </c>
      <c r="HQ85" s="19">
        <v>48</v>
      </c>
      <c r="HR85" s="19">
        <v>48</v>
      </c>
      <c r="HS85" s="19">
        <v>22</v>
      </c>
      <c r="HT85" s="19">
        <v>50</v>
      </c>
      <c r="HU85" s="19">
        <v>50</v>
      </c>
      <c r="HV85" s="19">
        <v>54</v>
      </c>
      <c r="HW85" s="19">
        <v>52</v>
      </c>
      <c r="HX85" s="19">
        <v>38</v>
      </c>
      <c r="HY85" s="19">
        <v>58</v>
      </c>
      <c r="HZ85" s="19">
        <v>54</v>
      </c>
      <c r="IA85" s="19">
        <v>54</v>
      </c>
      <c r="IB85" s="19">
        <v>62</v>
      </c>
      <c r="IC85" s="19">
        <v>54</v>
      </c>
      <c r="ID85" s="19">
        <v>42</v>
      </c>
    </row>
    <row r="86" spans="1:238" x14ac:dyDescent="0.25">
      <c r="A86" s="4"/>
      <c r="B86" s="6"/>
      <c r="C86" s="4"/>
      <c r="D86" s="4"/>
      <c r="E86" s="4"/>
      <c r="F86" s="4"/>
      <c r="G86" s="4"/>
      <c r="H86" s="4"/>
      <c r="I86" s="4"/>
      <c r="J86" s="4"/>
      <c r="K86" s="4"/>
      <c r="L86" s="6" t="s">
        <v>45</v>
      </c>
      <c r="M86" s="14">
        <f>INDEX(cenník!$C$2:$I$568,MATCH($L86,cenník!$B$2:$B$557,0),MATCH(M$24,cenník!$C$1:$I$1,0))</f>
        <v>890008</v>
      </c>
      <c r="N86" s="14" t="str">
        <f>INDEX(cenník!$C$2:$I$568,MATCH($L86,cenník!$B$2:$B$557,0),MATCH(N$24,cenník!$C$1:$I$1,0))</f>
        <v>100ks</v>
      </c>
      <c r="O86" s="14">
        <f>ROUNDUP((O85/100),0)</f>
        <v>0</v>
      </c>
      <c r="P86" s="21">
        <f>INDEX(cenník!$C$2:$I$568,MATCH($L86,cenník!$B$2:$B$557,0),MATCH(P$24,cenník!$C$1:$I$1,0))</f>
        <v>9.75</v>
      </c>
      <c r="Q86" s="21">
        <f t="shared" si="38"/>
        <v>0</v>
      </c>
      <c r="R86" s="22">
        <f t="shared" si="35"/>
        <v>0</v>
      </c>
      <c r="S86" s="21">
        <f t="shared" si="36"/>
        <v>9.75</v>
      </c>
      <c r="T86" s="21">
        <f t="shared" si="37"/>
        <v>0</v>
      </c>
      <c r="U86" s="21">
        <f>INDEX(cenník!$C$2:$I$568,MATCH($L86,cenník!$B$2:$B$557,0),MATCH(U$24,cenník!$C$1:$I$1,0))*O86</f>
        <v>0</v>
      </c>
      <c r="V86" s="19"/>
      <c r="W86" s="28" t="s">
        <v>93</v>
      </c>
      <c r="X86" s="28" t="s">
        <v>4</v>
      </c>
      <c r="Y86" s="220" t="s">
        <v>93</v>
      </c>
      <c r="Z86" s="220"/>
      <c r="AA86" s="220"/>
      <c r="AB86" s="220"/>
      <c r="AC86" s="220"/>
      <c r="AD86" s="220"/>
      <c r="AE86" s="19"/>
      <c r="AF86" s="19"/>
      <c r="AG86" s="19"/>
      <c r="AH86" s="19"/>
      <c r="AI86" s="19"/>
      <c r="AJ86" s="19"/>
      <c r="AK86" s="19"/>
      <c r="AL86" s="19"/>
      <c r="AM86" s="19"/>
      <c r="AN86" s="19"/>
      <c r="AO86" s="19"/>
      <c r="AP86" s="19"/>
      <c r="AQ86" s="19"/>
      <c r="AR86" s="19"/>
      <c r="AS86" s="19"/>
      <c r="AT86" s="19"/>
      <c r="AU86" s="19"/>
      <c r="AV86" s="19"/>
      <c r="AW86" s="19"/>
      <c r="AX86" s="19"/>
      <c r="AY86" s="19"/>
      <c r="AZ86" s="19"/>
      <c r="BA86" s="20" t="s">
        <v>239</v>
      </c>
      <c r="BB86" s="20">
        <v>0</v>
      </c>
      <c r="BC86" s="20">
        <v>0</v>
      </c>
      <c r="BD86" s="20">
        <v>0</v>
      </c>
      <c r="BE86" s="20">
        <v>4</v>
      </c>
      <c r="BF86" s="20">
        <v>4</v>
      </c>
      <c r="BG86" s="20">
        <v>4</v>
      </c>
      <c r="BH86" s="20">
        <v>8</v>
      </c>
      <c r="BI86" s="20">
        <v>8</v>
      </c>
      <c r="BJ86" s="20">
        <v>8</v>
      </c>
      <c r="BK86" s="20">
        <v>12</v>
      </c>
      <c r="BL86" s="20">
        <v>12</v>
      </c>
      <c r="BM86" s="20">
        <v>16</v>
      </c>
      <c r="BN86" s="20">
        <v>16</v>
      </c>
      <c r="BO86" s="20">
        <v>16</v>
      </c>
      <c r="BP86" s="20">
        <v>20</v>
      </c>
      <c r="BQ86" s="20">
        <v>20</v>
      </c>
      <c r="BR86" s="20">
        <v>20</v>
      </c>
      <c r="BS86" s="20">
        <v>24</v>
      </c>
      <c r="BT86" s="20">
        <v>24</v>
      </c>
      <c r="BU86" s="20">
        <v>28</v>
      </c>
      <c r="BV86" s="20">
        <v>28</v>
      </c>
      <c r="BW86" s="20">
        <v>28</v>
      </c>
      <c r="BX86" s="20">
        <v>32</v>
      </c>
      <c r="BY86" s="20">
        <v>32</v>
      </c>
      <c r="BZ86" s="20">
        <v>32</v>
      </c>
      <c r="CA86" s="20">
        <v>36</v>
      </c>
      <c r="DA86" s="17"/>
      <c r="DB86" s="17"/>
      <c r="DC86" s="17"/>
      <c r="DD86" s="26" t="s">
        <v>327</v>
      </c>
      <c r="DE86" s="19">
        <v>0</v>
      </c>
      <c r="DF86" s="19"/>
      <c r="DG86" s="19"/>
      <c r="DH86" s="19"/>
      <c r="DI86" s="19"/>
      <c r="DJ86" s="19"/>
      <c r="DK86" s="19"/>
      <c r="DL86" s="19"/>
      <c r="DM86" s="19"/>
      <c r="DN86" s="19"/>
      <c r="DO86" s="19"/>
      <c r="DP86" s="19"/>
      <c r="DQ86" s="19"/>
      <c r="DR86" s="19"/>
      <c r="DS86" s="19"/>
      <c r="DT86" s="19"/>
      <c r="DU86" s="19"/>
      <c r="DV86" s="19"/>
      <c r="DW86" s="19"/>
      <c r="DX86" s="19"/>
      <c r="DY86" s="19"/>
      <c r="DZ86" s="19"/>
      <c r="EA86" s="19"/>
      <c r="EB86" s="26" t="s">
        <v>239</v>
      </c>
      <c r="EC86" s="19">
        <v>0</v>
      </c>
      <c r="ED86" s="19">
        <v>0</v>
      </c>
      <c r="EE86" s="19">
        <v>4</v>
      </c>
      <c r="EF86" s="19">
        <v>4</v>
      </c>
      <c r="EG86" s="19">
        <v>8</v>
      </c>
      <c r="EH86" s="19">
        <v>8</v>
      </c>
      <c r="EI86" s="19">
        <v>12</v>
      </c>
      <c r="EJ86" s="19">
        <v>12</v>
      </c>
      <c r="EK86" s="19">
        <v>16</v>
      </c>
      <c r="EL86" s="19">
        <v>20</v>
      </c>
      <c r="EM86" s="19">
        <v>20</v>
      </c>
      <c r="EN86" s="19">
        <v>24</v>
      </c>
      <c r="EO86" s="19">
        <v>24</v>
      </c>
      <c r="EP86" s="19">
        <v>28</v>
      </c>
      <c r="EQ86" s="19">
        <v>28</v>
      </c>
      <c r="ER86" s="19">
        <v>32</v>
      </c>
      <c r="ES86" s="19">
        <v>36</v>
      </c>
      <c r="ET86" s="19">
        <v>36</v>
      </c>
      <c r="EU86" s="19">
        <v>40</v>
      </c>
      <c r="EV86" s="19">
        <v>40</v>
      </c>
      <c r="EW86" s="19">
        <v>44</v>
      </c>
      <c r="EX86" s="19">
        <v>44</v>
      </c>
      <c r="EY86" s="19">
        <v>48</v>
      </c>
      <c r="EZ86" s="19">
        <v>52</v>
      </c>
      <c r="FA86" s="19">
        <v>52</v>
      </c>
      <c r="FB86" s="19">
        <v>56</v>
      </c>
      <c r="FC86" s="19">
        <v>56</v>
      </c>
      <c r="FD86" s="19">
        <v>60</v>
      </c>
      <c r="FE86" s="19">
        <v>60</v>
      </c>
      <c r="FF86" s="19">
        <v>64</v>
      </c>
      <c r="FG86" s="19">
        <v>68</v>
      </c>
      <c r="FH86" s="19">
        <v>68</v>
      </c>
      <c r="FI86" s="19">
        <v>72</v>
      </c>
      <c r="FJ86" s="19">
        <v>72</v>
      </c>
      <c r="FK86" s="19">
        <v>76</v>
      </c>
      <c r="FL86" s="19">
        <v>76</v>
      </c>
      <c r="FM86" s="19">
        <v>80</v>
      </c>
      <c r="FN86" s="19">
        <v>80</v>
      </c>
      <c r="FO86" s="19">
        <v>84</v>
      </c>
      <c r="FP86" s="19">
        <v>88</v>
      </c>
      <c r="FQ86" s="19">
        <v>88</v>
      </c>
      <c r="FR86" s="19">
        <v>92</v>
      </c>
      <c r="FS86" s="19">
        <v>92</v>
      </c>
      <c r="FT86" s="19">
        <v>96</v>
      </c>
      <c r="FU86" s="19">
        <v>96</v>
      </c>
      <c r="FV86" s="19">
        <v>100</v>
      </c>
      <c r="FW86" s="19">
        <v>104</v>
      </c>
      <c r="FX86" s="19">
        <v>104</v>
      </c>
      <c r="FY86" s="19">
        <v>108</v>
      </c>
      <c r="FZ86" s="19">
        <v>108</v>
      </c>
      <c r="GA86" s="19">
        <v>112</v>
      </c>
      <c r="GC86" s="19"/>
      <c r="GD86" s="19"/>
      <c r="GE86" s="26" t="s">
        <v>239</v>
      </c>
      <c r="GF86" s="19">
        <v>0</v>
      </c>
      <c r="GG86" s="19">
        <v>0</v>
      </c>
      <c r="GH86" s="19">
        <v>4</v>
      </c>
      <c r="GI86" s="19">
        <v>4</v>
      </c>
      <c r="GJ86" s="19">
        <v>8</v>
      </c>
      <c r="GK86" s="19">
        <v>12</v>
      </c>
      <c r="GL86" s="19">
        <v>12</v>
      </c>
      <c r="GM86" s="19">
        <v>16</v>
      </c>
      <c r="GN86" s="19">
        <v>20</v>
      </c>
      <c r="GO86" s="19">
        <v>20</v>
      </c>
      <c r="GP86" s="19">
        <v>24</v>
      </c>
      <c r="GQ86" s="19">
        <v>28</v>
      </c>
      <c r="GR86" s="19">
        <v>28</v>
      </c>
      <c r="GS86" s="19">
        <v>32</v>
      </c>
      <c r="GT86" s="19">
        <v>36</v>
      </c>
      <c r="GU86" s="19">
        <v>36</v>
      </c>
      <c r="GV86" s="19">
        <v>40</v>
      </c>
      <c r="GW86" s="19">
        <v>40</v>
      </c>
      <c r="GX86" s="19">
        <v>44</v>
      </c>
      <c r="GY86" s="19">
        <v>48</v>
      </c>
      <c r="GZ86" s="19">
        <v>48</v>
      </c>
      <c r="HA86" s="19">
        <v>52</v>
      </c>
      <c r="HB86" s="19">
        <v>56</v>
      </c>
      <c r="HC86" s="19">
        <v>56</v>
      </c>
      <c r="HD86" s="19">
        <v>60</v>
      </c>
      <c r="HE86" s="19">
        <v>64</v>
      </c>
      <c r="HF86" s="19">
        <v>64</v>
      </c>
      <c r="HG86" s="19">
        <v>68</v>
      </c>
      <c r="HH86" s="19">
        <v>72</v>
      </c>
      <c r="HI86" s="19">
        <v>72</v>
      </c>
      <c r="HJ86" s="19">
        <v>76</v>
      </c>
      <c r="HK86" s="19">
        <v>76</v>
      </c>
      <c r="HL86" s="19">
        <v>80</v>
      </c>
      <c r="HM86" s="19">
        <v>84</v>
      </c>
      <c r="HN86" s="19">
        <v>84</v>
      </c>
      <c r="HO86" s="19">
        <v>88</v>
      </c>
      <c r="HP86" s="19">
        <v>92</v>
      </c>
      <c r="HQ86" s="19">
        <v>92</v>
      </c>
      <c r="HR86" s="19">
        <v>96</v>
      </c>
      <c r="HS86" s="19">
        <v>100</v>
      </c>
      <c r="HT86" s="19">
        <v>100</v>
      </c>
      <c r="HU86" s="19">
        <v>104</v>
      </c>
      <c r="HV86" s="19">
        <v>104</v>
      </c>
      <c r="HW86" s="19">
        <v>108</v>
      </c>
      <c r="HX86" s="19">
        <v>112</v>
      </c>
      <c r="HY86" s="19">
        <v>112</v>
      </c>
      <c r="HZ86" s="19">
        <v>116</v>
      </c>
      <c r="IA86" s="19">
        <v>120</v>
      </c>
      <c r="IB86" s="19">
        <v>120</v>
      </c>
      <c r="IC86" s="19">
        <v>124</v>
      </c>
      <c r="ID86" s="19">
        <v>128</v>
      </c>
    </row>
    <row r="87" spans="1:238" x14ac:dyDescent="0.25">
      <c r="A87" s="4"/>
      <c r="B87" s="6"/>
      <c r="C87" s="4"/>
      <c r="D87" s="4"/>
      <c r="E87" s="4"/>
      <c r="F87" s="4"/>
      <c r="G87" s="4"/>
      <c r="H87" s="4"/>
      <c r="I87" s="4"/>
      <c r="J87" s="4"/>
      <c r="K87" s="4"/>
      <c r="L87" s="6" t="str">
        <f>IF(E76=$AK$22,"NOWPAL40x40SR","-------")</f>
        <v>-------</v>
      </c>
      <c r="M87" s="14" t="str">
        <f>INDEX(cenník!$C$2:$I$568,MATCH($L87,cenník!$B$2:$B$557,0),MATCH(M$24,cenník!$C$1:$I$1,0))</f>
        <v>-------</v>
      </c>
      <c r="N87" s="14">
        <f>INDEX(cenník!$C$2:$I$568,MATCH($L87,cenník!$B$2:$B$557,0),MATCH(N$24,cenník!$C$1:$I$1,0))</f>
        <v>0</v>
      </c>
      <c r="O87" s="14">
        <f>IF(L87="NOWPAL40X40SR",SUM(C69:C84)*4,0)</f>
        <v>0</v>
      </c>
      <c r="P87" s="21">
        <f>INDEX(cenník!$C$2:$I$568,MATCH($L87,cenník!$B$2:$B$557,0),MATCH(P$24,cenník!$C$1:$I$1,0))</f>
        <v>0</v>
      </c>
      <c r="Q87" s="21">
        <f>O87*P87</f>
        <v>0</v>
      </c>
      <c r="R87" s="22">
        <f t="shared" si="35"/>
        <v>0</v>
      </c>
      <c r="S87" s="21">
        <f t="shared" si="36"/>
        <v>0</v>
      </c>
      <c r="T87" s="21">
        <f>O87*S87</f>
        <v>0</v>
      </c>
      <c r="U87" s="21">
        <f>INDEX(cenník!$C$2:$I$568,MATCH($L87,cenník!$B$2:$B$557,0),MATCH(U$24,cenník!$C$1:$I$1,0))*O87</f>
        <v>0</v>
      </c>
      <c r="V87" s="19"/>
      <c r="W87" s="25" t="str">
        <f>IF(E94="vertikálne",G92,IF(E94="horizontálne",E92,0))</f>
        <v>2450-2500</v>
      </c>
      <c r="X87" s="25">
        <f t="shared" ref="X87:X102" si="40">((IF($E$94=$AB$1,(IF(A91=0,0,IF(A91&gt;0,IF((((INT(((A91*$W$92)+((A91-1)*20)+80)/$E$93))-1)*$E$93)+500&gt;=((A91*$W$92)+((A91-1)*20)+80),(INT(((A91*$W$92)+((A91-1)*20)+80)/$E$93))*2,((INT(((A91*$W$92)+((A91-1)*20)+80)/$E$93))+1)*2)))),IF($E$94=$AB$2,(IF(A91=0,0,IF(A91&gt;0,IF((((INT(((A91*$W$93)+((A91-1)*20)+80)/$E$93))-1)*$E$93)+500&gt;=((A91*$W$93)+((A91-1)*20)+80),(INT(((A91*$W$93)+((A91-1)*20)+80)/$E$93))*2,((INT(((A91*$W$93)+((A91-1)*20)+80)/$E$93))+1)*2)))))))*C91)</f>
        <v>0</v>
      </c>
      <c r="Y87" s="28" t="s">
        <v>94</v>
      </c>
      <c r="Z87" s="28">
        <v>1.1499999999999999</v>
      </c>
      <c r="AA87" s="28">
        <v>2.1</v>
      </c>
      <c r="AB87" s="28">
        <v>2.2000000000000002</v>
      </c>
      <c r="AC87" s="28">
        <v>3.15</v>
      </c>
      <c r="AD87" s="28">
        <v>3.3</v>
      </c>
      <c r="AE87" s="19"/>
      <c r="AF87" s="19"/>
      <c r="AG87" s="19"/>
      <c r="AH87" s="19"/>
      <c r="AI87" s="19"/>
      <c r="AJ87" s="19"/>
      <c r="AK87" s="19"/>
      <c r="AL87" s="19"/>
      <c r="AM87" s="19"/>
      <c r="AN87" s="19"/>
      <c r="AO87" s="19"/>
      <c r="AP87" s="19"/>
      <c r="AQ87" s="19"/>
      <c r="AR87" s="19"/>
      <c r="AS87" s="19"/>
      <c r="AT87" s="19"/>
      <c r="AU87" s="19"/>
      <c r="AV87" s="19"/>
      <c r="AW87" s="19"/>
      <c r="AX87" s="19"/>
      <c r="AY87" s="19"/>
      <c r="AZ87" s="19"/>
      <c r="BA87" s="20" t="s">
        <v>326</v>
      </c>
      <c r="BB87" s="20">
        <v>0</v>
      </c>
      <c r="BC87" s="20">
        <v>2</v>
      </c>
      <c r="BD87" s="20">
        <v>0</v>
      </c>
      <c r="BE87" s="20">
        <v>4</v>
      </c>
      <c r="BF87" s="20">
        <v>2</v>
      </c>
      <c r="BG87" s="20">
        <v>0</v>
      </c>
      <c r="BH87" s="20">
        <v>4</v>
      </c>
      <c r="BI87" s="20">
        <v>2</v>
      </c>
      <c r="BJ87" s="20">
        <v>0</v>
      </c>
      <c r="BK87" s="20">
        <v>2</v>
      </c>
      <c r="BL87" s="20">
        <v>0</v>
      </c>
      <c r="BM87" s="20">
        <v>4</v>
      </c>
      <c r="BN87" s="20">
        <v>2</v>
      </c>
      <c r="BO87" s="20">
        <v>0</v>
      </c>
      <c r="BP87" s="20">
        <v>4</v>
      </c>
      <c r="BQ87" s="20">
        <v>2</v>
      </c>
      <c r="BR87" s="20">
        <v>0</v>
      </c>
      <c r="BS87" s="20">
        <v>4</v>
      </c>
      <c r="BT87" s="20">
        <v>0</v>
      </c>
      <c r="BU87" s="20">
        <v>4</v>
      </c>
      <c r="BV87" s="20">
        <v>2</v>
      </c>
      <c r="BW87" s="20">
        <v>0</v>
      </c>
      <c r="BX87" s="20">
        <v>4</v>
      </c>
      <c r="BY87" s="20">
        <v>2</v>
      </c>
      <c r="BZ87" s="20">
        <v>0</v>
      </c>
      <c r="CA87" s="20">
        <v>4</v>
      </c>
      <c r="DA87" s="17"/>
      <c r="DB87" s="17"/>
      <c r="DC87" s="17"/>
      <c r="DD87" s="26" t="s">
        <v>328</v>
      </c>
      <c r="DE87" s="19">
        <v>0</v>
      </c>
      <c r="DF87" s="19"/>
      <c r="DG87" s="19"/>
      <c r="DH87" s="19"/>
      <c r="DI87" s="19"/>
      <c r="DJ87" s="19"/>
      <c r="DK87" s="19"/>
      <c r="DL87" s="19"/>
      <c r="DM87" s="19"/>
      <c r="DN87" s="19"/>
      <c r="DO87" s="19"/>
      <c r="DP87" s="19"/>
      <c r="DQ87" s="19"/>
      <c r="DR87" s="19"/>
      <c r="DS87" s="19"/>
      <c r="DT87" s="19"/>
      <c r="DU87" s="19"/>
      <c r="DV87" s="19"/>
      <c r="DW87" s="19"/>
      <c r="DX87" s="19"/>
      <c r="DY87" s="19"/>
      <c r="DZ87" s="19"/>
      <c r="EA87" s="19"/>
      <c r="EB87" s="26" t="s">
        <v>326</v>
      </c>
      <c r="EC87" s="19">
        <v>0</v>
      </c>
      <c r="ED87" s="19">
        <v>2</v>
      </c>
      <c r="EE87" s="19">
        <v>4</v>
      </c>
      <c r="EF87" s="19">
        <v>0</v>
      </c>
      <c r="EG87" s="19">
        <v>4</v>
      </c>
      <c r="EH87" s="19">
        <v>0</v>
      </c>
      <c r="EI87" s="19">
        <v>2</v>
      </c>
      <c r="EJ87" s="19">
        <v>0</v>
      </c>
      <c r="EK87" s="19">
        <v>2</v>
      </c>
      <c r="EL87" s="19">
        <v>4</v>
      </c>
      <c r="EM87" s="19">
        <v>0</v>
      </c>
      <c r="EN87" s="19">
        <v>4</v>
      </c>
      <c r="EO87" s="19">
        <v>0</v>
      </c>
      <c r="EP87" s="19">
        <v>2</v>
      </c>
      <c r="EQ87" s="19">
        <v>0</v>
      </c>
      <c r="ER87" s="19">
        <v>2</v>
      </c>
      <c r="ES87" s="19">
        <v>4</v>
      </c>
      <c r="ET87" s="19">
        <v>2</v>
      </c>
      <c r="EU87" s="19">
        <v>4</v>
      </c>
      <c r="EV87" s="19">
        <v>0</v>
      </c>
      <c r="EW87" s="19">
        <v>2</v>
      </c>
      <c r="EX87" s="19">
        <v>0</v>
      </c>
      <c r="EY87" s="19">
        <v>2</v>
      </c>
      <c r="EZ87" s="19">
        <v>4</v>
      </c>
      <c r="FA87" s="19">
        <v>2</v>
      </c>
      <c r="FB87" s="19">
        <v>4</v>
      </c>
      <c r="FC87" s="19"/>
      <c r="FD87" s="19"/>
      <c r="FE87" s="19"/>
      <c r="FF87" s="19"/>
      <c r="FG87" s="19"/>
      <c r="FH87" s="19"/>
      <c r="FI87" s="19"/>
      <c r="FJ87" s="19"/>
      <c r="FK87" s="19"/>
      <c r="FL87" s="19"/>
      <c r="FM87" s="19"/>
      <c r="FN87" s="19"/>
      <c r="FO87" s="19"/>
      <c r="FP87" s="19"/>
      <c r="FQ87" s="19"/>
      <c r="FR87" s="19"/>
      <c r="FS87" s="19"/>
      <c r="FT87" s="19"/>
      <c r="FU87" s="19"/>
      <c r="FV87" s="19"/>
      <c r="FW87" s="19"/>
      <c r="FX87" s="19"/>
      <c r="FY87" s="19"/>
      <c r="FZ87" s="19"/>
      <c r="GA87" s="19"/>
      <c r="GC87" s="19"/>
      <c r="GD87" s="19"/>
      <c r="GE87" s="26" t="s">
        <v>326</v>
      </c>
      <c r="GF87" s="19">
        <v>0</v>
      </c>
      <c r="GG87" s="19">
        <v>2</v>
      </c>
      <c r="GH87" s="19">
        <v>4</v>
      </c>
      <c r="GI87" s="19">
        <v>0</v>
      </c>
      <c r="GJ87" s="19">
        <v>2</v>
      </c>
      <c r="GK87" s="19">
        <v>4</v>
      </c>
      <c r="GL87" s="19">
        <v>0</v>
      </c>
      <c r="GM87" s="19">
        <v>2</v>
      </c>
      <c r="GN87" s="19">
        <v>4</v>
      </c>
      <c r="GO87" s="19">
        <v>0</v>
      </c>
      <c r="GP87" s="19">
        <v>2</v>
      </c>
      <c r="GQ87" s="19">
        <v>4</v>
      </c>
      <c r="GR87" s="19">
        <v>0</v>
      </c>
      <c r="GS87" s="19">
        <v>2</v>
      </c>
      <c r="GT87" s="19">
        <v>4</v>
      </c>
      <c r="GU87" s="19">
        <v>2</v>
      </c>
      <c r="GV87" s="19">
        <v>4</v>
      </c>
      <c r="GW87" s="19">
        <v>0</v>
      </c>
      <c r="GX87" s="19">
        <v>2</v>
      </c>
      <c r="GY87" s="19">
        <v>4</v>
      </c>
      <c r="GZ87" s="19">
        <v>0</v>
      </c>
      <c r="HA87" s="19">
        <v>2</v>
      </c>
      <c r="HB87" s="19">
        <v>4</v>
      </c>
      <c r="HC87" s="19">
        <v>0</v>
      </c>
      <c r="HD87" s="19">
        <v>2</v>
      </c>
      <c r="HE87" s="19">
        <v>4</v>
      </c>
      <c r="HF87" s="19"/>
      <c r="HG87" s="19"/>
      <c r="HH87" s="19"/>
      <c r="HI87" s="19"/>
      <c r="HJ87" s="19"/>
      <c r="HK87" s="19"/>
      <c r="HL87" s="19"/>
      <c r="HM87" s="19"/>
      <c r="HN87" s="19"/>
      <c r="HO87" s="19"/>
      <c r="HP87" s="19"/>
      <c r="HQ87" s="19"/>
      <c r="HR87" s="19"/>
      <c r="HS87" s="19"/>
      <c r="HT87" s="19"/>
      <c r="HU87" s="19"/>
      <c r="HV87" s="19"/>
      <c r="HW87" s="19"/>
      <c r="HX87" s="19"/>
      <c r="HY87" s="19"/>
      <c r="HZ87" s="19"/>
      <c r="IA87" s="19"/>
      <c r="IB87" s="19"/>
      <c r="IC87" s="19"/>
      <c r="ID87" s="19"/>
    </row>
    <row r="88" spans="1:238" x14ac:dyDescent="0.25">
      <c r="A88" s="4"/>
      <c r="B88" s="6"/>
      <c r="C88" s="4"/>
      <c r="D88" s="4"/>
      <c r="E88" s="4"/>
      <c r="F88" s="4"/>
      <c r="G88" s="4"/>
      <c r="H88" s="4"/>
      <c r="I88" s="4"/>
      <c r="J88" s="4"/>
      <c r="K88" s="4"/>
      <c r="L88" s="6" t="s">
        <v>244</v>
      </c>
      <c r="M88" s="14">
        <f>INDEX(cenník!$C$2:$I$568,MATCH($L88,cenník!$B$2:$B$557,0),MATCH(M$24,cenník!$C$1:$I$1,0))</f>
        <v>166794</v>
      </c>
      <c r="N88" s="14" t="str">
        <f>INDEX(cenník!$C$2:$I$568,MATCH($L88,cenník!$B$2:$B$557,0),MATCH(N$24,cenník!$C$1:$I$1,0))</f>
        <v>100ks</v>
      </c>
      <c r="O88" s="14">
        <f>ROUNDUP((O82/100),0)</f>
        <v>0</v>
      </c>
      <c r="P88" s="21">
        <f>INDEX(cenník!$C$2:$I$568,MATCH($L88,cenník!$B$2:$B$557,0),MATCH(P$24,cenník!$C$1:$I$1,0))</f>
        <v>1.38</v>
      </c>
      <c r="Q88" s="21">
        <f>O88*P88</f>
        <v>0</v>
      </c>
      <c r="R88" s="22">
        <f t="shared" si="35"/>
        <v>0</v>
      </c>
      <c r="S88" s="21">
        <f t="shared" si="36"/>
        <v>1.38</v>
      </c>
      <c r="T88" s="21">
        <f>O88*S88</f>
        <v>0</v>
      </c>
      <c r="U88" s="21">
        <f>INDEX(cenník!$C$2:$I$568,MATCH($L88,cenník!$B$2:$B$557,0),MATCH(U$24,cenník!$C$1:$I$1,0))*O88</f>
        <v>0</v>
      </c>
      <c r="V88" s="19"/>
      <c r="W88" s="19"/>
      <c r="X88" s="25">
        <f t="shared" si="40"/>
        <v>0</v>
      </c>
      <c r="Y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91,$BB$2:$CA$2,0),MATCH($W$87,$AH$22:$AH$47,0)))*C91</f>
        <v>0</v>
      </c>
      <c r="Z8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91,$BB$2:$CA$2,0),MATCH($W$87,$AH$22:$AH$47,0)))*C91</f>
        <v>#N/A</v>
      </c>
      <c r="AA8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91,$BB$2:$CA$2,0),MATCH($W$87,$AH$22:$AH$47,0)))*C91</f>
        <v>#N/A</v>
      </c>
      <c r="AB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91,$BB$2:$CA$2,0),MATCH($W$87,$AH$22:$AH$47,0)))*C91</f>
        <v>0</v>
      </c>
      <c r="AC8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91,$BB$2:$CA$2,0),MATCH($W$87,$AH$22:$AH$47,0)))*C91</f>
        <v>#N/A</v>
      </c>
      <c r="AD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91,$BB$2:$CA$2,0),MATCH($W$87,$AH$22:$AH$47,0)))*C91</f>
        <v>0</v>
      </c>
      <c r="AE88" s="19"/>
      <c r="AF88" s="19"/>
      <c r="AG88" s="19"/>
      <c r="AH88" s="19"/>
      <c r="AI88" s="19"/>
      <c r="AJ88" s="19"/>
      <c r="AK88" s="19"/>
      <c r="AL88" s="19"/>
      <c r="AM88" s="19"/>
      <c r="AN88" s="19"/>
      <c r="AO88" s="19"/>
      <c r="AP88" s="19"/>
      <c r="AQ88" s="19"/>
      <c r="AR88" s="19"/>
      <c r="AS88" s="19"/>
      <c r="AT88" s="19"/>
      <c r="AU88" s="19"/>
      <c r="AV88" s="19"/>
      <c r="AW88" s="19"/>
      <c r="AX88" s="19"/>
      <c r="AY88" s="19"/>
      <c r="AZ88" s="19"/>
      <c r="BA88" s="20" t="s">
        <v>327</v>
      </c>
      <c r="BB88" s="20">
        <v>0</v>
      </c>
      <c r="BC88" s="20">
        <v>0</v>
      </c>
      <c r="BD88" s="20">
        <v>2</v>
      </c>
      <c r="BE88" s="20">
        <v>0</v>
      </c>
      <c r="BF88" s="20">
        <v>2</v>
      </c>
      <c r="BG88" s="20">
        <v>4</v>
      </c>
      <c r="BH88" s="20">
        <v>2</v>
      </c>
      <c r="BI88" s="20">
        <v>4</v>
      </c>
      <c r="BJ88" s="20">
        <v>6</v>
      </c>
      <c r="BK88" s="20">
        <v>6</v>
      </c>
      <c r="BL88" s="20">
        <v>8</v>
      </c>
      <c r="BM88" s="20">
        <v>6</v>
      </c>
      <c r="BN88" s="20">
        <v>8</v>
      </c>
      <c r="BO88" s="20">
        <v>10</v>
      </c>
      <c r="BP88" s="20">
        <v>8</v>
      </c>
      <c r="BQ88" s="20">
        <v>10</v>
      </c>
      <c r="BR88" s="20">
        <v>12</v>
      </c>
      <c r="BS88" s="20">
        <v>10</v>
      </c>
      <c r="BT88" s="20">
        <v>14</v>
      </c>
      <c r="BU88" s="20">
        <v>12</v>
      </c>
      <c r="BV88" s="20">
        <v>14</v>
      </c>
      <c r="BW88" s="20">
        <v>16</v>
      </c>
      <c r="BX88" s="20">
        <v>14</v>
      </c>
      <c r="BY88" s="20">
        <v>16</v>
      </c>
      <c r="BZ88" s="20">
        <v>18</v>
      </c>
      <c r="CA88" s="20">
        <v>16</v>
      </c>
      <c r="DA88" s="17"/>
      <c r="DB88" s="17"/>
      <c r="DC88" s="17"/>
      <c r="DD88" s="19"/>
      <c r="DE88" s="19"/>
      <c r="DF88" s="19"/>
      <c r="DG88" s="19"/>
      <c r="DH88" s="19"/>
      <c r="DI88" s="19"/>
      <c r="DJ88" s="19"/>
      <c r="DK88" s="19"/>
      <c r="DL88" s="19"/>
      <c r="DM88" s="19"/>
      <c r="DN88" s="19"/>
      <c r="DO88" s="19"/>
      <c r="DP88" s="19"/>
      <c r="DQ88" s="19"/>
      <c r="DR88" s="19"/>
      <c r="DS88" s="19"/>
      <c r="DT88" s="19"/>
      <c r="DU88" s="19"/>
      <c r="DV88" s="19"/>
      <c r="DW88" s="19"/>
      <c r="DX88" s="19"/>
      <c r="DY88" s="19"/>
      <c r="DZ88" s="19"/>
      <c r="EA88" s="19"/>
      <c r="EB88" s="26" t="s">
        <v>327</v>
      </c>
      <c r="EC88" s="19">
        <v>0</v>
      </c>
      <c r="ED88" s="19">
        <v>0</v>
      </c>
      <c r="EE88" s="19">
        <v>0</v>
      </c>
      <c r="EF88" s="19">
        <v>4</v>
      </c>
      <c r="EG88" s="19">
        <v>2</v>
      </c>
      <c r="EH88" s="19">
        <v>6</v>
      </c>
      <c r="EI88" s="19">
        <v>6</v>
      </c>
      <c r="EJ88" s="19">
        <v>8</v>
      </c>
      <c r="EK88" s="19">
        <v>8</v>
      </c>
      <c r="EL88" s="19">
        <v>8</v>
      </c>
      <c r="EM88" s="19">
        <v>12</v>
      </c>
      <c r="EN88" s="19">
        <v>10</v>
      </c>
      <c r="EO88" s="19">
        <v>14</v>
      </c>
      <c r="EP88" s="19">
        <v>14</v>
      </c>
      <c r="EQ88" s="19">
        <v>16</v>
      </c>
      <c r="ER88" s="19">
        <v>16</v>
      </c>
      <c r="ES88" s="19">
        <v>16</v>
      </c>
      <c r="ET88" s="19">
        <v>18</v>
      </c>
      <c r="EU88" s="19">
        <v>18</v>
      </c>
      <c r="EV88" s="19">
        <v>22</v>
      </c>
      <c r="EW88" s="19">
        <v>22</v>
      </c>
      <c r="EX88" s="19">
        <v>24</v>
      </c>
      <c r="EY88" s="19">
        <v>24</v>
      </c>
      <c r="EZ88" s="19">
        <v>24</v>
      </c>
      <c r="FA88" s="19">
        <v>26</v>
      </c>
      <c r="FB88" s="19">
        <v>26</v>
      </c>
      <c r="FC88" s="19"/>
      <c r="FD88" s="19"/>
      <c r="FE88" s="19"/>
      <c r="FF88" s="19"/>
      <c r="FG88" s="19"/>
      <c r="FH88" s="19"/>
      <c r="FI88" s="19"/>
      <c r="FJ88" s="19"/>
      <c r="FK88" s="19"/>
      <c r="FL88" s="19"/>
      <c r="FM88" s="19"/>
      <c r="FN88" s="19"/>
      <c r="FO88" s="19"/>
      <c r="FP88" s="19"/>
      <c r="FQ88" s="19"/>
      <c r="FR88" s="19"/>
      <c r="FS88" s="19"/>
      <c r="FT88" s="19"/>
      <c r="FU88" s="19"/>
      <c r="FV88" s="19"/>
      <c r="FW88" s="19"/>
      <c r="FX88" s="19"/>
      <c r="FY88" s="19"/>
      <c r="FZ88" s="19"/>
      <c r="GA88" s="19"/>
      <c r="GC88" s="19"/>
      <c r="GD88" s="19"/>
      <c r="GE88" s="26" t="s">
        <v>327</v>
      </c>
      <c r="GF88" s="19">
        <v>0</v>
      </c>
      <c r="GG88" s="19">
        <v>0</v>
      </c>
      <c r="GH88" s="19">
        <v>0</v>
      </c>
      <c r="GI88" s="19">
        <v>4</v>
      </c>
      <c r="GJ88" s="19">
        <v>4</v>
      </c>
      <c r="GK88" s="19">
        <v>4</v>
      </c>
      <c r="GL88" s="19">
        <v>8</v>
      </c>
      <c r="GM88" s="19">
        <v>8</v>
      </c>
      <c r="GN88" s="19">
        <v>8</v>
      </c>
      <c r="GO88" s="19">
        <v>12</v>
      </c>
      <c r="GP88" s="19">
        <v>12</v>
      </c>
      <c r="GQ88" s="19">
        <v>12</v>
      </c>
      <c r="GR88" s="19">
        <v>16</v>
      </c>
      <c r="GS88" s="19">
        <v>16</v>
      </c>
      <c r="GT88" s="19">
        <v>16</v>
      </c>
      <c r="GU88" s="19">
        <v>18</v>
      </c>
      <c r="GV88" s="19">
        <v>18</v>
      </c>
      <c r="GW88" s="19">
        <v>22</v>
      </c>
      <c r="GX88" s="19">
        <v>22</v>
      </c>
      <c r="GY88" s="19">
        <v>22</v>
      </c>
      <c r="GZ88" s="19">
        <v>26</v>
      </c>
      <c r="HA88" s="19">
        <v>26</v>
      </c>
      <c r="HB88" s="19">
        <v>26</v>
      </c>
      <c r="HC88" s="19">
        <v>30</v>
      </c>
      <c r="HD88" s="19">
        <v>30</v>
      </c>
      <c r="HE88" s="19">
        <v>30</v>
      </c>
      <c r="HF88" s="19"/>
      <c r="HG88" s="19"/>
      <c r="HH88" s="19"/>
      <c r="HI88" s="19"/>
      <c r="HJ88" s="19"/>
      <c r="HK88" s="19"/>
      <c r="HL88" s="19"/>
      <c r="HM88" s="19"/>
      <c r="HN88" s="19"/>
      <c r="HO88" s="19"/>
      <c r="HP88" s="19"/>
      <c r="HQ88" s="19"/>
      <c r="HR88" s="19"/>
      <c r="HS88" s="19"/>
      <c r="HT88" s="19"/>
      <c r="HU88" s="19"/>
      <c r="HV88" s="19"/>
      <c r="HW88" s="19"/>
      <c r="HX88" s="19"/>
      <c r="HY88" s="19"/>
      <c r="HZ88" s="19"/>
      <c r="IA88" s="19"/>
      <c r="IB88" s="19"/>
      <c r="IC88" s="19"/>
      <c r="ID88" s="19"/>
    </row>
    <row r="89" spans="1:238" x14ac:dyDescent="0.25">
      <c r="A89" s="4"/>
      <c r="B89" s="6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21">
        <f>SUM(T70:T88)</f>
        <v>0</v>
      </c>
      <c r="U89" s="21">
        <f>SUM(U70:U88)</f>
        <v>0</v>
      </c>
      <c r="V89" s="19"/>
      <c r="W89" s="19"/>
      <c r="X89" s="25">
        <f t="shared" si="40"/>
        <v>0</v>
      </c>
      <c r="Y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92,$BB$2:$CA$2,0),MATCH($W$87,$AH$22:$AH$47,0)))*C92</f>
        <v>0</v>
      </c>
      <c r="Z8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92,$BB$2:$CA$2,0),MATCH($W$87,$AH$22:$AH$47,0)))*C92</f>
        <v>#N/A</v>
      </c>
      <c r="AA8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92,$BB$2:$CA$2,0),MATCH($W$87,$AH$22:$AH$47,0)))*C92</f>
        <v>#N/A</v>
      </c>
      <c r="AB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92,$BB$2:$CA$2,0),MATCH($W$87,$AH$22:$AH$47,0)))*C92</f>
        <v>0</v>
      </c>
      <c r="AC8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92,$BB$2:$CA$2,0),MATCH($W$87,$AH$22:$AH$47,0)))*C92</f>
        <v>#N/A</v>
      </c>
      <c r="AD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92,$BB$2:$CA$2,0),MATCH($W$87,$AH$22:$AH$47,0)))*C92</f>
        <v>0</v>
      </c>
      <c r="AE89" s="19"/>
      <c r="AF89" s="19"/>
      <c r="AG89" s="19"/>
      <c r="AH89" s="19"/>
      <c r="AI89" s="19"/>
      <c r="AJ89" s="19"/>
      <c r="AK89" s="19"/>
      <c r="AL89" s="19"/>
      <c r="AM89" s="19"/>
      <c r="AN89" s="19"/>
      <c r="AO89" s="19"/>
      <c r="AP89" s="19"/>
      <c r="AQ89" s="19"/>
      <c r="AR89" s="19"/>
      <c r="AS89" s="19"/>
      <c r="AT89" s="19"/>
      <c r="AU89" s="19"/>
      <c r="AV89" s="19"/>
      <c r="AW89" s="19"/>
      <c r="AX89" s="19"/>
      <c r="AY89" s="19"/>
      <c r="AZ89" s="19"/>
      <c r="BA89" s="20" t="s">
        <v>328</v>
      </c>
      <c r="BB89" s="20">
        <v>0</v>
      </c>
      <c r="BC89" s="20">
        <v>0</v>
      </c>
      <c r="BD89" s="20">
        <v>0</v>
      </c>
      <c r="BE89" s="20">
        <v>2</v>
      </c>
      <c r="BF89" s="20">
        <v>2</v>
      </c>
      <c r="BG89" s="20">
        <v>2</v>
      </c>
      <c r="BH89" s="20">
        <v>4</v>
      </c>
      <c r="BI89" s="20">
        <v>4</v>
      </c>
      <c r="BJ89" s="20">
        <v>4</v>
      </c>
      <c r="BK89" s="20">
        <v>6</v>
      </c>
      <c r="BL89" s="20">
        <v>6</v>
      </c>
      <c r="BM89" s="20">
        <v>8</v>
      </c>
      <c r="BN89" s="20">
        <v>8</v>
      </c>
      <c r="BO89" s="20">
        <v>8</v>
      </c>
      <c r="BP89" s="20">
        <v>10</v>
      </c>
      <c r="BQ89" s="20">
        <v>10</v>
      </c>
      <c r="BR89" s="20">
        <v>10</v>
      </c>
      <c r="BS89" s="20">
        <v>12</v>
      </c>
      <c r="BT89" s="20">
        <v>12</v>
      </c>
      <c r="BU89" s="20">
        <v>14</v>
      </c>
      <c r="BV89" s="20">
        <v>14</v>
      </c>
      <c r="BW89" s="20">
        <v>14</v>
      </c>
      <c r="BX89" s="20">
        <v>16</v>
      </c>
      <c r="BY89" s="20">
        <v>16</v>
      </c>
      <c r="BZ89" s="20">
        <v>16</v>
      </c>
      <c r="CA89" s="20">
        <v>18</v>
      </c>
      <c r="DA89" s="17"/>
      <c r="DB89" s="17"/>
      <c r="DC89" s="17"/>
      <c r="DD89" s="19" t="s">
        <v>197</v>
      </c>
      <c r="DE89" s="19">
        <v>0</v>
      </c>
      <c r="DF89" s="19">
        <v>1</v>
      </c>
      <c r="DG89" s="19">
        <v>2</v>
      </c>
      <c r="DH89" s="19">
        <v>3</v>
      </c>
      <c r="DI89" s="19">
        <v>4</v>
      </c>
      <c r="DJ89" s="19">
        <v>5</v>
      </c>
      <c r="DK89" s="19">
        <v>6</v>
      </c>
      <c r="DL89" s="19">
        <v>7</v>
      </c>
      <c r="DM89" s="19">
        <v>8</v>
      </c>
      <c r="DN89" s="19">
        <v>9</v>
      </c>
      <c r="DO89" s="19">
        <v>10</v>
      </c>
      <c r="DP89" s="19">
        <v>11</v>
      </c>
      <c r="DQ89" s="19">
        <v>12</v>
      </c>
      <c r="DR89" s="19">
        <v>13</v>
      </c>
      <c r="DS89" s="19">
        <v>14</v>
      </c>
      <c r="DT89" s="19">
        <v>15</v>
      </c>
      <c r="DU89" s="19">
        <v>16</v>
      </c>
      <c r="DV89" s="19">
        <v>17</v>
      </c>
      <c r="DW89" s="19">
        <v>18</v>
      </c>
      <c r="DX89" s="19">
        <v>19</v>
      </c>
      <c r="DY89" s="19">
        <v>20</v>
      </c>
      <c r="DZ89" s="19"/>
      <c r="EA89" s="19"/>
      <c r="EB89" s="26" t="s">
        <v>328</v>
      </c>
      <c r="EC89" s="19">
        <v>0</v>
      </c>
      <c r="ED89" s="19">
        <v>0</v>
      </c>
      <c r="EE89" s="19">
        <v>2</v>
      </c>
      <c r="EF89" s="19">
        <v>2</v>
      </c>
      <c r="EG89" s="19">
        <v>4</v>
      </c>
      <c r="EH89" s="19">
        <v>4</v>
      </c>
      <c r="EI89" s="19">
        <v>6</v>
      </c>
      <c r="EJ89" s="19">
        <v>6</v>
      </c>
      <c r="EK89" s="19">
        <v>8</v>
      </c>
      <c r="EL89" s="19">
        <v>10</v>
      </c>
      <c r="EM89" s="19">
        <v>10</v>
      </c>
      <c r="EN89" s="19">
        <v>12</v>
      </c>
      <c r="EO89" s="19">
        <v>12</v>
      </c>
      <c r="EP89" s="19">
        <v>14</v>
      </c>
      <c r="EQ89" s="19">
        <v>14</v>
      </c>
      <c r="ER89" s="19">
        <v>16</v>
      </c>
      <c r="ES89" s="19">
        <v>18</v>
      </c>
      <c r="ET89" s="19">
        <v>18</v>
      </c>
      <c r="EU89" s="19">
        <v>20</v>
      </c>
      <c r="EV89" s="19">
        <v>20</v>
      </c>
      <c r="EW89" s="19">
        <v>22</v>
      </c>
      <c r="EX89" s="19">
        <v>22</v>
      </c>
      <c r="EY89" s="19">
        <v>24</v>
      </c>
      <c r="EZ89" s="19">
        <v>26</v>
      </c>
      <c r="FA89" s="19">
        <v>26</v>
      </c>
      <c r="FB89" s="19">
        <v>28</v>
      </c>
      <c r="FC89" s="19"/>
      <c r="FD89" s="19"/>
      <c r="FE89" s="19"/>
      <c r="FF89" s="19"/>
      <c r="FG89" s="19"/>
      <c r="FH89" s="19"/>
      <c r="FI89" s="19"/>
      <c r="FJ89" s="19"/>
      <c r="FK89" s="19"/>
      <c r="FL89" s="19"/>
      <c r="FM89" s="19"/>
      <c r="FN89" s="19"/>
      <c r="FO89" s="19"/>
      <c r="FP89" s="19"/>
      <c r="FQ89" s="19"/>
      <c r="FR89" s="19"/>
      <c r="FS89" s="19"/>
      <c r="FT89" s="19"/>
      <c r="FU89" s="19"/>
      <c r="FV89" s="19"/>
      <c r="FW89" s="19"/>
      <c r="FX89" s="19"/>
      <c r="FY89" s="19"/>
      <c r="FZ89" s="19"/>
      <c r="GA89" s="19"/>
      <c r="GC89" s="19"/>
      <c r="GD89" s="19"/>
      <c r="GE89" s="26" t="s">
        <v>328</v>
      </c>
      <c r="GF89" s="19">
        <v>0</v>
      </c>
      <c r="GG89" s="19">
        <v>0</v>
      </c>
      <c r="GH89" s="19">
        <v>2</v>
      </c>
      <c r="GI89" s="19">
        <v>2</v>
      </c>
      <c r="GJ89" s="19">
        <v>4</v>
      </c>
      <c r="GK89" s="19">
        <v>6</v>
      </c>
      <c r="GL89" s="19">
        <v>6</v>
      </c>
      <c r="GM89" s="19">
        <v>8</v>
      </c>
      <c r="GN89" s="19">
        <v>10</v>
      </c>
      <c r="GO89" s="19">
        <v>10</v>
      </c>
      <c r="GP89" s="19">
        <v>12</v>
      </c>
      <c r="GQ89" s="19">
        <v>14</v>
      </c>
      <c r="GR89" s="19">
        <v>14</v>
      </c>
      <c r="GS89" s="19">
        <v>16</v>
      </c>
      <c r="GT89" s="19">
        <v>18</v>
      </c>
      <c r="GU89" s="19">
        <v>18</v>
      </c>
      <c r="GV89" s="19">
        <v>20</v>
      </c>
      <c r="GW89" s="19">
        <v>20</v>
      </c>
      <c r="GX89" s="19">
        <v>22</v>
      </c>
      <c r="GY89" s="19">
        <v>24</v>
      </c>
      <c r="GZ89" s="19">
        <v>24</v>
      </c>
      <c r="HA89" s="19">
        <v>26</v>
      </c>
      <c r="HB89" s="19">
        <v>28</v>
      </c>
      <c r="HC89" s="19">
        <v>28</v>
      </c>
      <c r="HD89" s="19">
        <v>30</v>
      </c>
      <c r="HE89" s="19">
        <v>32</v>
      </c>
      <c r="HF89" s="19"/>
      <c r="HG89" s="19"/>
      <c r="HH89" s="19"/>
      <c r="HI89" s="19"/>
      <c r="HJ89" s="19"/>
      <c r="HK89" s="19"/>
      <c r="HL89" s="19"/>
      <c r="HM89" s="19"/>
      <c r="HN89" s="19"/>
      <c r="HO89" s="19"/>
      <c r="HP89" s="19"/>
      <c r="HQ89" s="19"/>
      <c r="HR89" s="19"/>
      <c r="HS89" s="19"/>
      <c r="HT89" s="19"/>
      <c r="HU89" s="19"/>
      <c r="HV89" s="19"/>
      <c r="HW89" s="19"/>
      <c r="HX89" s="19"/>
      <c r="HY89" s="19"/>
      <c r="HZ89" s="19"/>
      <c r="IA89" s="19"/>
      <c r="IB89" s="19"/>
      <c r="IC89" s="19"/>
      <c r="ID89" s="19"/>
    </row>
    <row r="90" spans="1:238" ht="39" x14ac:dyDescent="0.25">
      <c r="A90" s="3" t="s">
        <v>549</v>
      </c>
      <c r="B90" s="6"/>
      <c r="C90" s="3" t="s">
        <v>550</v>
      </c>
      <c r="D90" s="4"/>
      <c r="E90" s="4"/>
      <c r="F90" s="4"/>
      <c r="G90" s="4"/>
      <c r="H90" s="4"/>
      <c r="I90" s="4"/>
      <c r="J90" s="4"/>
      <c r="K90" s="4"/>
      <c r="L90" s="221" t="str">
        <f>IF(E94="vertikálne","KONŠTRUKCIA DS-V5N",IF(E94="horizontálne","KONŠTRUKCIA DS-H5N"))</f>
        <v>KONŠTRUKCIA DS-H5N</v>
      </c>
      <c r="M90" s="221"/>
      <c r="N90" s="221"/>
      <c r="O90" s="221"/>
      <c r="P90" s="221"/>
      <c r="Q90" s="221"/>
      <c r="R90" s="221"/>
      <c r="S90" s="221"/>
      <c r="T90" s="221"/>
      <c r="U90" s="221"/>
      <c r="V90" s="19"/>
      <c r="W90" s="19"/>
      <c r="X90" s="25">
        <f t="shared" si="40"/>
        <v>0</v>
      </c>
      <c r="Y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93,$BB$2:$CA$2,0),MATCH($W$87,$AH$22:$AH$47,0)))*C93</f>
        <v>0</v>
      </c>
      <c r="Z9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93,$BB$2:$CA$2,0),MATCH($W$87,$AH$22:$AH$47,0)))*C93</f>
        <v>#N/A</v>
      </c>
      <c r="AA9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93,$BB$2:$CA$2,0),MATCH($W$87,$AH$22:$AH$47,0)))*C93</f>
        <v>#N/A</v>
      </c>
      <c r="AB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93,$BB$2:$CA$2,0),MATCH($W$87,$AH$22:$AH$47,0)))*C93</f>
        <v>0</v>
      </c>
      <c r="AC9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93,$BB$2:$CA$2,0),MATCH($W$87,$AH$22:$AH$47,0)))*C93</f>
        <v>#N/A</v>
      </c>
      <c r="AD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93,$BB$2:$CA$2,0),MATCH($W$87,$AH$22:$AH$47,0)))*C93</f>
        <v>0</v>
      </c>
      <c r="AE90" s="19"/>
      <c r="AF90" s="19"/>
      <c r="AG90" s="19"/>
      <c r="AH90" s="19"/>
      <c r="AI90" s="19"/>
      <c r="AJ90" s="19"/>
      <c r="AK90" s="19"/>
      <c r="AL90" s="19"/>
      <c r="AM90" s="19"/>
      <c r="AN90" s="19"/>
      <c r="AO90" s="19"/>
      <c r="AP90" s="19"/>
      <c r="AQ90" s="19"/>
      <c r="AR90" s="19"/>
      <c r="AS90" s="19"/>
      <c r="AT90" s="19"/>
      <c r="AU90" s="19"/>
      <c r="AV90" s="19"/>
      <c r="AW90" s="19"/>
      <c r="AX90" s="19"/>
      <c r="AY90" s="19"/>
      <c r="AZ90" s="19"/>
      <c r="DA90" s="17"/>
      <c r="DB90" s="17"/>
      <c r="DC90" s="17"/>
      <c r="DD90" s="19" t="s">
        <v>64</v>
      </c>
      <c r="DE90" s="19">
        <v>0</v>
      </c>
      <c r="DF90" s="19">
        <v>2</v>
      </c>
      <c r="DG90" s="19">
        <v>4</v>
      </c>
      <c r="DH90" s="19">
        <v>0</v>
      </c>
      <c r="DI90" s="19">
        <v>4</v>
      </c>
      <c r="DJ90" s="19">
        <v>0</v>
      </c>
      <c r="DK90" s="19">
        <v>2</v>
      </c>
      <c r="DL90" s="19">
        <v>0</v>
      </c>
      <c r="DM90" s="19">
        <v>2</v>
      </c>
      <c r="DN90" s="19">
        <v>4</v>
      </c>
      <c r="DO90" s="19">
        <v>0</v>
      </c>
      <c r="DP90" s="19">
        <v>4</v>
      </c>
      <c r="DQ90" s="19">
        <v>0</v>
      </c>
      <c r="DR90" s="19">
        <v>2</v>
      </c>
      <c r="DS90" s="19">
        <v>0</v>
      </c>
      <c r="DT90" s="19">
        <v>2</v>
      </c>
      <c r="DU90" s="19">
        <v>4</v>
      </c>
      <c r="DV90" s="19">
        <v>2</v>
      </c>
      <c r="DW90" s="19">
        <v>4</v>
      </c>
      <c r="DX90" s="19">
        <v>0</v>
      </c>
      <c r="DY90" s="19">
        <v>2</v>
      </c>
      <c r="DZ90" s="19"/>
      <c r="EA90" s="19"/>
      <c r="EB90" s="19"/>
      <c r="GC90" s="19"/>
      <c r="GD90" s="19"/>
      <c r="GE90" s="19"/>
      <c r="GF90" s="19"/>
      <c r="GG90" s="19"/>
      <c r="GH90" s="19"/>
      <c r="GI90" s="19"/>
      <c r="GJ90" s="19"/>
      <c r="GK90" s="19"/>
      <c r="GL90" s="19"/>
      <c r="GM90" s="19"/>
      <c r="GN90" s="19"/>
      <c r="GO90" s="19"/>
      <c r="GP90" s="19"/>
      <c r="GQ90" s="19"/>
      <c r="GR90" s="19"/>
      <c r="GS90" s="19"/>
      <c r="GT90" s="19"/>
      <c r="GU90" s="19"/>
      <c r="GV90" s="19"/>
      <c r="GW90" s="19"/>
      <c r="GX90" s="19"/>
      <c r="GY90" s="19"/>
      <c r="GZ90" s="19"/>
      <c r="HA90" s="19"/>
      <c r="HB90" s="19"/>
      <c r="HC90" s="19"/>
      <c r="HD90" s="19"/>
      <c r="HE90" s="19"/>
      <c r="HF90" s="19"/>
      <c r="HG90" s="19"/>
      <c r="HH90" s="19"/>
      <c r="HI90" s="19"/>
      <c r="HJ90" s="19"/>
      <c r="HK90" s="19"/>
      <c r="HL90" s="19"/>
      <c r="HM90" s="19"/>
      <c r="HN90" s="19"/>
      <c r="HO90" s="19"/>
      <c r="HP90" s="19"/>
      <c r="HQ90" s="19"/>
      <c r="HR90" s="19"/>
      <c r="HS90" s="19"/>
      <c r="HT90" s="19"/>
      <c r="HU90" s="19"/>
      <c r="HV90" s="19"/>
      <c r="HW90" s="19"/>
      <c r="HX90" s="19"/>
      <c r="HY90" s="19"/>
      <c r="HZ90" s="19"/>
      <c r="IA90" s="19"/>
      <c r="IB90" s="19"/>
      <c r="IC90" s="19"/>
      <c r="ID90" s="19"/>
    </row>
    <row r="91" spans="1:238" x14ac:dyDescent="0.25">
      <c r="A91" s="8"/>
      <c r="B91" s="5" t="s">
        <v>61</v>
      </c>
      <c r="C91" s="8"/>
      <c r="D91" s="4"/>
      <c r="E91" s="4"/>
      <c r="F91" s="4"/>
      <c r="G91" s="4"/>
      <c r="H91" s="4"/>
      <c r="I91" s="4"/>
      <c r="J91" s="4"/>
      <c r="K91" s="4"/>
      <c r="L91" s="5" t="s">
        <v>53</v>
      </c>
      <c r="M91" s="5" t="s">
        <v>559</v>
      </c>
      <c r="N91" s="5" t="s">
        <v>436</v>
      </c>
      <c r="O91" s="5" t="s">
        <v>442</v>
      </c>
      <c r="P91" s="5" t="s">
        <v>443</v>
      </c>
      <c r="Q91" s="5" t="s">
        <v>444</v>
      </c>
      <c r="R91" s="5" t="s">
        <v>445</v>
      </c>
      <c r="S91" s="5" t="s">
        <v>446</v>
      </c>
      <c r="T91" s="5" t="s">
        <v>447</v>
      </c>
      <c r="U91" s="5" t="s">
        <v>438</v>
      </c>
      <c r="V91" s="19"/>
      <c r="W91" s="19"/>
      <c r="X91" s="25">
        <f t="shared" si="40"/>
        <v>0</v>
      </c>
      <c r="Y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94,$BB$2:$CA$2,0),MATCH($W$87,$AH$22:$AH$47,0)))*C94</f>
        <v>0</v>
      </c>
      <c r="Z9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94,$BB$2:$CA$2,0),MATCH($W$87,$AH$22:$AH$47,0)))*C94</f>
        <v>#N/A</v>
      </c>
      <c r="AA9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94,$BB$2:$CA$2,0),MATCH($W$87,$AH$22:$AH$47,0)))*C94</f>
        <v>#N/A</v>
      </c>
      <c r="AB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94,$BB$2:$CA$2,0),MATCH($W$87,$AH$22:$AH$47,0)))*C94</f>
        <v>0</v>
      </c>
      <c r="AC9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94,$BB$2:$CA$2,0),MATCH($W$87,$AH$22:$AH$47,0)))*C94</f>
        <v>#N/A</v>
      </c>
      <c r="AD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94,$BB$2:$CA$2,0),MATCH($W$87,$AH$22:$AH$47,0)))*C94</f>
        <v>0</v>
      </c>
      <c r="AE91" s="19"/>
      <c r="AF91" s="19"/>
      <c r="AG91" s="19"/>
      <c r="AH91" s="19"/>
      <c r="AI91" s="19"/>
      <c r="AJ91" s="19"/>
      <c r="AK91" s="19"/>
      <c r="AL91" s="19"/>
      <c r="AM91" s="19"/>
      <c r="AN91" s="19"/>
      <c r="AO91" s="19"/>
      <c r="AP91" s="19"/>
      <c r="AQ91" s="19"/>
      <c r="AR91" s="19"/>
      <c r="AS91" s="19"/>
      <c r="AT91" s="19"/>
      <c r="AU91" s="19"/>
      <c r="AV91" s="19"/>
      <c r="AW91" s="19"/>
      <c r="AX91" s="19"/>
      <c r="AY91" s="19"/>
      <c r="AZ91" s="19"/>
      <c r="BA91" s="19" t="s">
        <v>330</v>
      </c>
      <c r="DA91" s="17"/>
      <c r="DB91" s="17"/>
      <c r="DC91" s="17"/>
      <c r="DD91" s="19" t="s">
        <v>18</v>
      </c>
      <c r="DE91" s="19">
        <v>0</v>
      </c>
      <c r="DF91" s="19">
        <v>0</v>
      </c>
      <c r="DG91" s="19">
        <v>0</v>
      </c>
      <c r="DH91" s="19">
        <v>4</v>
      </c>
      <c r="DI91" s="19">
        <v>2</v>
      </c>
      <c r="DJ91" s="19">
        <v>6</v>
      </c>
      <c r="DK91" s="19">
        <v>6</v>
      </c>
      <c r="DL91" s="19">
        <v>8</v>
      </c>
      <c r="DM91" s="19">
        <v>8</v>
      </c>
      <c r="DN91" s="19">
        <v>8</v>
      </c>
      <c r="DO91" s="19">
        <v>12</v>
      </c>
      <c r="DP91" s="19">
        <v>10</v>
      </c>
      <c r="DQ91" s="19">
        <v>14</v>
      </c>
      <c r="DR91" s="19">
        <v>14</v>
      </c>
      <c r="DS91" s="19">
        <v>16</v>
      </c>
      <c r="DT91" s="19">
        <v>16</v>
      </c>
      <c r="DU91" s="19">
        <v>16</v>
      </c>
      <c r="DV91" s="19">
        <v>18</v>
      </c>
      <c r="DW91" s="19">
        <v>18</v>
      </c>
      <c r="DX91" s="19">
        <v>22</v>
      </c>
      <c r="DY91" s="19">
        <v>22</v>
      </c>
      <c r="DZ91" s="19"/>
      <c r="EA91" s="19"/>
      <c r="EB91" s="19"/>
      <c r="GC91" s="19"/>
      <c r="GD91" s="19"/>
      <c r="GE91" s="19" t="s">
        <v>203</v>
      </c>
      <c r="GF91" s="19"/>
      <c r="GG91" s="19"/>
      <c r="GH91" s="19"/>
      <c r="GI91" s="19"/>
      <c r="GJ91" s="19"/>
      <c r="GK91" s="19"/>
      <c r="GL91" s="19"/>
      <c r="GM91" s="19"/>
      <c r="GN91" s="19"/>
      <c r="GO91" s="19"/>
      <c r="GP91" s="19"/>
      <c r="GQ91" s="19"/>
      <c r="GR91" s="19"/>
      <c r="GS91" s="19"/>
      <c r="GT91" s="19"/>
      <c r="GU91" s="19"/>
      <c r="GV91" s="19"/>
      <c r="GW91" s="19"/>
      <c r="GX91" s="19"/>
      <c r="GY91" s="19"/>
      <c r="GZ91" s="19"/>
      <c r="HA91" s="19"/>
      <c r="HB91" s="19"/>
      <c r="HC91" s="19"/>
      <c r="HD91" s="19"/>
      <c r="HE91" s="19"/>
      <c r="HF91" s="19"/>
      <c r="HG91" s="19"/>
      <c r="HH91" s="19"/>
      <c r="HI91" s="19"/>
      <c r="HJ91" s="19"/>
      <c r="HK91" s="19"/>
      <c r="HL91" s="19"/>
      <c r="HM91" s="19"/>
      <c r="HN91" s="19"/>
      <c r="HO91" s="19"/>
      <c r="HP91" s="19"/>
      <c r="HQ91" s="19"/>
      <c r="HR91" s="19"/>
      <c r="HS91" s="19"/>
      <c r="HT91" s="19"/>
      <c r="HU91" s="19"/>
      <c r="HV91" s="19"/>
      <c r="HW91" s="19"/>
      <c r="HX91" s="19"/>
      <c r="HY91" s="19"/>
      <c r="HZ91" s="19"/>
      <c r="IA91" s="19"/>
      <c r="IB91" s="19"/>
      <c r="IC91" s="19"/>
      <c r="ID91" s="19"/>
    </row>
    <row r="92" spans="1:238" x14ac:dyDescent="0.25">
      <c r="A92" s="8"/>
      <c r="B92" s="5" t="s">
        <v>61</v>
      </c>
      <c r="C92" s="8"/>
      <c r="D92" s="6" t="s">
        <v>452</v>
      </c>
      <c r="E92" s="8" t="s">
        <v>387</v>
      </c>
      <c r="F92" s="5" t="s">
        <v>61</v>
      </c>
      <c r="G92" s="8" t="s">
        <v>60</v>
      </c>
      <c r="H92" s="5" t="s">
        <v>61</v>
      </c>
      <c r="I92" s="8">
        <v>35</v>
      </c>
      <c r="J92" s="5" t="s">
        <v>62</v>
      </c>
      <c r="K92" s="4"/>
      <c r="L92" s="6" t="str">
        <f>IF($E$99=$AK$22,"PAL40H40/1,15",IF($E$99=$AK$23,"PAL30H32/1,15","-------"))</f>
        <v>-------</v>
      </c>
      <c r="M92" s="14" t="str">
        <f>INDEX(cenník!$C$2:$I$568,MATCH($L92,cenník!$B$2:$B$557,0),MATCH(M$24,cenník!$C$1:$I$1,0))</f>
        <v>-------</v>
      </c>
      <c r="N92" s="14">
        <f>INDEX(cenník!$C$2:$I$568,MATCH($L92,cenník!$B$2:$B$557,0),MATCH(N$24,cenník!$C$1:$I$1,0))</f>
        <v>0</v>
      </c>
      <c r="O92" s="14">
        <f>IF(L92="-------",0,SUM(Z88:Z103))</f>
        <v>0</v>
      </c>
      <c r="P92" s="21">
        <f>INDEX(cenník!$C$2:$I$568,MATCH($L92,cenník!$B$2:$B$557,0),MATCH(P$24,cenník!$C$1:$I$1,0))</f>
        <v>0</v>
      </c>
      <c r="Q92" s="21">
        <f>O92*P92</f>
        <v>0</v>
      </c>
      <c r="R92" s="22">
        <f t="shared" ref="R92:R110" si="41">$E$97</f>
        <v>0</v>
      </c>
      <c r="S92" s="21">
        <f t="shared" ref="S92:S110" si="42">P92*((100-$E$97)/100)</f>
        <v>0</v>
      </c>
      <c r="T92" s="21">
        <f>O92*S92</f>
        <v>0</v>
      </c>
      <c r="U92" s="21">
        <f>INDEX(cenník!$C$2:$I$568,MATCH($L92,cenník!$B$2:$B$557,0),MATCH(U$24,cenník!$C$1:$I$1,0))*O92</f>
        <v>0</v>
      </c>
      <c r="V92" s="19"/>
      <c r="W92" s="19">
        <f>IF(G92=$AH$22,$AJ$22,IF(G92=$AH$23,$AJ$23,IF(G92=$AH$24,$AJ$24,IF(G92=$AH$25,$AJ$25,IF(G92=$AH$26,$AJ$26,IF(G92=$AH$27,$AJ$27,IF(G92=$AH$28,$AJ$28,IF(G92=$AH$29,$AJ$29,0))))))))</f>
        <v>1050</v>
      </c>
      <c r="X92" s="25">
        <f t="shared" si="40"/>
        <v>0</v>
      </c>
      <c r="Y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95,$BB$2:$CA$2,0),MATCH($W$87,$AH$22:$AH$47,0)))*C95</f>
        <v>0</v>
      </c>
      <c r="Z92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95,$BB$2:$CA$2,0),MATCH($W$87,$AH$22:$AH$47,0)))*C95</f>
        <v>#N/A</v>
      </c>
      <c r="AA92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95,$BB$2:$CA$2,0),MATCH($W$87,$AH$22:$AH$47,0)))*C95</f>
        <v>#N/A</v>
      </c>
      <c r="AB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95,$BB$2:$CA$2,0),MATCH($W$87,$AH$22:$AH$47,0)))*C95</f>
        <v>0</v>
      </c>
      <c r="AC92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95,$BB$2:$CA$2,0),MATCH($W$87,$AH$22:$AH$47,0)))*C95</f>
        <v>#N/A</v>
      </c>
      <c r="AD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95,$BB$2:$CA$2,0),MATCH($W$87,$AH$22:$AH$47,0)))*C95</f>
        <v>0</v>
      </c>
      <c r="AE92" s="19"/>
      <c r="AF92" s="19"/>
      <c r="AG92" s="19"/>
      <c r="AH92" s="19"/>
      <c r="AI92" s="19"/>
      <c r="AJ92" s="19"/>
      <c r="AK92" s="19"/>
      <c r="AL92" s="19"/>
      <c r="AM92" s="19"/>
      <c r="AN92" s="19"/>
      <c r="AO92" s="19"/>
      <c r="AP92" s="19"/>
      <c r="AQ92" s="19"/>
      <c r="AR92" s="19"/>
      <c r="AS92" s="19"/>
      <c r="AT92" s="19"/>
      <c r="AU92" s="19"/>
      <c r="AV92" s="19"/>
      <c r="AW92" s="19"/>
      <c r="AX92" s="19"/>
      <c r="AY92" s="19"/>
      <c r="AZ92" s="19"/>
      <c r="BB92" s="20">
        <v>0</v>
      </c>
      <c r="BC92" s="20">
        <v>1</v>
      </c>
      <c r="BD92" s="20">
        <v>2</v>
      </c>
      <c r="BE92" s="20">
        <v>3</v>
      </c>
      <c r="BF92" s="20">
        <v>4</v>
      </c>
      <c r="BG92" s="20">
        <v>5</v>
      </c>
      <c r="BH92" s="20">
        <v>6</v>
      </c>
      <c r="BI92" s="20">
        <v>7</v>
      </c>
      <c r="BJ92" s="20">
        <v>8</v>
      </c>
      <c r="BK92" s="20">
        <v>9</v>
      </c>
      <c r="BL92" s="20">
        <v>10</v>
      </c>
      <c r="BM92" s="20">
        <v>11</v>
      </c>
      <c r="BN92" s="20">
        <v>12</v>
      </c>
      <c r="BO92" s="20">
        <v>13</v>
      </c>
      <c r="BP92" s="20">
        <v>14</v>
      </c>
      <c r="BQ92" s="20">
        <v>15</v>
      </c>
      <c r="BR92" s="20">
        <v>16</v>
      </c>
      <c r="BS92" s="20">
        <v>17</v>
      </c>
      <c r="BT92" s="20">
        <v>18</v>
      </c>
      <c r="BU92" s="20">
        <v>19</v>
      </c>
      <c r="BV92" s="20">
        <v>20</v>
      </c>
      <c r="BW92" s="20">
        <v>21</v>
      </c>
      <c r="BX92" s="20">
        <v>22</v>
      </c>
      <c r="BY92" s="20">
        <v>23</v>
      </c>
      <c r="BZ92" s="20">
        <v>24</v>
      </c>
      <c r="CA92" s="20">
        <v>25</v>
      </c>
      <c r="DA92" s="17"/>
      <c r="DB92" s="17"/>
      <c r="DC92" s="17"/>
      <c r="DD92" s="19" t="s">
        <v>179</v>
      </c>
      <c r="DE92" s="19">
        <v>0</v>
      </c>
      <c r="DF92" s="19">
        <v>0</v>
      </c>
      <c r="DG92" s="19">
        <v>4</v>
      </c>
      <c r="DH92" s="19">
        <v>4</v>
      </c>
      <c r="DI92" s="19">
        <v>8</v>
      </c>
      <c r="DJ92" s="19">
        <v>8</v>
      </c>
      <c r="DK92" s="19">
        <v>12</v>
      </c>
      <c r="DL92" s="19">
        <v>12</v>
      </c>
      <c r="DM92" s="19">
        <v>16</v>
      </c>
      <c r="DN92" s="19">
        <v>20</v>
      </c>
      <c r="DO92" s="19">
        <v>20</v>
      </c>
      <c r="DP92" s="19">
        <v>24</v>
      </c>
      <c r="DQ92" s="19">
        <v>24</v>
      </c>
      <c r="DR92" s="19">
        <v>28</v>
      </c>
      <c r="DS92" s="19">
        <v>28</v>
      </c>
      <c r="DT92" s="19">
        <v>32</v>
      </c>
      <c r="DU92" s="19">
        <v>36</v>
      </c>
      <c r="DV92" s="19">
        <v>36</v>
      </c>
      <c r="DW92" s="19">
        <v>40</v>
      </c>
      <c r="DX92" s="19">
        <v>40</v>
      </c>
      <c r="DY92" s="19">
        <v>44</v>
      </c>
      <c r="DZ92" s="19"/>
      <c r="EA92" s="19"/>
      <c r="EB92" s="19"/>
      <c r="GC92" s="19"/>
      <c r="GD92" s="19"/>
      <c r="GE92" s="19"/>
      <c r="GF92" s="19">
        <v>0</v>
      </c>
      <c r="GG92" s="19">
        <v>1</v>
      </c>
      <c r="GH92" s="19">
        <v>2</v>
      </c>
      <c r="GI92" s="19">
        <v>3</v>
      </c>
      <c r="GJ92" s="19">
        <v>4</v>
      </c>
      <c r="GK92" s="19">
        <v>5</v>
      </c>
      <c r="GL92" s="19">
        <v>6</v>
      </c>
      <c r="GM92" s="19">
        <v>7</v>
      </c>
      <c r="GN92" s="19">
        <v>8</v>
      </c>
      <c r="GO92" s="19">
        <v>9</v>
      </c>
      <c r="GP92" s="19">
        <v>10</v>
      </c>
      <c r="GQ92" s="19">
        <v>11</v>
      </c>
      <c r="GR92" s="19">
        <v>12</v>
      </c>
      <c r="GS92" s="19">
        <v>13</v>
      </c>
      <c r="GT92" s="19">
        <v>14</v>
      </c>
      <c r="GU92" s="19">
        <v>15</v>
      </c>
      <c r="GV92" s="19">
        <v>16</v>
      </c>
      <c r="GW92" s="19">
        <v>17</v>
      </c>
      <c r="GX92" s="19">
        <v>18</v>
      </c>
      <c r="GY92" s="19">
        <v>19</v>
      </c>
      <c r="GZ92" s="19">
        <v>20</v>
      </c>
      <c r="HA92" s="19">
        <v>21</v>
      </c>
      <c r="HB92" s="19">
        <v>22</v>
      </c>
      <c r="HC92" s="19">
        <v>23</v>
      </c>
      <c r="HD92" s="19">
        <v>24</v>
      </c>
      <c r="HE92" s="19">
        <v>25</v>
      </c>
      <c r="HF92" s="19">
        <v>26</v>
      </c>
      <c r="HG92" s="19">
        <v>27</v>
      </c>
      <c r="HH92" s="19">
        <v>28</v>
      </c>
      <c r="HI92" s="19">
        <v>29</v>
      </c>
      <c r="HJ92" s="19">
        <v>30</v>
      </c>
      <c r="HK92" s="19">
        <v>31</v>
      </c>
      <c r="HL92" s="19">
        <v>32</v>
      </c>
      <c r="HM92" s="19">
        <v>33</v>
      </c>
      <c r="HN92" s="19">
        <v>34</v>
      </c>
      <c r="HO92" s="19">
        <v>35</v>
      </c>
      <c r="HP92" s="19">
        <v>36</v>
      </c>
      <c r="HQ92" s="19">
        <v>37</v>
      </c>
      <c r="HR92" s="19">
        <v>38</v>
      </c>
      <c r="HS92" s="19">
        <v>39</v>
      </c>
      <c r="HT92" s="19">
        <v>40</v>
      </c>
      <c r="HU92" s="19">
        <v>41</v>
      </c>
      <c r="HV92" s="19">
        <v>42</v>
      </c>
      <c r="HW92" s="19">
        <v>43</v>
      </c>
      <c r="HX92" s="19">
        <v>44</v>
      </c>
      <c r="HY92" s="19">
        <v>45</v>
      </c>
      <c r="HZ92" s="19">
        <v>46</v>
      </c>
      <c r="IA92" s="19">
        <v>47</v>
      </c>
      <c r="IB92" s="19">
        <v>48</v>
      </c>
      <c r="IC92" s="19">
        <v>49</v>
      </c>
      <c r="ID92" s="19">
        <v>50</v>
      </c>
    </row>
    <row r="93" spans="1:238" x14ac:dyDescent="0.25">
      <c r="A93" s="8"/>
      <c r="B93" s="5" t="s">
        <v>61</v>
      </c>
      <c r="C93" s="8"/>
      <c r="D93" s="6" t="s">
        <v>453</v>
      </c>
      <c r="E93" s="8">
        <v>800</v>
      </c>
      <c r="F93" s="5"/>
      <c r="G93" s="5"/>
      <c r="H93" s="5"/>
      <c r="I93" s="5"/>
      <c r="J93" s="5" t="s">
        <v>62</v>
      </c>
      <c r="K93" s="4"/>
      <c r="L93" s="6" t="str">
        <f>IF($E$99=$AK$22,"PAL40H40/2,1",IF($E$99=$AK$23,"PAL30H32/2,1","-------"))</f>
        <v>-------</v>
      </c>
      <c r="M93" s="14" t="str">
        <f>INDEX(cenník!$C$2:$I$568,MATCH($L93,cenník!$B$2:$B$557,0),MATCH(M$24,cenník!$C$1:$I$1,0))</f>
        <v>-------</v>
      </c>
      <c r="N93" s="14">
        <f>INDEX(cenník!$C$2:$I$568,MATCH($L93,cenník!$B$2:$B$557,0),MATCH(N$24,cenník!$C$1:$I$1,0))</f>
        <v>0</v>
      </c>
      <c r="O93" s="14">
        <f>IF(L93="-------",0,SUM(AA88:AA103))</f>
        <v>0</v>
      </c>
      <c r="P93" s="21">
        <f>INDEX(cenník!$C$2:$I$568,MATCH($L93,cenník!$B$2:$B$557,0),MATCH(P$24,cenník!$C$1:$I$1,0))</f>
        <v>0</v>
      </c>
      <c r="Q93" s="21">
        <f>O93*P93</f>
        <v>0</v>
      </c>
      <c r="R93" s="22">
        <f t="shared" si="41"/>
        <v>0</v>
      </c>
      <c r="S93" s="21">
        <f t="shared" si="42"/>
        <v>0</v>
      </c>
      <c r="T93" s="21">
        <f t="shared" ref="T93:T108" si="43">O93*S93</f>
        <v>0</v>
      </c>
      <c r="U93" s="21">
        <f>INDEX(cenník!$C$2:$I$568,MATCH($L93,cenník!$B$2:$B$557,0),MATCH(U$24,cenník!$C$1:$I$1,0))*O93</f>
        <v>0</v>
      </c>
      <c r="V93" s="19"/>
      <c r="W93" s="19">
        <f>IF(E92=$AH$30,$AJ$30,IF(E92=$AH$31,$AJ$31,IF(E92=$AH$32,$AJ$32,IF(E92=$AH$33,$AJ$33,IF(E92=$AH$34,$AJ$34,IF(E92=$AH$35,$AJ$35,IF(E92=$AH$36,$AJ$36,IF(E92=$AH$37,$AJ$37,IF(E92=$AH$38,$AJ$38,IF(E92=$AH$39,$AJ$39,IF(E92=$AH$40,$AJ$40,IF(E92=$AH$41,$AJ$41,IF(E92=$AH$42,$AJ$42,IF(E92=$AH$43,$AJ$43,IF(E92=$AH$44,$AJ$44,IF(E92=$AH$45,$AJ$45,IF(E92=$AH$46,$AJ$46,IF(E92=$AH$47,$AJ$47,0))))))))))))))))))</f>
        <v>2500</v>
      </c>
      <c r="X93" s="25">
        <f t="shared" si="40"/>
        <v>0</v>
      </c>
      <c r="Y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96,$BB$2:$CA$2,0),MATCH($W$87,$AH$22:$AH$47,0)))*C96</f>
        <v>0</v>
      </c>
      <c r="Z93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96,$BB$2:$CA$2,0),MATCH($W$87,$AH$22:$AH$47,0)))*C96</f>
        <v>#N/A</v>
      </c>
      <c r="AA93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96,$BB$2:$CA$2,0),MATCH($W$87,$AH$22:$AH$47,0)))*C96</f>
        <v>#N/A</v>
      </c>
      <c r="AB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96,$BB$2:$CA$2,0),MATCH($W$87,$AH$22:$AH$47,0)))*C96</f>
        <v>0</v>
      </c>
      <c r="AC93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96,$BB$2:$CA$2,0),MATCH($W$87,$AH$22:$AH$47,0)))*C96</f>
        <v>#N/A</v>
      </c>
      <c r="AD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96,$BB$2:$CA$2,0),MATCH($W$87,$AH$22:$AH$47,0)))*C96</f>
        <v>0</v>
      </c>
      <c r="AE93" s="19"/>
      <c r="AF93" s="19"/>
      <c r="AG93" s="19"/>
      <c r="AH93" s="19"/>
      <c r="AI93" s="19"/>
      <c r="AJ93" s="19"/>
      <c r="AK93" s="19"/>
      <c r="AL93" s="19"/>
      <c r="AM93" s="19"/>
      <c r="AN93" s="19"/>
      <c r="AO93" s="19"/>
      <c r="AP93" s="19"/>
      <c r="AQ93" s="19"/>
      <c r="AR93" s="19"/>
      <c r="AS93" s="19"/>
      <c r="AT93" s="19"/>
      <c r="AU93" s="19"/>
      <c r="AV93" s="19"/>
      <c r="AW93" s="19"/>
      <c r="AX93" s="19"/>
      <c r="AY93" s="19"/>
      <c r="AZ93" s="19"/>
      <c r="BA93" s="20" t="s">
        <v>63</v>
      </c>
      <c r="BB93" s="20">
        <v>0</v>
      </c>
      <c r="BC93" s="20">
        <v>0</v>
      </c>
      <c r="BD93" s="20">
        <v>0</v>
      </c>
      <c r="BE93" s="20">
        <v>0</v>
      </c>
      <c r="BF93" s="20">
        <v>0</v>
      </c>
      <c r="BG93" s="20">
        <v>0</v>
      </c>
      <c r="BH93" s="20">
        <v>2</v>
      </c>
      <c r="BI93" s="20">
        <v>6</v>
      </c>
      <c r="BJ93" s="20">
        <v>0</v>
      </c>
      <c r="BK93" s="20">
        <v>0</v>
      </c>
      <c r="BL93" s="20">
        <v>0</v>
      </c>
      <c r="BM93" s="20">
        <v>0</v>
      </c>
      <c r="BN93" s="20">
        <v>0</v>
      </c>
      <c r="BO93" s="20">
        <v>0</v>
      </c>
      <c r="BP93" s="20">
        <v>0</v>
      </c>
      <c r="BQ93" s="20">
        <v>0</v>
      </c>
      <c r="BR93" s="20">
        <v>2</v>
      </c>
      <c r="BS93" s="20">
        <v>0</v>
      </c>
      <c r="BT93" s="20">
        <v>0</v>
      </c>
      <c r="BU93" s="20">
        <v>0</v>
      </c>
      <c r="BV93" s="20">
        <v>0</v>
      </c>
      <c r="BW93" s="20">
        <v>2</v>
      </c>
      <c r="BX93" s="20">
        <v>0</v>
      </c>
      <c r="BY93" s="20">
        <v>0</v>
      </c>
      <c r="BZ93" s="20">
        <v>0</v>
      </c>
      <c r="CA93" s="20">
        <v>0</v>
      </c>
      <c r="DA93" s="17"/>
      <c r="DB93" s="17"/>
      <c r="DC93" s="17"/>
      <c r="DD93" s="19" t="s">
        <v>236</v>
      </c>
      <c r="DE93" s="19">
        <v>0</v>
      </c>
      <c r="DF93" s="19">
        <v>2</v>
      </c>
      <c r="DG93" s="19">
        <v>4</v>
      </c>
      <c r="DH93" s="19">
        <v>0</v>
      </c>
      <c r="DI93" s="19">
        <v>4</v>
      </c>
      <c r="DJ93" s="19">
        <v>0</v>
      </c>
      <c r="DK93" s="19">
        <v>2</v>
      </c>
      <c r="DL93" s="19">
        <v>0</v>
      </c>
      <c r="DM93" s="19">
        <v>2</v>
      </c>
      <c r="DN93" s="19">
        <v>4</v>
      </c>
      <c r="DO93" s="19">
        <v>0</v>
      </c>
      <c r="DP93" s="19">
        <v>4</v>
      </c>
      <c r="DQ93" s="19">
        <v>0</v>
      </c>
      <c r="DR93" s="19">
        <v>2</v>
      </c>
      <c r="DS93" s="19">
        <v>0</v>
      </c>
      <c r="DT93" s="19">
        <v>2</v>
      </c>
      <c r="DU93" s="19">
        <v>4</v>
      </c>
      <c r="DV93" s="19">
        <v>2</v>
      </c>
      <c r="DW93" s="19">
        <v>4</v>
      </c>
      <c r="DX93" s="19">
        <v>0</v>
      </c>
      <c r="DY93" s="19">
        <v>2</v>
      </c>
      <c r="DZ93" s="19"/>
      <c r="EA93" s="19"/>
      <c r="EB93" s="19"/>
      <c r="GC93" s="19"/>
      <c r="GD93" s="19"/>
      <c r="GE93" s="19" t="s">
        <v>63</v>
      </c>
      <c r="GF93" s="19">
        <v>0</v>
      </c>
      <c r="GG93" s="19">
        <v>4</v>
      </c>
      <c r="GH93" s="19">
        <v>0</v>
      </c>
      <c r="GI93" s="19">
        <v>0</v>
      </c>
      <c r="GJ93" s="19">
        <v>0</v>
      </c>
      <c r="GK93" s="19">
        <v>0</v>
      </c>
      <c r="GL93" s="19">
        <v>0</v>
      </c>
      <c r="GM93" s="19">
        <v>0</v>
      </c>
      <c r="GN93" s="19">
        <v>0</v>
      </c>
      <c r="GO93" s="19">
        <v>0</v>
      </c>
      <c r="GP93" s="19">
        <v>0</v>
      </c>
      <c r="GQ93" s="19">
        <v>0</v>
      </c>
      <c r="GR93" s="19">
        <v>0</v>
      </c>
      <c r="GS93" s="19">
        <v>0</v>
      </c>
      <c r="GT93" s="19">
        <v>0</v>
      </c>
      <c r="GU93" s="19">
        <v>0</v>
      </c>
      <c r="GV93" s="19">
        <v>0</v>
      </c>
      <c r="GW93" s="19">
        <v>0</v>
      </c>
      <c r="GX93" s="19">
        <v>0</v>
      </c>
      <c r="GY93" s="19">
        <v>0</v>
      </c>
      <c r="GZ93" s="19">
        <v>0</v>
      </c>
      <c r="HA93" s="19">
        <v>0</v>
      </c>
      <c r="HB93" s="19">
        <v>0</v>
      </c>
      <c r="HC93" s="19">
        <v>0</v>
      </c>
      <c r="HD93" s="19">
        <v>0</v>
      </c>
      <c r="HE93" s="19">
        <v>0</v>
      </c>
      <c r="HF93" s="19">
        <v>0</v>
      </c>
      <c r="HG93" s="19">
        <v>0</v>
      </c>
      <c r="HH93" s="19">
        <v>0</v>
      </c>
      <c r="HI93" s="19">
        <v>0</v>
      </c>
      <c r="HJ93" s="19">
        <v>0</v>
      </c>
      <c r="HK93" s="19">
        <v>0</v>
      </c>
      <c r="HL93" s="19">
        <v>0</v>
      </c>
      <c r="HM93" s="19">
        <v>0</v>
      </c>
      <c r="HN93" s="19">
        <v>0</v>
      </c>
      <c r="HO93" s="19">
        <v>0</v>
      </c>
      <c r="HP93" s="19">
        <v>0</v>
      </c>
      <c r="HQ93" s="19">
        <v>2</v>
      </c>
      <c r="HR93" s="19">
        <v>0</v>
      </c>
      <c r="HS93" s="19">
        <v>0</v>
      </c>
      <c r="HT93" s="19">
        <v>0</v>
      </c>
      <c r="HU93" s="19">
        <v>0</v>
      </c>
      <c r="HV93" s="19">
        <v>0</v>
      </c>
      <c r="HW93" s="19">
        <v>0</v>
      </c>
      <c r="HX93" s="19">
        <v>0</v>
      </c>
      <c r="HY93" s="19">
        <v>0</v>
      </c>
      <c r="HZ93" s="19">
        <v>0</v>
      </c>
      <c r="IA93" s="19">
        <v>0</v>
      </c>
      <c r="IB93" s="19">
        <v>0</v>
      </c>
      <c r="IC93" s="19">
        <v>0</v>
      </c>
      <c r="ID93" s="19">
        <v>0</v>
      </c>
    </row>
    <row r="94" spans="1:238" x14ac:dyDescent="0.25">
      <c r="A94" s="8"/>
      <c r="B94" s="5" t="s">
        <v>61</v>
      </c>
      <c r="C94" s="8"/>
      <c r="D94" s="6" t="s">
        <v>454</v>
      </c>
      <c r="E94" s="8" t="s">
        <v>463</v>
      </c>
      <c r="F94" s="5"/>
      <c r="G94" s="5"/>
      <c r="H94" s="5"/>
      <c r="I94" s="5"/>
      <c r="J94" s="5"/>
      <c r="K94" s="4"/>
      <c r="L94" s="6" t="str">
        <f>IF($E$99=$AK$22,"PAL40H40/2,2",IF($E$99=$AK$23,"PAL30H32/2,2",IF($E$99=$AK$24,"CWP40H35/2,2MC","-------")))</f>
        <v>CWP40H35/2,2MC</v>
      </c>
      <c r="M94" s="14">
        <f>INDEX(cenník!$C$2:$I$568,MATCH($L94,cenník!$B$2:$B$557,0),MATCH(M$24,cenník!$C$1:$I$1,0))</f>
        <v>620412</v>
      </c>
      <c r="N94" s="14" t="str">
        <f>INDEX(cenník!$C$2:$I$568,MATCH($L94,cenník!$B$2:$B$557,0),MATCH(N$24,cenník!$C$1:$I$1,0))</f>
        <v>ks</v>
      </c>
      <c r="O94" s="14">
        <f>SUM(AB88:AB103)</f>
        <v>0</v>
      </c>
      <c r="P94" s="21">
        <f>INDEX(cenník!$C$2:$I$568,MATCH($L94,cenník!$B$2:$B$557,0),MATCH(P$24,cenník!$C$1:$I$1,0))</f>
        <v>14.01</v>
      </c>
      <c r="Q94" s="21">
        <f t="shared" ref="Q94:Q108" si="44">O94*P94</f>
        <v>0</v>
      </c>
      <c r="R94" s="22">
        <f t="shared" si="41"/>
        <v>0</v>
      </c>
      <c r="S94" s="21">
        <f t="shared" si="42"/>
        <v>14.01</v>
      </c>
      <c r="T94" s="21">
        <f t="shared" si="43"/>
        <v>0</v>
      </c>
      <c r="U94" s="21">
        <f>INDEX(cenník!$C$2:$I$568,MATCH($L94,cenník!$B$2:$B$557,0),MATCH(U$24,cenník!$C$1:$I$1,0))*O94</f>
        <v>0</v>
      </c>
      <c r="V94" s="19"/>
      <c r="W94" s="19"/>
      <c r="X94" s="25">
        <f t="shared" si="40"/>
        <v>0</v>
      </c>
      <c r="Y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97,$BB$2:$CA$2,0),MATCH($W$87,$AH$22:$AH$47,0)))*C97</f>
        <v>0</v>
      </c>
      <c r="Z94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97,$BB$2:$CA$2,0),MATCH($W$87,$AH$22:$AH$47,0)))*C97</f>
        <v>#N/A</v>
      </c>
      <c r="AA94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97,$BB$2:$CA$2,0),MATCH($W$87,$AH$22:$AH$47,0)))*C97</f>
        <v>#N/A</v>
      </c>
      <c r="AB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97,$BB$2:$CA$2,0),MATCH($W$87,$AH$22:$AH$47,0)))*C97</f>
        <v>0</v>
      </c>
      <c r="AC94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97,$BB$2:$CA$2,0),MATCH($W$87,$AH$22:$AH$47,0)))*C97</f>
        <v>#N/A</v>
      </c>
      <c r="AD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97,$BB$2:$CA$2,0),MATCH($W$87,$AH$22:$AH$47,0)))*C97</f>
        <v>0</v>
      </c>
      <c r="AE94" s="19"/>
      <c r="AF94" s="19"/>
      <c r="AG94" s="19"/>
      <c r="AH94" s="19"/>
      <c r="AI94" s="19"/>
      <c r="AJ94" s="19"/>
      <c r="AK94" s="19"/>
      <c r="AL94" s="19"/>
      <c r="AM94" s="19"/>
      <c r="AN94" s="19"/>
      <c r="AO94" s="19"/>
      <c r="AP94" s="19"/>
      <c r="AQ94" s="19"/>
      <c r="AR94" s="19"/>
      <c r="AS94" s="19"/>
      <c r="AT94" s="19"/>
      <c r="AU94" s="19"/>
      <c r="AV94" s="19"/>
      <c r="AW94" s="19"/>
      <c r="AX94" s="19"/>
      <c r="AY94" s="19"/>
      <c r="AZ94" s="19"/>
      <c r="BA94" s="20" t="s">
        <v>11</v>
      </c>
      <c r="BB94" s="20">
        <v>0</v>
      </c>
      <c r="BC94" s="20">
        <v>2</v>
      </c>
      <c r="BD94" s="20">
        <v>0</v>
      </c>
      <c r="BE94" s="20">
        <v>4</v>
      </c>
      <c r="BF94" s="20">
        <v>2</v>
      </c>
      <c r="BG94" s="20">
        <v>0</v>
      </c>
      <c r="BH94" s="20">
        <v>0</v>
      </c>
      <c r="BI94" s="20">
        <v>0</v>
      </c>
      <c r="BJ94" s="20">
        <v>4</v>
      </c>
      <c r="BK94" s="20">
        <v>2</v>
      </c>
      <c r="BL94" s="20">
        <v>0</v>
      </c>
      <c r="BM94" s="20">
        <v>0</v>
      </c>
      <c r="BN94" s="20">
        <v>2</v>
      </c>
      <c r="BO94" s="20">
        <v>4</v>
      </c>
      <c r="BP94" s="20">
        <v>0</v>
      </c>
      <c r="BQ94" s="20">
        <v>0</v>
      </c>
      <c r="BR94" s="20">
        <v>0</v>
      </c>
      <c r="BS94" s="20">
        <v>0</v>
      </c>
      <c r="BT94" s="20">
        <v>0</v>
      </c>
      <c r="BU94" s="20">
        <v>0</v>
      </c>
      <c r="BV94" s="20">
        <v>0</v>
      </c>
      <c r="BW94" s="20">
        <v>0</v>
      </c>
      <c r="BX94" s="20">
        <v>0</v>
      </c>
      <c r="BY94" s="20">
        <v>0</v>
      </c>
      <c r="BZ94" s="20">
        <v>0</v>
      </c>
      <c r="CA94" s="20">
        <v>0</v>
      </c>
      <c r="DA94" s="17"/>
      <c r="DB94" s="17"/>
      <c r="DC94" s="17"/>
      <c r="DD94" s="19" t="s">
        <v>238</v>
      </c>
      <c r="DE94" s="19">
        <v>0</v>
      </c>
      <c r="DF94" s="19">
        <v>0</v>
      </c>
      <c r="DG94" s="19">
        <v>0</v>
      </c>
      <c r="DH94" s="19">
        <v>4</v>
      </c>
      <c r="DI94" s="19">
        <v>2</v>
      </c>
      <c r="DJ94" s="19">
        <v>6</v>
      </c>
      <c r="DK94" s="19">
        <v>6</v>
      </c>
      <c r="DL94" s="19">
        <v>8</v>
      </c>
      <c r="DM94" s="19">
        <v>8</v>
      </c>
      <c r="DN94" s="19">
        <v>8</v>
      </c>
      <c r="DO94" s="19">
        <v>12</v>
      </c>
      <c r="DP94" s="19">
        <v>10</v>
      </c>
      <c r="DQ94" s="19">
        <v>14</v>
      </c>
      <c r="DR94" s="19">
        <v>14</v>
      </c>
      <c r="DS94" s="19">
        <v>16</v>
      </c>
      <c r="DT94" s="19">
        <v>16</v>
      </c>
      <c r="DU94" s="19">
        <v>16</v>
      </c>
      <c r="DV94" s="19">
        <v>18</v>
      </c>
      <c r="DW94" s="19">
        <v>18</v>
      </c>
      <c r="DX94" s="19">
        <v>22</v>
      </c>
      <c r="DY94" s="19">
        <v>22</v>
      </c>
      <c r="DZ94" s="19"/>
      <c r="EA94" s="19"/>
      <c r="EB94" s="19"/>
      <c r="GC94" s="19"/>
      <c r="GD94" s="19"/>
      <c r="GE94" s="19" t="s">
        <v>11</v>
      </c>
      <c r="GF94" s="19">
        <v>0</v>
      </c>
      <c r="GG94" s="19">
        <v>0</v>
      </c>
      <c r="GH94" s="19">
        <v>0</v>
      </c>
      <c r="GI94" s="19">
        <v>0</v>
      </c>
      <c r="GJ94" s="19">
        <v>0</v>
      </c>
      <c r="GK94" s="19">
        <v>0</v>
      </c>
      <c r="GL94" s="19">
        <v>0</v>
      </c>
      <c r="GM94" s="19">
        <v>0</v>
      </c>
      <c r="GN94" s="19">
        <v>0</v>
      </c>
      <c r="GO94" s="19">
        <v>0</v>
      </c>
      <c r="GP94" s="19">
        <v>2</v>
      </c>
      <c r="GQ94" s="19">
        <v>2</v>
      </c>
      <c r="GR94" s="19">
        <v>0</v>
      </c>
      <c r="GS94" s="19">
        <v>0</v>
      </c>
      <c r="GT94" s="19">
        <v>0</v>
      </c>
      <c r="GU94" s="19">
        <v>0</v>
      </c>
      <c r="GV94" s="19">
        <v>0</v>
      </c>
      <c r="GW94" s="19">
        <v>0</v>
      </c>
      <c r="GX94" s="19">
        <v>0</v>
      </c>
      <c r="GY94" s="19">
        <v>0</v>
      </c>
      <c r="GZ94" s="19">
        <v>0</v>
      </c>
      <c r="HA94" s="19">
        <v>0</v>
      </c>
      <c r="HB94" s="19">
        <v>0</v>
      </c>
      <c r="HC94" s="19">
        <v>0</v>
      </c>
      <c r="HD94" s="19">
        <v>0</v>
      </c>
      <c r="HE94" s="19">
        <v>0</v>
      </c>
      <c r="HF94" s="19">
        <v>0</v>
      </c>
      <c r="HG94" s="19">
        <v>0</v>
      </c>
      <c r="HH94" s="19">
        <v>0</v>
      </c>
      <c r="HI94" s="19">
        <v>0</v>
      </c>
      <c r="HJ94" s="19">
        <v>0</v>
      </c>
      <c r="HK94" s="19">
        <v>0</v>
      </c>
      <c r="HL94" s="19">
        <v>0</v>
      </c>
      <c r="HM94" s="19">
        <v>0</v>
      </c>
      <c r="HN94" s="19">
        <v>0</v>
      </c>
      <c r="HO94" s="19">
        <v>0</v>
      </c>
      <c r="HP94" s="19">
        <v>0</v>
      </c>
      <c r="HQ94" s="19">
        <v>0</v>
      </c>
      <c r="HR94" s="19">
        <v>0</v>
      </c>
      <c r="HS94" s="19">
        <v>0</v>
      </c>
      <c r="HT94" s="19">
        <v>0</v>
      </c>
      <c r="HU94" s="19">
        <v>0</v>
      </c>
      <c r="HV94" s="19">
        <v>0</v>
      </c>
      <c r="HW94" s="19">
        <v>0</v>
      </c>
      <c r="HX94" s="19">
        <v>0</v>
      </c>
      <c r="HY94" s="19">
        <v>0</v>
      </c>
      <c r="HZ94" s="19">
        <v>0</v>
      </c>
      <c r="IA94" s="19">
        <v>0</v>
      </c>
      <c r="IB94" s="19">
        <v>0</v>
      </c>
      <c r="IC94" s="19">
        <v>0</v>
      </c>
      <c r="ID94" s="19">
        <v>0</v>
      </c>
    </row>
    <row r="95" spans="1:238" x14ac:dyDescent="0.25">
      <c r="A95" s="8"/>
      <c r="B95" s="5" t="s">
        <v>61</v>
      </c>
      <c r="C95" s="8"/>
      <c r="D95" s="6" t="s">
        <v>455</v>
      </c>
      <c r="E95" s="8" t="s">
        <v>464</v>
      </c>
      <c r="F95" s="126" t="str">
        <f>IF(E99="40x35 oceľ","niekompatybilne z profilem stalowym","")</f>
        <v>niekompatybilne z profilem stalowym</v>
      </c>
      <c r="G95" s="5"/>
      <c r="H95" s="5"/>
      <c r="I95" s="5"/>
      <c r="J95" s="5"/>
      <c r="K95" s="4"/>
      <c r="L95" s="6" t="str">
        <f>IF($E$99=$AK$22,"PAL40H40/3,15",IF($E$99=$AK$23,"PAL30H32/3,15","-------"))</f>
        <v>-------</v>
      </c>
      <c r="M95" s="14" t="str">
        <f>INDEX(cenník!$C$2:$I$568,MATCH($L95,cenník!$B$2:$B$557,0),MATCH(M$24,cenník!$C$1:$I$1,0))</f>
        <v>-------</v>
      </c>
      <c r="N95" s="14">
        <f>INDEX(cenník!$C$2:$I$568,MATCH($L95,cenník!$B$2:$B$557,0),MATCH(N$24,cenník!$C$1:$I$1,0))</f>
        <v>0</v>
      </c>
      <c r="O95" s="14">
        <f>IF(L95="-------",0,SUM(AC88:AC103))</f>
        <v>0</v>
      </c>
      <c r="P95" s="21">
        <f>INDEX(cenník!$C$2:$I$568,MATCH($L95,cenník!$B$2:$B$557,0),MATCH(P$24,cenník!$C$1:$I$1,0))</f>
        <v>0</v>
      </c>
      <c r="Q95" s="21">
        <f t="shared" si="44"/>
        <v>0</v>
      </c>
      <c r="R95" s="22">
        <f t="shared" si="41"/>
        <v>0</v>
      </c>
      <c r="S95" s="21">
        <f t="shared" si="42"/>
        <v>0</v>
      </c>
      <c r="T95" s="21">
        <f t="shared" si="43"/>
        <v>0</v>
      </c>
      <c r="U95" s="21">
        <f>INDEX(cenník!$C$2:$I$568,MATCH($L95,cenník!$B$2:$B$557,0),MATCH(U$24,cenník!$C$1:$I$1,0))*O95</f>
        <v>0</v>
      </c>
      <c r="V95" s="19"/>
      <c r="W95" s="19"/>
      <c r="X95" s="25">
        <f t="shared" si="40"/>
        <v>0</v>
      </c>
      <c r="Y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98,$BB$2:$CA$2,0),MATCH($W$87,$AH$22:$AH$47,0)))*C98</f>
        <v>0</v>
      </c>
      <c r="Z95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98,$BB$2:$CA$2,0),MATCH($W$87,$AH$22:$AH$47,0)))*C98</f>
        <v>#N/A</v>
      </c>
      <c r="AA95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98,$BB$2:$CA$2,0),MATCH($W$87,$AH$22:$AH$47,0)))*C98</f>
        <v>#N/A</v>
      </c>
      <c r="AB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98,$BB$2:$CA$2,0),MATCH($W$87,$AH$22:$AH$47,0)))*C98</f>
        <v>0</v>
      </c>
      <c r="AC95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98,$BB$2:$CA$2,0),MATCH($W$87,$AH$22:$AH$47,0)))*C98</f>
        <v>#N/A</v>
      </c>
      <c r="AD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98,$BB$2:$CA$2,0),MATCH($W$87,$AH$22:$AH$47,0)))*C98</f>
        <v>0</v>
      </c>
      <c r="AE95" s="19"/>
      <c r="AF95" s="19"/>
      <c r="AG95" s="19"/>
      <c r="AH95" s="19"/>
      <c r="AI95" s="19"/>
      <c r="AJ95" s="19"/>
      <c r="AK95" s="19"/>
      <c r="AL95" s="19"/>
      <c r="AM95" s="19"/>
      <c r="AN95" s="19"/>
      <c r="AO95" s="19"/>
      <c r="AP95" s="19"/>
      <c r="AQ95" s="19"/>
      <c r="AR95" s="19"/>
      <c r="AS95" s="19"/>
      <c r="AT95" s="19"/>
      <c r="AU95" s="19"/>
      <c r="AV95" s="19"/>
      <c r="AW95" s="19"/>
      <c r="AX95" s="19"/>
      <c r="AY95" s="19"/>
      <c r="AZ95" s="19"/>
      <c r="BA95" s="20" t="s">
        <v>64</v>
      </c>
      <c r="BB95" s="20">
        <v>0</v>
      </c>
      <c r="BC95" s="20">
        <v>0</v>
      </c>
      <c r="BD95" s="20">
        <v>0</v>
      </c>
      <c r="BE95" s="20">
        <v>0</v>
      </c>
      <c r="BF95" s="20">
        <v>0</v>
      </c>
      <c r="BG95" s="20">
        <v>0</v>
      </c>
      <c r="BH95" s="20">
        <v>0</v>
      </c>
      <c r="BI95" s="20">
        <v>2</v>
      </c>
      <c r="BJ95" s="20">
        <v>0</v>
      </c>
      <c r="BK95" s="20">
        <v>0</v>
      </c>
      <c r="BL95" s="20">
        <v>0</v>
      </c>
      <c r="BM95" s="20">
        <v>4</v>
      </c>
      <c r="BN95" s="20">
        <v>0</v>
      </c>
      <c r="BO95" s="20">
        <v>0</v>
      </c>
      <c r="BP95" s="20">
        <v>2</v>
      </c>
      <c r="BQ95" s="20">
        <v>0</v>
      </c>
      <c r="BR95" s="20">
        <v>0</v>
      </c>
      <c r="BS95" s="20">
        <v>2</v>
      </c>
      <c r="BT95" s="20">
        <v>0</v>
      </c>
      <c r="BU95" s="20">
        <v>2</v>
      </c>
      <c r="BV95" s="20">
        <v>0</v>
      </c>
      <c r="BW95" s="20">
        <v>0</v>
      </c>
      <c r="BX95" s="20">
        <v>2</v>
      </c>
      <c r="BY95" s="20">
        <v>0</v>
      </c>
      <c r="BZ95" s="20">
        <v>2</v>
      </c>
      <c r="CA95" s="20">
        <v>0</v>
      </c>
      <c r="DA95" s="17"/>
      <c r="DB95" s="17"/>
      <c r="DC95" s="17"/>
      <c r="DD95" s="19" t="s">
        <v>239</v>
      </c>
      <c r="DE95" s="19">
        <v>0</v>
      </c>
      <c r="DF95" s="19">
        <v>0</v>
      </c>
      <c r="DG95" s="19">
        <v>4</v>
      </c>
      <c r="DH95" s="19">
        <v>4</v>
      </c>
      <c r="DI95" s="19">
        <v>8</v>
      </c>
      <c r="DJ95" s="19">
        <v>8</v>
      </c>
      <c r="DK95" s="19">
        <v>12</v>
      </c>
      <c r="DL95" s="19">
        <v>12</v>
      </c>
      <c r="DM95" s="19">
        <v>16</v>
      </c>
      <c r="DN95" s="19">
        <v>20</v>
      </c>
      <c r="DO95" s="19">
        <v>20</v>
      </c>
      <c r="DP95" s="19">
        <v>24</v>
      </c>
      <c r="DQ95" s="19">
        <v>24</v>
      </c>
      <c r="DR95" s="19">
        <v>28</v>
      </c>
      <c r="DS95" s="19">
        <v>28</v>
      </c>
      <c r="DT95" s="19">
        <v>32</v>
      </c>
      <c r="DU95" s="19">
        <v>36</v>
      </c>
      <c r="DV95" s="19">
        <v>36</v>
      </c>
      <c r="DW95" s="19">
        <v>40</v>
      </c>
      <c r="DX95" s="19">
        <v>40</v>
      </c>
      <c r="DY95" s="19">
        <v>44</v>
      </c>
      <c r="DZ95" s="19"/>
      <c r="EA95" s="19"/>
      <c r="EB95" s="19"/>
      <c r="GC95" s="19"/>
      <c r="GD95" s="19"/>
      <c r="GE95" s="19" t="s">
        <v>64</v>
      </c>
      <c r="GF95" s="19">
        <v>0</v>
      </c>
      <c r="GG95" s="19">
        <v>0</v>
      </c>
      <c r="GH95" s="19">
        <v>4</v>
      </c>
      <c r="GI95" s="19">
        <v>0</v>
      </c>
      <c r="GJ95" s="19">
        <v>2</v>
      </c>
      <c r="GK95" s="19">
        <v>4</v>
      </c>
      <c r="GL95" s="19">
        <v>0</v>
      </c>
      <c r="GM95" s="19">
        <v>2</v>
      </c>
      <c r="GN95" s="19">
        <v>4</v>
      </c>
      <c r="GO95" s="19">
        <v>0</v>
      </c>
      <c r="GP95" s="19">
        <v>0</v>
      </c>
      <c r="GQ95" s="19">
        <v>0</v>
      </c>
      <c r="GR95" s="19">
        <v>0</v>
      </c>
      <c r="GS95" s="19">
        <v>0</v>
      </c>
      <c r="GT95" s="19">
        <v>2</v>
      </c>
      <c r="GU95" s="19">
        <v>0</v>
      </c>
      <c r="GV95" s="19">
        <v>0</v>
      </c>
      <c r="GW95" s="19">
        <v>4</v>
      </c>
      <c r="GX95" s="19">
        <v>0</v>
      </c>
      <c r="GY95" s="19">
        <v>0</v>
      </c>
      <c r="GZ95" s="19">
        <v>2</v>
      </c>
      <c r="HA95" s="19">
        <v>0</v>
      </c>
      <c r="HB95" s="19">
        <v>2</v>
      </c>
      <c r="HC95" s="19">
        <v>0</v>
      </c>
      <c r="HD95" s="19">
        <v>0</v>
      </c>
      <c r="HE95" s="19">
        <v>2</v>
      </c>
      <c r="HF95" s="19">
        <v>0</v>
      </c>
      <c r="HG95" s="19">
        <v>0</v>
      </c>
      <c r="HH95" s="19">
        <v>0</v>
      </c>
      <c r="HI95" s="19">
        <v>0</v>
      </c>
      <c r="HJ95" s="19">
        <v>0</v>
      </c>
      <c r="HK95" s="19">
        <v>0</v>
      </c>
      <c r="HL95" s="19">
        <v>4</v>
      </c>
      <c r="HM95" s="19">
        <v>0</v>
      </c>
      <c r="HN95" s="19">
        <v>0</v>
      </c>
      <c r="HO95" s="19">
        <v>2</v>
      </c>
      <c r="HP95" s="19">
        <v>0</v>
      </c>
      <c r="HQ95" s="19">
        <v>0</v>
      </c>
      <c r="HR95" s="19">
        <v>2</v>
      </c>
      <c r="HS95" s="19">
        <v>0</v>
      </c>
      <c r="HT95" s="19">
        <v>2</v>
      </c>
      <c r="HU95" s="19">
        <v>0</v>
      </c>
      <c r="HV95" s="19">
        <v>0</v>
      </c>
      <c r="HW95" s="19">
        <v>2</v>
      </c>
      <c r="HX95" s="19">
        <v>0</v>
      </c>
      <c r="HY95" s="19">
        <v>0</v>
      </c>
      <c r="HZ95" s="19">
        <v>0</v>
      </c>
      <c r="IA95" s="19">
        <v>0</v>
      </c>
      <c r="IB95" s="19">
        <v>0</v>
      </c>
      <c r="IC95" s="19">
        <v>0</v>
      </c>
      <c r="ID95" s="19">
        <v>0</v>
      </c>
    </row>
    <row r="96" spans="1:238" x14ac:dyDescent="0.25">
      <c r="A96" s="8"/>
      <c r="B96" s="5" t="s">
        <v>61</v>
      </c>
      <c r="C96" s="8"/>
      <c r="D96" s="6" t="s">
        <v>456</v>
      </c>
      <c r="E96" s="8" t="s">
        <v>467</v>
      </c>
      <c r="F96" s="5"/>
      <c r="G96" s="5"/>
      <c r="H96" s="5"/>
      <c r="I96" s="5"/>
      <c r="J96" s="5"/>
      <c r="K96" s="4"/>
      <c r="L96" s="6" t="str">
        <f>IF($E$99=$AK$22,"PAL40H40/3,3",IF($E$99=$AK$23,"PAL30H32/3,3",IF($E$99=$AK$24,"CWP40H35/3,3MC","-------")))</f>
        <v>CWP40H35/3,3MC</v>
      </c>
      <c r="M96" s="14">
        <f>INDEX(cenník!$C$2:$I$568,MATCH($L96,cenník!$B$2:$B$557,0),MATCH(M$24,cenník!$C$1:$I$1,0))</f>
        <v>620413</v>
      </c>
      <c r="N96" s="14" t="str">
        <f>INDEX(cenník!$C$2:$I$568,MATCH($L96,cenník!$B$2:$B$557,0),MATCH(N$24,cenník!$C$1:$I$1,0))</f>
        <v>ks</v>
      </c>
      <c r="O96" s="14">
        <f>SUM(AD88:AD103)</f>
        <v>0</v>
      </c>
      <c r="P96" s="21">
        <f>INDEX(cenník!$C$2:$I$568,MATCH($L96,cenník!$B$2:$B$557,0),MATCH(P$24,cenník!$C$1:$I$1,0))</f>
        <v>21.01</v>
      </c>
      <c r="Q96" s="21">
        <f t="shared" si="44"/>
        <v>0</v>
      </c>
      <c r="R96" s="22">
        <f t="shared" si="41"/>
        <v>0</v>
      </c>
      <c r="S96" s="21">
        <f t="shared" si="42"/>
        <v>21.01</v>
      </c>
      <c r="T96" s="21">
        <f t="shared" si="43"/>
        <v>0</v>
      </c>
      <c r="U96" s="21">
        <f>INDEX(cenník!$C$2:$I$568,MATCH($L96,cenník!$B$2:$B$557,0),MATCH(U$24,cenník!$C$1:$I$1,0))*O96</f>
        <v>0</v>
      </c>
      <c r="V96" s="19"/>
      <c r="W96" s="19"/>
      <c r="X96" s="25">
        <f t="shared" si="40"/>
        <v>0</v>
      </c>
      <c r="Y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99,$BB$2:$CA$2,0),MATCH($W$87,$AH$22:$AH$47,0)))*C99</f>
        <v>0</v>
      </c>
      <c r="Z96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99,$BB$2:$CA$2,0),MATCH($W$87,$AH$22:$AH$47,0)))*C99</f>
        <v>#N/A</v>
      </c>
      <c r="AA96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99,$BB$2:$CA$2,0),MATCH($W$87,$AH$22:$AH$47,0)))*C99</f>
        <v>#N/A</v>
      </c>
      <c r="AB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99,$BB$2:$CA$2,0),MATCH($W$87,$AH$22:$AH$47,0)))*C99</f>
        <v>0</v>
      </c>
      <c r="AC96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99,$BB$2:$CA$2,0),MATCH($W$87,$AH$22:$AH$47,0)))*C99</f>
        <v>#N/A</v>
      </c>
      <c r="AD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99,$BB$2:$CA$2,0),MATCH($W$87,$AH$22:$AH$47,0)))*C99</f>
        <v>0</v>
      </c>
      <c r="AE96" s="19"/>
      <c r="AF96" s="19"/>
      <c r="AG96" s="19"/>
      <c r="AH96" s="19"/>
      <c r="AI96" s="19"/>
      <c r="AJ96" s="19"/>
      <c r="AK96" s="19"/>
      <c r="AL96" s="19"/>
      <c r="AM96" s="19"/>
      <c r="AN96" s="19"/>
      <c r="AO96" s="19"/>
      <c r="AP96" s="19"/>
      <c r="AQ96" s="19"/>
      <c r="AR96" s="19"/>
      <c r="AS96" s="19"/>
      <c r="AT96" s="19"/>
      <c r="AU96" s="19"/>
      <c r="AV96" s="19"/>
      <c r="AW96" s="19"/>
      <c r="AX96" s="19"/>
      <c r="AY96" s="19"/>
      <c r="AZ96" s="19"/>
      <c r="BA96" s="20" t="s">
        <v>14</v>
      </c>
      <c r="BB96" s="20">
        <v>0</v>
      </c>
      <c r="BC96" s="20">
        <v>0</v>
      </c>
      <c r="BD96" s="20">
        <v>2</v>
      </c>
      <c r="BE96" s="20">
        <v>0</v>
      </c>
      <c r="BF96" s="20">
        <v>2</v>
      </c>
      <c r="BG96" s="20">
        <v>2</v>
      </c>
      <c r="BH96" s="20">
        <v>0</v>
      </c>
      <c r="BI96" s="20">
        <v>0</v>
      </c>
      <c r="BJ96" s="20">
        <v>4</v>
      </c>
      <c r="BK96" s="20">
        <v>6</v>
      </c>
      <c r="BL96" s="20">
        <v>4</v>
      </c>
      <c r="BM96" s="20">
        <v>2</v>
      </c>
      <c r="BN96" s="20">
        <v>0</v>
      </c>
      <c r="BO96" s="20">
        <v>8</v>
      </c>
      <c r="BP96" s="20">
        <v>10</v>
      </c>
      <c r="BQ96" s="20">
        <v>8</v>
      </c>
      <c r="BR96" s="20">
        <v>6</v>
      </c>
      <c r="BS96" s="20">
        <v>2</v>
      </c>
      <c r="BT96" s="20">
        <v>0</v>
      </c>
      <c r="BU96" s="20">
        <v>12</v>
      </c>
      <c r="BV96" s="20">
        <v>10</v>
      </c>
      <c r="BW96" s="20">
        <v>8</v>
      </c>
      <c r="BX96" s="20">
        <v>8</v>
      </c>
      <c r="BY96" s="20">
        <v>2</v>
      </c>
      <c r="BZ96" s="20">
        <v>14</v>
      </c>
      <c r="CA96" s="20">
        <v>12</v>
      </c>
      <c r="DA96" s="17"/>
      <c r="DB96" s="17"/>
      <c r="DC96" s="17"/>
      <c r="DD96" s="26" t="s">
        <v>326</v>
      </c>
      <c r="DE96" s="19">
        <v>0</v>
      </c>
      <c r="DF96" s="19"/>
      <c r="DG96" s="19"/>
      <c r="DH96" s="19"/>
      <c r="DI96" s="19"/>
      <c r="DJ96" s="19"/>
      <c r="DK96" s="19"/>
      <c r="DL96" s="19"/>
      <c r="DM96" s="19"/>
      <c r="DN96" s="19"/>
      <c r="DO96" s="19"/>
      <c r="DP96" s="19"/>
      <c r="DQ96" s="19"/>
      <c r="DR96" s="19"/>
      <c r="DS96" s="19"/>
      <c r="DT96" s="19"/>
      <c r="DU96" s="19"/>
      <c r="DV96" s="19"/>
      <c r="DW96" s="19"/>
      <c r="DX96" s="19"/>
      <c r="DY96" s="19"/>
      <c r="DZ96" s="19"/>
      <c r="EA96" s="19"/>
      <c r="EB96" s="19"/>
      <c r="GC96" s="19"/>
      <c r="GD96" s="19"/>
      <c r="GE96" s="19" t="s">
        <v>14</v>
      </c>
      <c r="GF96" s="19">
        <v>0</v>
      </c>
      <c r="GG96" s="19">
        <v>0</v>
      </c>
      <c r="GH96" s="19">
        <v>0</v>
      </c>
      <c r="GI96" s="19">
        <v>0</v>
      </c>
      <c r="GJ96" s="19">
        <v>0</v>
      </c>
      <c r="GK96" s="19">
        <v>0</v>
      </c>
      <c r="GL96" s="19">
        <v>0</v>
      </c>
      <c r="GM96" s="19">
        <v>2</v>
      </c>
      <c r="GN96" s="19">
        <v>0</v>
      </c>
      <c r="GO96" s="19">
        <v>2</v>
      </c>
      <c r="GP96" s="19">
        <v>0</v>
      </c>
      <c r="GQ96" s="19">
        <v>14</v>
      </c>
      <c r="GR96" s="19">
        <v>4</v>
      </c>
      <c r="GS96" s="19">
        <v>16</v>
      </c>
      <c r="GT96" s="19">
        <v>16</v>
      </c>
      <c r="GU96" s="19">
        <v>2</v>
      </c>
      <c r="GV96" s="19">
        <v>16</v>
      </c>
      <c r="GW96" s="19">
        <v>6</v>
      </c>
      <c r="GX96" s="19">
        <v>2</v>
      </c>
      <c r="GY96" s="19">
        <v>16</v>
      </c>
      <c r="GZ96" s="19">
        <v>16</v>
      </c>
      <c r="HA96" s="19">
        <v>2</v>
      </c>
      <c r="HB96" s="19">
        <v>8</v>
      </c>
      <c r="HC96" s="19">
        <v>32</v>
      </c>
      <c r="HD96" s="19">
        <v>2</v>
      </c>
      <c r="HE96" s="19">
        <v>2</v>
      </c>
      <c r="HF96" s="19">
        <v>32</v>
      </c>
      <c r="HG96" s="19">
        <v>4</v>
      </c>
      <c r="HH96" s="19">
        <v>18</v>
      </c>
      <c r="HI96" s="19">
        <v>32</v>
      </c>
      <c r="HJ96" s="19">
        <v>4</v>
      </c>
      <c r="HK96" s="19">
        <v>18</v>
      </c>
      <c r="HL96" s="19">
        <v>12</v>
      </c>
      <c r="HM96" s="19">
        <v>4</v>
      </c>
      <c r="HN96" s="19">
        <v>18</v>
      </c>
      <c r="HO96" s="19">
        <v>18</v>
      </c>
      <c r="HP96" s="19">
        <v>4</v>
      </c>
      <c r="HQ96" s="19">
        <v>0</v>
      </c>
      <c r="HR96" s="19">
        <v>18</v>
      </c>
      <c r="HS96" s="19">
        <v>4</v>
      </c>
      <c r="HT96" s="19">
        <v>4</v>
      </c>
      <c r="HU96" s="19">
        <v>0</v>
      </c>
      <c r="HV96" s="19">
        <v>4</v>
      </c>
      <c r="HW96" s="19">
        <v>4</v>
      </c>
      <c r="HX96" s="19">
        <v>0</v>
      </c>
      <c r="HY96" s="19">
        <v>6</v>
      </c>
      <c r="HZ96" s="19">
        <v>20</v>
      </c>
      <c r="IA96" s="19">
        <v>0</v>
      </c>
      <c r="IB96" s="19">
        <v>6</v>
      </c>
      <c r="IC96" s="19">
        <v>20</v>
      </c>
      <c r="ID96" s="19">
        <v>0</v>
      </c>
    </row>
    <row r="97" spans="1:238" x14ac:dyDescent="0.25">
      <c r="A97" s="8"/>
      <c r="B97" s="5" t="s">
        <v>61</v>
      </c>
      <c r="C97" s="8"/>
      <c r="D97" s="6" t="s">
        <v>458</v>
      </c>
      <c r="E97" s="8">
        <v>0</v>
      </c>
      <c r="F97" s="5"/>
      <c r="G97" s="5"/>
      <c r="H97" s="5"/>
      <c r="I97" s="5"/>
      <c r="J97" s="5" t="s">
        <v>95</v>
      </c>
      <c r="K97" s="4"/>
      <c r="L97" s="6" t="str">
        <f>IF($E$99=$AK$22,"LPAN40",IF($E$99=$AK$23,"LPAN30",IF($E$99=$AK$24,"LC40H35MC",0)))</f>
        <v>LC40H35MC</v>
      </c>
      <c r="M97" s="14">
        <f>INDEX(cenník!$C$2:$I$568,MATCH($L97,cenník!$B$2:$B$557,0),MATCH(M$24,cenník!$C$1:$I$1,0))</f>
        <v>620414</v>
      </c>
      <c r="N97" s="14" t="str">
        <f>INDEX(cenník!$C$2:$I$568,MATCH($L97,cenník!$B$2:$B$557,0),MATCH(N$24,cenník!$C$1:$I$1,0))</f>
        <v>ks</v>
      </c>
      <c r="O97" s="14">
        <f>SUM(Y88:Y103)</f>
        <v>0</v>
      </c>
      <c r="P97" s="21">
        <f>INDEX(cenník!$C$2:$I$568,MATCH($L97,cenník!$B$2:$B$557,0),MATCH(P$24,cenník!$C$1:$I$1,0))</f>
        <v>1.69</v>
      </c>
      <c r="Q97" s="21">
        <f t="shared" si="44"/>
        <v>0</v>
      </c>
      <c r="R97" s="22">
        <f t="shared" si="41"/>
        <v>0</v>
      </c>
      <c r="S97" s="21">
        <f t="shared" si="42"/>
        <v>1.69</v>
      </c>
      <c r="T97" s="21">
        <f t="shared" si="43"/>
        <v>0</v>
      </c>
      <c r="U97" s="21">
        <f>INDEX(cenník!$C$2:$I$568,MATCH($L97,cenník!$B$2:$B$557,0),MATCH(U$24,cenník!$C$1:$I$1,0))*O97</f>
        <v>0</v>
      </c>
      <c r="V97" s="19"/>
      <c r="W97" s="19"/>
      <c r="X97" s="25">
        <f t="shared" si="40"/>
        <v>0</v>
      </c>
      <c r="Y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100,$BB$2:$CA$2,0),MATCH($W$87,$AH$22:$AH$47,0)))*C100</f>
        <v>0</v>
      </c>
      <c r="Z97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100,$BB$2:$CA$2,0),MATCH($W$87,$AH$22:$AH$47,0)))*C100</f>
        <v>#N/A</v>
      </c>
      <c r="AA97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100,$BB$2:$CA$2,0),MATCH($W$87,$AH$22:$AH$47,0)))*C100</f>
        <v>#N/A</v>
      </c>
      <c r="AB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100,$BB$2:$CA$2,0),MATCH($W$87,$AH$22:$AH$47,0)))*C100</f>
        <v>0</v>
      </c>
      <c r="AC97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100,$BB$2:$CA$2,0),MATCH($W$87,$AH$22:$AH$47,0)))*C100</f>
        <v>#N/A</v>
      </c>
      <c r="AD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100,$BB$2:$CA$2,0),MATCH($W$87,$AH$22:$AH$47,0)))*C100</f>
        <v>0</v>
      </c>
      <c r="AE97" s="19"/>
      <c r="AF97" s="19"/>
      <c r="AG97" s="19"/>
      <c r="AH97" s="19"/>
      <c r="AI97" s="19"/>
      <c r="AJ97" s="19"/>
      <c r="AK97" s="19"/>
      <c r="AL97" s="19"/>
      <c r="AM97" s="19"/>
      <c r="AN97" s="19"/>
      <c r="AO97" s="19"/>
      <c r="AP97" s="19"/>
      <c r="AQ97" s="19"/>
      <c r="AR97" s="19"/>
      <c r="AS97" s="19"/>
      <c r="AT97" s="19"/>
      <c r="AU97" s="19"/>
      <c r="AV97" s="19"/>
      <c r="AW97" s="19"/>
      <c r="AX97" s="19"/>
      <c r="AY97" s="19"/>
      <c r="AZ97" s="19"/>
      <c r="BA97" s="20" t="s">
        <v>18</v>
      </c>
      <c r="BB97" s="20">
        <v>0</v>
      </c>
      <c r="BC97" s="20">
        <v>0</v>
      </c>
      <c r="BD97" s="20">
        <v>0</v>
      </c>
      <c r="BE97" s="20">
        <v>0</v>
      </c>
      <c r="BF97" s="20">
        <v>0</v>
      </c>
      <c r="BG97" s="20">
        <v>2</v>
      </c>
      <c r="BH97" s="20">
        <v>4</v>
      </c>
      <c r="BI97" s="20">
        <v>2</v>
      </c>
      <c r="BJ97" s="20">
        <v>0</v>
      </c>
      <c r="BK97" s="20">
        <v>0</v>
      </c>
      <c r="BL97" s="20">
        <v>4</v>
      </c>
      <c r="BM97" s="20">
        <v>4</v>
      </c>
      <c r="BN97" s="20">
        <v>8</v>
      </c>
      <c r="BO97" s="20">
        <v>0</v>
      </c>
      <c r="BP97" s="20">
        <v>0</v>
      </c>
      <c r="BQ97" s="20">
        <v>4</v>
      </c>
      <c r="BR97" s="20">
        <v>6</v>
      </c>
      <c r="BS97" s="20">
        <v>10</v>
      </c>
      <c r="BT97" s="20">
        <v>14</v>
      </c>
      <c r="BU97" s="20">
        <v>2</v>
      </c>
      <c r="BV97" s="20">
        <v>6</v>
      </c>
      <c r="BW97" s="20">
        <v>8</v>
      </c>
      <c r="BX97" s="20">
        <v>8</v>
      </c>
      <c r="BY97" s="20">
        <v>16</v>
      </c>
      <c r="BZ97" s="20">
        <v>4</v>
      </c>
      <c r="CA97" s="20">
        <v>8</v>
      </c>
      <c r="DA97" s="17"/>
      <c r="DB97" s="17"/>
      <c r="DC97" s="17"/>
      <c r="DD97" s="26" t="s">
        <v>327</v>
      </c>
      <c r="DE97" s="19">
        <v>0</v>
      </c>
      <c r="DF97" s="19"/>
      <c r="DG97" s="19"/>
      <c r="DH97" s="19"/>
      <c r="DI97" s="19"/>
      <c r="DJ97" s="19"/>
      <c r="DK97" s="19"/>
      <c r="DL97" s="19"/>
      <c r="DM97" s="19"/>
      <c r="DN97" s="19"/>
      <c r="DO97" s="19"/>
      <c r="DP97" s="19"/>
      <c r="DQ97" s="19"/>
      <c r="DR97" s="19"/>
      <c r="DS97" s="19"/>
      <c r="DT97" s="19"/>
      <c r="DU97" s="19"/>
      <c r="DV97" s="19"/>
      <c r="DW97" s="19"/>
      <c r="DX97" s="19"/>
      <c r="DY97" s="19"/>
      <c r="DZ97" s="19"/>
      <c r="EA97" s="19"/>
      <c r="EB97" s="19"/>
      <c r="GC97" s="19"/>
      <c r="GD97" s="19"/>
      <c r="GE97" s="19" t="s">
        <v>18</v>
      </c>
      <c r="GF97" s="19">
        <v>0</v>
      </c>
      <c r="GG97" s="19">
        <v>0</v>
      </c>
      <c r="GH97" s="19">
        <v>0</v>
      </c>
      <c r="GI97" s="19">
        <v>4</v>
      </c>
      <c r="GJ97" s="19">
        <v>4</v>
      </c>
      <c r="GK97" s="19">
        <v>4</v>
      </c>
      <c r="GL97" s="19">
        <v>8</v>
      </c>
      <c r="GM97" s="19">
        <v>6</v>
      </c>
      <c r="GN97" s="19">
        <v>8</v>
      </c>
      <c r="GO97" s="19">
        <v>10</v>
      </c>
      <c r="GP97" s="19">
        <v>12</v>
      </c>
      <c r="GQ97" s="19">
        <v>0</v>
      </c>
      <c r="GR97" s="19">
        <v>12</v>
      </c>
      <c r="GS97" s="19">
        <v>2</v>
      </c>
      <c r="GT97" s="19">
        <v>2</v>
      </c>
      <c r="GU97" s="19">
        <v>18</v>
      </c>
      <c r="GV97" s="19">
        <v>6</v>
      </c>
      <c r="GW97" s="19">
        <v>14</v>
      </c>
      <c r="GX97" s="19">
        <v>22</v>
      </c>
      <c r="GY97" s="19">
        <v>10</v>
      </c>
      <c r="GZ97" s="19">
        <v>10</v>
      </c>
      <c r="HA97" s="19">
        <v>26</v>
      </c>
      <c r="HB97" s="19">
        <v>20</v>
      </c>
      <c r="HC97" s="19">
        <v>0</v>
      </c>
      <c r="HD97" s="19">
        <v>30</v>
      </c>
      <c r="HE97" s="19">
        <v>30</v>
      </c>
      <c r="HF97" s="19">
        <v>4</v>
      </c>
      <c r="HG97" s="19">
        <v>32</v>
      </c>
      <c r="HH97" s="19">
        <v>20</v>
      </c>
      <c r="HI97" s="19">
        <v>8</v>
      </c>
      <c r="HJ97" s="19">
        <v>36</v>
      </c>
      <c r="HK97" s="19">
        <v>24</v>
      </c>
      <c r="HL97" s="19">
        <v>28</v>
      </c>
      <c r="HM97" s="19">
        <v>40</v>
      </c>
      <c r="HN97" s="19">
        <v>28</v>
      </c>
      <c r="HO97" s="19">
        <v>28</v>
      </c>
      <c r="HP97" s="19">
        <v>44</v>
      </c>
      <c r="HQ97" s="19">
        <v>48</v>
      </c>
      <c r="HR97" s="19">
        <v>32</v>
      </c>
      <c r="HS97" s="19">
        <v>48</v>
      </c>
      <c r="HT97" s="19">
        <v>48</v>
      </c>
      <c r="HU97" s="19">
        <v>54</v>
      </c>
      <c r="HV97" s="19">
        <v>52</v>
      </c>
      <c r="HW97" s="19">
        <v>52</v>
      </c>
      <c r="HX97" s="19">
        <v>58</v>
      </c>
      <c r="HY97" s="19">
        <v>54</v>
      </c>
      <c r="HZ97" s="19">
        <v>42</v>
      </c>
      <c r="IA97" s="19">
        <v>62</v>
      </c>
      <c r="IB97" s="19">
        <v>58</v>
      </c>
      <c r="IC97" s="19">
        <v>46</v>
      </c>
      <c r="ID97" s="19">
        <v>66</v>
      </c>
    </row>
    <row r="98" spans="1:238" x14ac:dyDescent="0.25">
      <c r="A98" s="8"/>
      <c r="B98" s="5" t="s">
        <v>61</v>
      </c>
      <c r="C98" s="8"/>
      <c r="D98" s="6" t="s">
        <v>552</v>
      </c>
      <c r="E98" s="8" t="s">
        <v>4</v>
      </c>
      <c r="F98" s="4"/>
      <c r="G98" s="4"/>
      <c r="H98" s="4"/>
      <c r="I98" s="4"/>
      <c r="J98" s="4"/>
      <c r="K98" s="4"/>
      <c r="L98" s="6" t="str">
        <f>IF($E$98=AD106,"DUF75E",IF($E$98=AD107,"DUFR75E",IF($E$98=AD108,"DUFWE",IF($E$98=AD109,"DUFPE",0))))</f>
        <v>DUF75E</v>
      </c>
      <c r="M98" s="14">
        <f>INDEX(cenník!$C$2:$I$568,MATCH($L98,cenník!$B$2:$B$557,0),MATCH(M$24,cenník!$C$1:$I$1,0))</f>
        <v>897975</v>
      </c>
      <c r="N98" s="14" t="str">
        <f>INDEX(cenník!$C$2:$I$568,MATCH($L98,cenník!$B$2:$B$557,0),MATCH(N$24,cenník!$C$1:$I$1,0))</f>
        <v>ks</v>
      </c>
      <c r="O98" s="14">
        <f>SUM(X87:X102)</f>
        <v>0</v>
      </c>
      <c r="P98" s="21">
        <f>INDEX(cenník!$C$2:$I$568,MATCH($L98,cenník!$B$2:$B$557,0),MATCH(P$24,cenník!$C$1:$I$1,0))</f>
        <v>8.6300000000000008</v>
      </c>
      <c r="Q98" s="21">
        <f t="shared" si="44"/>
        <v>0</v>
      </c>
      <c r="R98" s="22">
        <f t="shared" si="41"/>
        <v>0</v>
      </c>
      <c r="S98" s="21">
        <f t="shared" si="42"/>
        <v>8.6300000000000008</v>
      </c>
      <c r="T98" s="21">
        <f t="shared" si="43"/>
        <v>0</v>
      </c>
      <c r="U98" s="21">
        <f>INDEX(cenník!$C$2:$I$568,MATCH($L98,cenník!$B$2:$B$557,0),MATCH(U$24,cenník!$C$1:$I$1,0))*O98</f>
        <v>0</v>
      </c>
      <c r="V98" s="19"/>
      <c r="W98" s="19"/>
      <c r="X98" s="25">
        <f t="shared" si="40"/>
        <v>0</v>
      </c>
      <c r="Y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101,$BB$2:$CA$2,0),MATCH($W$87,$AH$22:$AH$47,0)))*C101</f>
        <v>0</v>
      </c>
      <c r="Z9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101,$BB$2:$CA$2,0),MATCH($W$87,$AH$22:$AH$47,0)))*C101</f>
        <v>#N/A</v>
      </c>
      <c r="AA9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101,$BB$2:$CA$2,0),MATCH($W$87,$AH$22:$AH$47,0)))*C101</f>
        <v>#N/A</v>
      </c>
      <c r="AB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101,$BB$2:$CA$2,0),MATCH($W$87,$AH$22:$AH$47,0)))*C101</f>
        <v>0</v>
      </c>
      <c r="AC98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101,$BB$2:$CA$2,0),MATCH($W$87,$AH$22:$AH$47,0)))*C101</f>
        <v>#N/A</v>
      </c>
      <c r="AD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101,$BB$2:$CA$2,0),MATCH($W$87,$AH$22:$AH$47,0)))*C101</f>
        <v>0</v>
      </c>
      <c r="AE98" s="19"/>
      <c r="AF98" s="19"/>
      <c r="AG98" s="19"/>
      <c r="AH98" s="19"/>
      <c r="AI98" s="19"/>
      <c r="AJ98" s="19"/>
      <c r="AK98" s="19"/>
      <c r="AL98" s="19"/>
      <c r="AM98" s="19"/>
      <c r="AN98" s="19"/>
      <c r="AO98" s="19"/>
      <c r="AP98" s="19"/>
      <c r="AQ98" s="19"/>
      <c r="AR98" s="19"/>
      <c r="AS98" s="19"/>
      <c r="AT98" s="19"/>
      <c r="AU98" s="19"/>
      <c r="AV98" s="19"/>
      <c r="AW98" s="19"/>
      <c r="AX98" s="19"/>
      <c r="AY98" s="19"/>
      <c r="AZ98" s="19"/>
      <c r="BA98" s="20" t="s">
        <v>179</v>
      </c>
      <c r="BB98" s="20">
        <v>0</v>
      </c>
      <c r="BC98" s="20">
        <v>0</v>
      </c>
      <c r="BD98" s="20">
        <v>0</v>
      </c>
      <c r="BE98" s="20">
        <v>4</v>
      </c>
      <c r="BF98" s="20">
        <v>4</v>
      </c>
      <c r="BG98" s="20">
        <v>4</v>
      </c>
      <c r="BH98" s="20">
        <v>8</v>
      </c>
      <c r="BI98" s="20">
        <v>16</v>
      </c>
      <c r="BJ98" s="20">
        <v>12</v>
      </c>
      <c r="BK98" s="20">
        <v>12</v>
      </c>
      <c r="BL98" s="20">
        <v>12</v>
      </c>
      <c r="BM98" s="20">
        <v>16</v>
      </c>
      <c r="BN98" s="20">
        <v>16</v>
      </c>
      <c r="BO98" s="20">
        <v>20</v>
      </c>
      <c r="BP98" s="20">
        <v>20</v>
      </c>
      <c r="BQ98" s="20">
        <v>20</v>
      </c>
      <c r="BR98" s="20">
        <v>24</v>
      </c>
      <c r="BS98" s="20">
        <v>24</v>
      </c>
      <c r="BT98" s="20">
        <v>24</v>
      </c>
      <c r="BU98" s="20">
        <v>28</v>
      </c>
      <c r="BV98" s="20">
        <v>28</v>
      </c>
      <c r="BW98" s="20">
        <v>32</v>
      </c>
      <c r="BX98" s="20">
        <v>32</v>
      </c>
      <c r="BY98" s="20">
        <v>32</v>
      </c>
      <c r="BZ98" s="20">
        <v>36</v>
      </c>
      <c r="CA98" s="20">
        <v>36</v>
      </c>
      <c r="DA98" s="17"/>
      <c r="DB98" s="17"/>
      <c r="DC98" s="17"/>
      <c r="DD98" s="26" t="s">
        <v>328</v>
      </c>
      <c r="DE98" s="19">
        <v>0</v>
      </c>
      <c r="DF98" s="19"/>
      <c r="DG98" s="19"/>
      <c r="DH98" s="19"/>
      <c r="DI98" s="19"/>
      <c r="DJ98" s="19"/>
      <c r="DK98" s="19"/>
      <c r="DL98" s="19"/>
      <c r="DM98" s="19"/>
      <c r="DN98" s="19"/>
      <c r="DO98" s="19"/>
      <c r="DP98" s="19"/>
      <c r="DQ98" s="19"/>
      <c r="DR98" s="19"/>
      <c r="DS98" s="19"/>
      <c r="DT98" s="19"/>
      <c r="DU98" s="19"/>
      <c r="DV98" s="19"/>
      <c r="DW98" s="19"/>
      <c r="DX98" s="19"/>
      <c r="DY98" s="19"/>
      <c r="DZ98" s="19"/>
      <c r="EA98" s="19"/>
      <c r="EB98" s="19"/>
      <c r="GC98" s="19"/>
      <c r="GD98" s="19"/>
      <c r="GE98" s="19" t="s">
        <v>179</v>
      </c>
      <c r="GF98" s="19">
        <v>0</v>
      </c>
      <c r="GG98" s="19">
        <f t="shared" ref="GG98:GP98" si="45">((((SUM(GG93:GG97))/2)-1))*4</f>
        <v>4</v>
      </c>
      <c r="GH98" s="19">
        <f t="shared" si="45"/>
        <v>4</v>
      </c>
      <c r="GI98" s="19">
        <f t="shared" si="45"/>
        <v>4</v>
      </c>
      <c r="GJ98" s="19">
        <f t="shared" si="45"/>
        <v>8</v>
      </c>
      <c r="GK98" s="19">
        <f t="shared" si="45"/>
        <v>12</v>
      </c>
      <c r="GL98" s="19">
        <f t="shared" si="45"/>
        <v>12</v>
      </c>
      <c r="GM98" s="19">
        <f t="shared" si="45"/>
        <v>16</v>
      </c>
      <c r="GN98" s="19">
        <f t="shared" si="45"/>
        <v>20</v>
      </c>
      <c r="GO98" s="19">
        <f t="shared" si="45"/>
        <v>20</v>
      </c>
      <c r="GP98" s="19">
        <f t="shared" si="45"/>
        <v>24</v>
      </c>
      <c r="GQ98" s="19">
        <f>((((SUM(GQ93:GQ97))/2)-1))*4</f>
        <v>28</v>
      </c>
      <c r="GR98" s="19">
        <f t="shared" ref="GR98:ID98" si="46">((((SUM(GR93:GR97))/2)-1))*4</f>
        <v>28</v>
      </c>
      <c r="GS98" s="19">
        <f t="shared" si="46"/>
        <v>32</v>
      </c>
      <c r="GT98" s="19">
        <f t="shared" si="46"/>
        <v>36</v>
      </c>
      <c r="GU98" s="19">
        <f t="shared" si="46"/>
        <v>36</v>
      </c>
      <c r="GV98" s="19">
        <f t="shared" si="46"/>
        <v>40</v>
      </c>
      <c r="GW98" s="19">
        <f t="shared" si="46"/>
        <v>44</v>
      </c>
      <c r="GX98" s="19">
        <f t="shared" si="46"/>
        <v>44</v>
      </c>
      <c r="GY98" s="19">
        <f t="shared" si="46"/>
        <v>48</v>
      </c>
      <c r="GZ98" s="19">
        <f t="shared" si="46"/>
        <v>52</v>
      </c>
      <c r="HA98" s="19">
        <f t="shared" si="46"/>
        <v>52</v>
      </c>
      <c r="HB98" s="19">
        <f t="shared" si="46"/>
        <v>56</v>
      </c>
      <c r="HC98" s="19">
        <f t="shared" si="46"/>
        <v>60</v>
      </c>
      <c r="HD98" s="19">
        <f t="shared" si="46"/>
        <v>60</v>
      </c>
      <c r="HE98" s="19">
        <f t="shared" si="46"/>
        <v>64</v>
      </c>
      <c r="HF98" s="19">
        <f t="shared" si="46"/>
        <v>68</v>
      </c>
      <c r="HG98" s="19">
        <f t="shared" si="46"/>
        <v>68</v>
      </c>
      <c r="HH98" s="19">
        <f t="shared" si="46"/>
        <v>72</v>
      </c>
      <c r="HI98" s="19">
        <f t="shared" si="46"/>
        <v>76</v>
      </c>
      <c r="HJ98" s="19">
        <f t="shared" si="46"/>
        <v>76</v>
      </c>
      <c r="HK98" s="19">
        <f t="shared" si="46"/>
        <v>80</v>
      </c>
      <c r="HL98" s="19">
        <f t="shared" si="46"/>
        <v>84</v>
      </c>
      <c r="HM98" s="19">
        <f t="shared" si="46"/>
        <v>84</v>
      </c>
      <c r="HN98" s="19">
        <f t="shared" si="46"/>
        <v>88</v>
      </c>
      <c r="HO98" s="19">
        <f t="shared" si="46"/>
        <v>92</v>
      </c>
      <c r="HP98" s="19">
        <f t="shared" si="46"/>
        <v>92</v>
      </c>
      <c r="HQ98" s="19">
        <f t="shared" si="46"/>
        <v>96</v>
      </c>
      <c r="HR98" s="19">
        <f t="shared" si="46"/>
        <v>100</v>
      </c>
      <c r="HS98" s="19">
        <f t="shared" si="46"/>
        <v>100</v>
      </c>
      <c r="HT98" s="19">
        <f t="shared" si="46"/>
        <v>104</v>
      </c>
      <c r="HU98" s="19">
        <f t="shared" si="46"/>
        <v>104</v>
      </c>
      <c r="HV98" s="19">
        <f t="shared" si="46"/>
        <v>108</v>
      </c>
      <c r="HW98" s="19">
        <f t="shared" si="46"/>
        <v>112</v>
      </c>
      <c r="HX98" s="19">
        <f t="shared" si="46"/>
        <v>112</v>
      </c>
      <c r="HY98" s="19">
        <f t="shared" si="46"/>
        <v>116</v>
      </c>
      <c r="HZ98" s="19">
        <f t="shared" si="46"/>
        <v>120</v>
      </c>
      <c r="IA98" s="19">
        <f t="shared" si="46"/>
        <v>120</v>
      </c>
      <c r="IB98" s="19">
        <f t="shared" si="46"/>
        <v>124</v>
      </c>
      <c r="IC98" s="19">
        <f t="shared" si="46"/>
        <v>128</v>
      </c>
      <c r="ID98" s="19">
        <f t="shared" si="46"/>
        <v>128</v>
      </c>
    </row>
    <row r="99" spans="1:238" x14ac:dyDescent="0.25">
      <c r="A99" s="8"/>
      <c r="B99" s="5" t="s">
        <v>61</v>
      </c>
      <c r="C99" s="8"/>
      <c r="D99" s="6" t="s">
        <v>459</v>
      </c>
      <c r="E99" s="8" t="s">
        <v>468</v>
      </c>
      <c r="F99" s="222" t="str">
        <f>IF(E99="30x32 hliník","možno použiť vo veternej zóne 1 a snehovej zóne 1,2,3 s maximálnou vzdialenosťou podpier 0,8 m podľa noriem PN-EN 1991-1-3 a PN-EN 1991-1-4","")</f>
        <v/>
      </c>
      <c r="G99" s="222"/>
      <c r="H99" s="222"/>
      <c r="I99" s="222"/>
      <c r="J99" s="4"/>
      <c r="K99" s="4"/>
      <c r="L99" s="6" t="s">
        <v>3</v>
      </c>
      <c r="M99" s="14">
        <f>INDEX(cenník!$C$2:$I$568,MATCH($L99,cenník!$B$2:$B$557,0),MATCH(M$24,cenník!$C$1:$I$1,0))</f>
        <v>890810</v>
      </c>
      <c r="N99" s="14" t="str">
        <f>INDEX(cenník!$C$2:$I$568,MATCH($L99,cenník!$B$2:$B$557,0),MATCH(N$24,cenník!$C$1:$I$1,0))</f>
        <v>100ks</v>
      </c>
      <c r="O99" s="14">
        <f>ROUNDUP((O98*2)/100,0)</f>
        <v>0</v>
      </c>
      <c r="P99" s="21">
        <f>INDEX(cenník!$C$2:$I$568,MATCH($L99,cenník!$B$2:$B$557,0),MATCH(P$24,cenník!$C$1:$I$1,0))</f>
        <v>22.46</v>
      </c>
      <c r="Q99" s="21">
        <f t="shared" si="44"/>
        <v>0</v>
      </c>
      <c r="R99" s="22">
        <f t="shared" si="41"/>
        <v>0</v>
      </c>
      <c r="S99" s="21">
        <f t="shared" si="42"/>
        <v>22.46</v>
      </c>
      <c r="T99" s="21">
        <f t="shared" si="43"/>
        <v>0</v>
      </c>
      <c r="U99" s="21">
        <f>INDEX(cenník!$C$2:$I$568,MATCH($L99,cenník!$B$2:$B$557,0),MATCH(U$24,cenník!$C$1:$I$1,0))*O99</f>
        <v>0</v>
      </c>
      <c r="V99" s="19"/>
      <c r="W99" s="19"/>
      <c r="X99" s="25">
        <f t="shared" si="40"/>
        <v>0</v>
      </c>
      <c r="Y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102,$BB$2:$CA$2,0),MATCH($W$87,$AH$22:$AH$47,0)))*C102</f>
        <v>0</v>
      </c>
      <c r="Z9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102,$BB$2:$CA$2,0),MATCH($W$87,$AH$22:$AH$47,0)))*C102</f>
        <v>#N/A</v>
      </c>
      <c r="AA9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102,$BB$2:$CA$2,0),MATCH($W$87,$AH$22:$AH$47,0)))*C102</f>
        <v>#N/A</v>
      </c>
      <c r="AB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102,$BB$2:$CA$2,0),MATCH($W$87,$AH$22:$AH$47,0)))*C102</f>
        <v>0</v>
      </c>
      <c r="AC99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102,$BB$2:$CA$2,0),MATCH($W$87,$AH$22:$AH$47,0)))*C102</f>
        <v>#N/A</v>
      </c>
      <c r="AD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102,$BB$2:$CA$2,0),MATCH($W$87,$AH$22:$AH$47,0)))*C102</f>
        <v>0</v>
      </c>
      <c r="AE99" s="19"/>
      <c r="AF99" s="19"/>
      <c r="AG99" s="19"/>
      <c r="AH99" s="19"/>
      <c r="AI99" s="19"/>
      <c r="AJ99" s="19"/>
      <c r="AK99" s="19"/>
      <c r="AL99" s="19"/>
      <c r="AM99" s="19"/>
      <c r="AN99" s="19"/>
      <c r="AO99" s="19"/>
      <c r="AP99" s="19"/>
      <c r="AQ99" s="19"/>
      <c r="AR99" s="19"/>
      <c r="AS99" s="19"/>
      <c r="AT99" s="19"/>
      <c r="AU99" s="19"/>
      <c r="AV99" s="19"/>
      <c r="AW99" s="19"/>
      <c r="AX99" s="19"/>
      <c r="AY99" s="19"/>
      <c r="AZ99" s="19"/>
      <c r="BA99" s="20" t="s">
        <v>234</v>
      </c>
      <c r="BB99" s="20">
        <v>0</v>
      </c>
      <c r="BC99" s="20">
        <v>0</v>
      </c>
      <c r="BD99" s="20">
        <v>0</v>
      </c>
      <c r="BE99" s="20">
        <v>0</v>
      </c>
      <c r="BF99" s="20">
        <v>0</v>
      </c>
      <c r="BG99" s="20">
        <v>0</v>
      </c>
      <c r="BH99" s="20">
        <v>2</v>
      </c>
      <c r="BI99" s="20">
        <v>6</v>
      </c>
      <c r="BJ99" s="20">
        <v>0</v>
      </c>
      <c r="BK99" s="20">
        <v>0</v>
      </c>
      <c r="BL99" s="20">
        <v>0</v>
      </c>
      <c r="BM99" s="20">
        <v>0</v>
      </c>
      <c r="BN99" s="20">
        <v>0</v>
      </c>
      <c r="BO99" s="20">
        <v>0</v>
      </c>
      <c r="BP99" s="20">
        <v>0</v>
      </c>
      <c r="BQ99" s="20">
        <v>0</v>
      </c>
      <c r="BR99" s="20">
        <v>2</v>
      </c>
      <c r="BS99" s="20">
        <v>0</v>
      </c>
      <c r="BT99" s="20">
        <v>0</v>
      </c>
      <c r="BU99" s="20">
        <v>0</v>
      </c>
      <c r="BV99" s="20">
        <v>0</v>
      </c>
      <c r="BW99" s="20">
        <v>2</v>
      </c>
      <c r="BX99" s="20">
        <v>0</v>
      </c>
      <c r="BY99" s="20">
        <v>0</v>
      </c>
      <c r="BZ99" s="20">
        <v>0</v>
      </c>
      <c r="CA99" s="20">
        <v>0</v>
      </c>
      <c r="DA99" s="17"/>
      <c r="DB99" s="17"/>
      <c r="DC99" s="17"/>
      <c r="DD99" s="19"/>
      <c r="DE99" s="19"/>
      <c r="DF99" s="19"/>
      <c r="DG99" s="19"/>
      <c r="DH99" s="19"/>
      <c r="DI99" s="19"/>
      <c r="DJ99" s="19"/>
      <c r="DK99" s="19"/>
      <c r="DL99" s="19"/>
      <c r="DM99" s="19"/>
      <c r="DN99" s="19"/>
      <c r="DO99" s="19"/>
      <c r="DP99" s="19"/>
      <c r="DQ99" s="19"/>
      <c r="DR99" s="19"/>
      <c r="DS99" s="19"/>
      <c r="DT99" s="19"/>
      <c r="DU99" s="19"/>
      <c r="DV99" s="19"/>
      <c r="DW99" s="19"/>
      <c r="DX99" s="19"/>
      <c r="DY99" s="19"/>
      <c r="DZ99" s="19"/>
      <c r="EA99" s="19"/>
      <c r="EB99" s="19"/>
      <c r="GC99" s="19"/>
      <c r="GD99" s="19"/>
      <c r="GE99" s="26" t="s">
        <v>234</v>
      </c>
      <c r="GF99" s="19">
        <v>0</v>
      </c>
      <c r="GG99" s="19">
        <v>4</v>
      </c>
      <c r="GH99" s="19">
        <v>0</v>
      </c>
      <c r="GI99" s="19">
        <v>0</v>
      </c>
      <c r="GJ99" s="19">
        <v>0</v>
      </c>
      <c r="GK99" s="19">
        <v>0</v>
      </c>
      <c r="GL99" s="19">
        <v>0</v>
      </c>
      <c r="GM99" s="19">
        <v>0</v>
      </c>
      <c r="GN99" s="19">
        <v>0</v>
      </c>
      <c r="GO99" s="19">
        <v>0</v>
      </c>
      <c r="GP99" s="19">
        <v>0</v>
      </c>
      <c r="GQ99" s="19">
        <v>0</v>
      </c>
      <c r="GR99" s="19">
        <v>0</v>
      </c>
      <c r="GS99" s="19">
        <v>0</v>
      </c>
      <c r="GT99" s="19">
        <v>0</v>
      </c>
      <c r="GU99" s="19">
        <v>0</v>
      </c>
      <c r="GV99" s="19">
        <v>0</v>
      </c>
      <c r="GW99" s="19">
        <v>0</v>
      </c>
      <c r="GX99" s="19">
        <v>0</v>
      </c>
      <c r="GY99" s="19">
        <v>0</v>
      </c>
      <c r="GZ99" s="19">
        <v>0</v>
      </c>
      <c r="HA99" s="19">
        <v>0</v>
      </c>
      <c r="HB99" s="19">
        <v>0</v>
      </c>
      <c r="HC99" s="19">
        <v>0</v>
      </c>
      <c r="HD99" s="19">
        <v>0</v>
      </c>
      <c r="HE99" s="19">
        <v>0</v>
      </c>
      <c r="HF99" s="19">
        <v>0</v>
      </c>
      <c r="HG99" s="19">
        <v>0</v>
      </c>
      <c r="HH99" s="19">
        <v>0</v>
      </c>
      <c r="HI99" s="19">
        <v>0</v>
      </c>
      <c r="HJ99" s="19">
        <v>0</v>
      </c>
      <c r="HK99" s="19">
        <v>0</v>
      </c>
      <c r="HL99" s="19">
        <v>0</v>
      </c>
      <c r="HM99" s="19">
        <v>0</v>
      </c>
      <c r="HN99" s="19">
        <v>0</v>
      </c>
      <c r="HO99" s="19">
        <v>0</v>
      </c>
      <c r="HP99" s="19">
        <v>0</v>
      </c>
      <c r="HQ99" s="19">
        <v>2</v>
      </c>
      <c r="HR99" s="19">
        <v>0</v>
      </c>
      <c r="HS99" s="19">
        <v>0</v>
      </c>
      <c r="HT99" s="19">
        <v>0</v>
      </c>
      <c r="HU99" s="19">
        <v>0</v>
      </c>
      <c r="HV99" s="19">
        <v>0</v>
      </c>
      <c r="HW99" s="19">
        <v>0</v>
      </c>
      <c r="HX99" s="19">
        <v>0</v>
      </c>
      <c r="HY99" s="19">
        <v>0</v>
      </c>
      <c r="HZ99" s="19">
        <v>0</v>
      </c>
      <c r="IA99" s="19">
        <v>0</v>
      </c>
      <c r="IB99" s="19">
        <v>0</v>
      </c>
      <c r="IC99" s="19">
        <v>0</v>
      </c>
      <c r="ID99" s="19">
        <v>0</v>
      </c>
    </row>
    <row r="100" spans="1:238" x14ac:dyDescent="0.25">
      <c r="A100" s="8"/>
      <c r="B100" s="5" t="s">
        <v>61</v>
      </c>
      <c r="C100" s="8"/>
      <c r="D100" s="6" t="s">
        <v>460</v>
      </c>
      <c r="E100" s="8">
        <v>0</v>
      </c>
      <c r="F100" s="222"/>
      <c r="G100" s="222"/>
      <c r="H100" s="222"/>
      <c r="I100" s="222"/>
      <c r="J100" s="5" t="s">
        <v>461</v>
      </c>
      <c r="K100" s="4"/>
      <c r="L100" s="6" t="str">
        <f>IF(E99=$AK$22,"SSZ10x20E A2",IF(E99=$AK$23,"SSZ10x20E A2",IF(E99=$AK$24,"SGKFM10X20PV",0)))</f>
        <v>SGKFM10X20PV</v>
      </c>
      <c r="M100" s="14">
        <f>INDEX(cenník!$C$2:$I$568,MATCH($L100,cenník!$B$2:$B$557,0),MATCH(M$24,cenník!$C$1:$I$1,0))</f>
        <v>651643</v>
      </c>
      <c r="N100" s="14" t="str">
        <f>INDEX(cenník!$C$2:$I$568,MATCH($L100,cenník!$B$2:$B$557,0),MATCH(N$24,cenník!$C$1:$I$1,0))</f>
        <v>100ks</v>
      </c>
      <c r="O100" s="14">
        <f>ROUNDUP(((O98+IF(E99=$AK$24,E100+O97*4,0))/100),0)</f>
        <v>0</v>
      </c>
      <c r="P100" s="21">
        <f>INDEX(cenník!$C$2:$I$568,MATCH($L100,cenník!$B$2:$B$557,0),MATCH(P$24,cenník!$C$1:$I$1,0))</f>
        <v>49.87</v>
      </c>
      <c r="Q100" s="21">
        <f t="shared" si="44"/>
        <v>0</v>
      </c>
      <c r="R100" s="22">
        <f t="shared" si="41"/>
        <v>0</v>
      </c>
      <c r="S100" s="21">
        <f t="shared" si="42"/>
        <v>49.87</v>
      </c>
      <c r="T100" s="21">
        <f t="shared" si="43"/>
        <v>0</v>
      </c>
      <c r="U100" s="21">
        <f>INDEX(cenník!$C$2:$I$568,MATCH($L100,cenník!$B$2:$B$557,0),MATCH(U$24,cenník!$C$1:$I$1,0))*O100</f>
        <v>0</v>
      </c>
      <c r="V100" s="19"/>
      <c r="W100" s="19"/>
      <c r="X100" s="25">
        <f t="shared" si="40"/>
        <v>0</v>
      </c>
      <c r="Y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103,$BB$2:$CA$2,0),MATCH($W$87,$AH$22:$AH$47,0)))*C103</f>
        <v>0</v>
      </c>
      <c r="Z10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103,$BB$2:$CA$2,0),MATCH($W$87,$AH$22:$AH$47,0)))*C103</f>
        <v>#N/A</v>
      </c>
      <c r="AA10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103,$BB$2:$CA$2,0),MATCH($W$87,$AH$22:$AH$47,0)))*C103</f>
        <v>#N/A</v>
      </c>
      <c r="AB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103,$BB$2:$CA$2,0),MATCH($W$87,$AH$22:$AH$47,0)))*C103</f>
        <v>0</v>
      </c>
      <c r="AC100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103,$BB$2:$CA$2,0),MATCH($W$87,$AH$22:$AH$47,0)))*C103</f>
        <v>#N/A</v>
      </c>
      <c r="AD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103,$BB$2:$CA$2,0),MATCH($W$87,$AH$22:$AH$47,0)))*C103</f>
        <v>0</v>
      </c>
      <c r="AE100" s="19"/>
      <c r="AF100" s="19"/>
      <c r="AG100" s="19"/>
      <c r="AH100" s="19"/>
      <c r="AI100" s="19"/>
      <c r="AJ100" s="19"/>
      <c r="AK100" s="19"/>
      <c r="AL100" s="19"/>
      <c r="AM100" s="19"/>
      <c r="AN100" s="19"/>
      <c r="AO100" s="19"/>
      <c r="AP100" s="19"/>
      <c r="AQ100" s="19"/>
      <c r="AR100" s="19"/>
      <c r="AS100" s="19"/>
      <c r="AT100" s="19"/>
      <c r="AU100" s="19"/>
      <c r="AV100" s="19"/>
      <c r="AW100" s="19"/>
      <c r="AX100" s="19"/>
      <c r="AY100" s="19"/>
      <c r="AZ100" s="19"/>
      <c r="BA100" s="20" t="s">
        <v>235</v>
      </c>
      <c r="BB100" s="20">
        <v>0</v>
      </c>
      <c r="BC100" s="20">
        <v>2</v>
      </c>
      <c r="BD100" s="20">
        <v>0</v>
      </c>
      <c r="BE100" s="20">
        <v>4</v>
      </c>
      <c r="BF100" s="20">
        <v>2</v>
      </c>
      <c r="BG100" s="20">
        <v>0</v>
      </c>
      <c r="BH100" s="20">
        <v>0</v>
      </c>
      <c r="BI100" s="20">
        <v>0</v>
      </c>
      <c r="BJ100" s="20">
        <v>4</v>
      </c>
      <c r="BK100" s="20">
        <v>2</v>
      </c>
      <c r="BL100" s="20">
        <v>0</v>
      </c>
      <c r="BM100" s="20">
        <v>0</v>
      </c>
      <c r="BN100" s="20">
        <v>2</v>
      </c>
      <c r="BO100" s="20">
        <v>4</v>
      </c>
      <c r="BP100" s="20">
        <v>0</v>
      </c>
      <c r="BQ100" s="20">
        <v>0</v>
      </c>
      <c r="BR100" s="20">
        <v>0</v>
      </c>
      <c r="BS100" s="20">
        <v>0</v>
      </c>
      <c r="BT100" s="20">
        <v>0</v>
      </c>
      <c r="BU100" s="20">
        <v>0</v>
      </c>
      <c r="BV100" s="20">
        <v>0</v>
      </c>
      <c r="BW100" s="20">
        <v>0</v>
      </c>
      <c r="BX100" s="20">
        <v>0</v>
      </c>
      <c r="BY100" s="20">
        <v>0</v>
      </c>
      <c r="BZ100" s="20">
        <v>0</v>
      </c>
      <c r="CA100" s="20">
        <v>0</v>
      </c>
      <c r="DA100" s="17"/>
      <c r="DB100" s="17"/>
      <c r="DC100" s="17"/>
      <c r="DD100" s="19" t="s">
        <v>196</v>
      </c>
      <c r="DE100" s="19">
        <v>0</v>
      </c>
      <c r="DF100" s="19">
        <v>1</v>
      </c>
      <c r="DG100" s="19">
        <v>2</v>
      </c>
      <c r="DH100" s="19">
        <v>3</v>
      </c>
      <c r="DI100" s="19">
        <v>4</v>
      </c>
      <c r="DJ100" s="19">
        <v>5</v>
      </c>
      <c r="DK100" s="19">
        <v>6</v>
      </c>
      <c r="DL100" s="19">
        <v>7</v>
      </c>
      <c r="DM100" s="19">
        <v>8</v>
      </c>
      <c r="DN100" s="19">
        <v>9</v>
      </c>
      <c r="DO100" s="19">
        <v>10</v>
      </c>
      <c r="DP100" s="19">
        <v>11</v>
      </c>
      <c r="DQ100" s="19">
        <v>12</v>
      </c>
      <c r="DR100" s="19">
        <v>13</v>
      </c>
      <c r="DS100" s="19">
        <v>14</v>
      </c>
      <c r="DT100" s="19">
        <v>15</v>
      </c>
      <c r="DU100" s="19">
        <v>16</v>
      </c>
      <c r="DV100" s="19">
        <v>17</v>
      </c>
      <c r="DW100" s="19">
        <v>18</v>
      </c>
      <c r="DX100" s="19">
        <v>19</v>
      </c>
      <c r="DY100" s="19">
        <v>20</v>
      </c>
      <c r="DZ100" s="19"/>
      <c r="EA100" s="19"/>
      <c r="EB100" s="19"/>
      <c r="GC100" s="19"/>
      <c r="GD100" s="19"/>
      <c r="GE100" s="26" t="s">
        <v>235</v>
      </c>
      <c r="GF100" s="19">
        <v>0</v>
      </c>
      <c r="GG100" s="19">
        <v>0</v>
      </c>
      <c r="GH100" s="19">
        <v>0</v>
      </c>
      <c r="GI100" s="19">
        <v>0</v>
      </c>
      <c r="GJ100" s="19">
        <v>0</v>
      </c>
      <c r="GK100" s="19">
        <v>0</v>
      </c>
      <c r="GL100" s="19">
        <v>0</v>
      </c>
      <c r="GM100" s="19">
        <v>0</v>
      </c>
      <c r="GN100" s="19">
        <v>0</v>
      </c>
      <c r="GO100" s="19">
        <v>0</v>
      </c>
      <c r="GP100" s="19">
        <v>2</v>
      </c>
      <c r="GQ100" s="19">
        <v>2</v>
      </c>
      <c r="GR100" s="19">
        <v>0</v>
      </c>
      <c r="GS100" s="19">
        <v>0</v>
      </c>
      <c r="GT100" s="19">
        <v>0</v>
      </c>
      <c r="GU100" s="19">
        <v>0</v>
      </c>
      <c r="GV100" s="19">
        <v>0</v>
      </c>
      <c r="GW100" s="19">
        <v>0</v>
      </c>
      <c r="GX100" s="19">
        <v>0</v>
      </c>
      <c r="GY100" s="19">
        <v>0</v>
      </c>
      <c r="GZ100" s="19">
        <v>0</v>
      </c>
      <c r="HA100" s="19">
        <v>0</v>
      </c>
      <c r="HB100" s="19">
        <v>0</v>
      </c>
      <c r="HC100" s="19">
        <v>0</v>
      </c>
      <c r="HD100" s="19">
        <v>0</v>
      </c>
      <c r="HE100" s="19">
        <v>0</v>
      </c>
      <c r="HF100" s="19">
        <v>0</v>
      </c>
      <c r="HG100" s="19">
        <v>0</v>
      </c>
      <c r="HH100" s="19">
        <v>0</v>
      </c>
      <c r="HI100" s="19">
        <v>0</v>
      </c>
      <c r="HJ100" s="19">
        <v>0</v>
      </c>
      <c r="HK100" s="19">
        <v>0</v>
      </c>
      <c r="HL100" s="19">
        <v>0</v>
      </c>
      <c r="HM100" s="19">
        <v>0</v>
      </c>
      <c r="HN100" s="19">
        <v>0</v>
      </c>
      <c r="HO100" s="19">
        <v>0</v>
      </c>
      <c r="HP100" s="19">
        <v>0</v>
      </c>
      <c r="HQ100" s="19">
        <v>0</v>
      </c>
      <c r="HR100" s="19">
        <v>0</v>
      </c>
      <c r="HS100" s="19">
        <v>0</v>
      </c>
      <c r="HT100" s="19">
        <v>0</v>
      </c>
      <c r="HU100" s="19">
        <v>0</v>
      </c>
      <c r="HV100" s="19">
        <v>0</v>
      </c>
      <c r="HW100" s="19">
        <v>0</v>
      </c>
      <c r="HX100" s="19">
        <v>0</v>
      </c>
      <c r="HY100" s="19">
        <v>0</v>
      </c>
      <c r="HZ100" s="19">
        <v>0</v>
      </c>
      <c r="IA100" s="19">
        <v>0</v>
      </c>
      <c r="IB100" s="19">
        <v>0</v>
      </c>
      <c r="IC100" s="19">
        <v>0</v>
      </c>
      <c r="ID100" s="19">
        <v>0</v>
      </c>
    </row>
    <row r="101" spans="1:238" x14ac:dyDescent="0.25">
      <c r="A101" s="8"/>
      <c r="B101" s="5" t="s">
        <v>61</v>
      </c>
      <c r="C101" s="8"/>
      <c r="D101" s="6" t="s">
        <v>474</v>
      </c>
      <c r="E101" s="4"/>
      <c r="F101" s="222"/>
      <c r="G101" s="222"/>
      <c r="H101" s="222"/>
      <c r="I101" s="222"/>
      <c r="J101" s="4"/>
      <c r="K101" s="4"/>
      <c r="L101" s="6" t="str">
        <f>IF(E99=$AK$22,"NKZM10E A2",IF(E99=$AK$23,"NKZM10E A2",IF(E99=$AK$24,"-------",0)))</f>
        <v>-------</v>
      </c>
      <c r="M101" s="14" t="str">
        <f>INDEX(cenník!$C$2:$I$568,MATCH($L101,cenník!$B$2:$B$557,0),MATCH(M$24,cenník!$C$1:$I$1,0))</f>
        <v>-------</v>
      </c>
      <c r="N101" s="14">
        <f>INDEX(cenník!$C$2:$I$568,MATCH($L101,cenník!$B$2:$B$557,0),MATCH(N$24,cenník!$C$1:$I$1,0))</f>
        <v>0</v>
      </c>
      <c r="O101" s="14">
        <f>IF(L101="-------",0,ROUNDUP((O98/100),0))</f>
        <v>0</v>
      </c>
      <c r="P101" s="21">
        <f>INDEX(cenník!$C$2:$I$568,MATCH($L101,cenník!$B$2:$B$557,0),MATCH(P$24,cenník!$C$1:$I$1,0))</f>
        <v>0</v>
      </c>
      <c r="Q101" s="21">
        <f t="shared" si="44"/>
        <v>0</v>
      </c>
      <c r="R101" s="22">
        <f t="shared" si="41"/>
        <v>0</v>
      </c>
      <c r="S101" s="21">
        <f t="shared" si="42"/>
        <v>0</v>
      </c>
      <c r="T101" s="21">
        <f t="shared" si="43"/>
        <v>0</v>
      </c>
      <c r="U101" s="21">
        <f>INDEX(cenník!$C$2:$I$568,MATCH($L101,cenník!$B$2:$B$557,0),MATCH(U$24,cenník!$C$1:$I$1,0))*O101</f>
        <v>0</v>
      </c>
      <c r="V101" s="19"/>
      <c r="W101" s="19"/>
      <c r="X101" s="25">
        <f t="shared" si="40"/>
        <v>0</v>
      </c>
      <c r="Y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104,$BB$2:$CA$2,0),MATCH($W$87,$AH$22:$AH$47,0)))*C104</f>
        <v>0</v>
      </c>
      <c r="Z10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104,$BB$2:$CA$2,0),MATCH($W$87,$AH$22:$AH$47,0)))*C104</f>
        <v>#N/A</v>
      </c>
      <c r="AA10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104,$BB$2:$CA$2,0),MATCH($W$87,$AH$22:$AH$47,0)))*C104</f>
        <v>#N/A</v>
      </c>
      <c r="AB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104,$BB$2:$CA$2,0),MATCH($W$87,$AH$22:$AH$47,0)))*C104</f>
        <v>0</v>
      </c>
      <c r="AC101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104,$BB$2:$CA$2,0),MATCH($W$87,$AH$22:$AH$47,0)))*C104</f>
        <v>#N/A</v>
      </c>
      <c r="AD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104,$BB$2:$CA$2,0),MATCH($W$87,$AH$22:$AH$47,0)))*C104</f>
        <v>0</v>
      </c>
      <c r="AE101" s="19" t="str">
        <f>INDEX(($AH$53:$AI$62),MATCH(I92,$AG$53:$AG$62,0),MATCH(E95,$AH$52:$AI$52,0))</f>
        <v>suma</v>
      </c>
      <c r="AF101" s="19"/>
      <c r="AG101" s="19"/>
      <c r="AH101" s="19"/>
      <c r="AI101" s="19"/>
      <c r="AJ101" s="19"/>
      <c r="AK101" s="19"/>
      <c r="AL101" s="19"/>
      <c r="AM101" s="19"/>
      <c r="AN101" s="19"/>
      <c r="AO101" s="19"/>
      <c r="AP101" s="19"/>
      <c r="AQ101" s="19"/>
      <c r="AR101" s="19"/>
      <c r="AS101" s="19"/>
      <c r="AT101" s="19"/>
      <c r="AU101" s="19"/>
      <c r="AV101" s="19"/>
      <c r="AW101" s="19"/>
      <c r="AX101" s="19"/>
      <c r="AY101" s="19"/>
      <c r="AZ101" s="19"/>
      <c r="BA101" s="20" t="s">
        <v>236</v>
      </c>
      <c r="BB101" s="20">
        <v>0</v>
      </c>
      <c r="BC101" s="20">
        <v>0</v>
      </c>
      <c r="BD101" s="20">
        <v>0</v>
      </c>
      <c r="BE101" s="20">
        <v>0</v>
      </c>
      <c r="BF101" s="20">
        <v>0</v>
      </c>
      <c r="BG101" s="20">
        <v>0</v>
      </c>
      <c r="BH101" s="20">
        <v>0</v>
      </c>
      <c r="BI101" s="20">
        <v>2</v>
      </c>
      <c r="BJ101" s="20">
        <v>0</v>
      </c>
      <c r="BK101" s="20">
        <v>0</v>
      </c>
      <c r="BL101" s="20">
        <v>0</v>
      </c>
      <c r="BM101" s="20">
        <v>4</v>
      </c>
      <c r="BN101" s="20">
        <v>0</v>
      </c>
      <c r="BO101" s="20">
        <v>0</v>
      </c>
      <c r="BP101" s="20">
        <v>2</v>
      </c>
      <c r="BQ101" s="20">
        <v>0</v>
      </c>
      <c r="BR101" s="20">
        <v>0</v>
      </c>
      <c r="BS101" s="20">
        <v>2</v>
      </c>
      <c r="BT101" s="20">
        <v>0</v>
      </c>
      <c r="BU101" s="20">
        <v>2</v>
      </c>
      <c r="BV101" s="20">
        <v>0</v>
      </c>
      <c r="BW101" s="20">
        <v>0</v>
      </c>
      <c r="BX101" s="20">
        <v>2</v>
      </c>
      <c r="BY101" s="20">
        <v>0</v>
      </c>
      <c r="BZ101" s="20">
        <v>2</v>
      </c>
      <c r="CA101" s="20">
        <v>0</v>
      </c>
      <c r="DA101" s="17"/>
      <c r="DB101" s="17"/>
      <c r="DC101" s="17"/>
      <c r="DD101" s="19" t="s">
        <v>64</v>
      </c>
      <c r="DE101" s="19">
        <v>0</v>
      </c>
      <c r="DF101" s="19">
        <v>2</v>
      </c>
      <c r="DG101" s="19">
        <v>4</v>
      </c>
      <c r="DH101" s="19">
        <v>0</v>
      </c>
      <c r="DI101" s="19">
        <v>2</v>
      </c>
      <c r="DJ101" s="19">
        <v>0</v>
      </c>
      <c r="DK101" s="19">
        <v>2</v>
      </c>
      <c r="DL101" s="19">
        <v>4</v>
      </c>
      <c r="DM101" s="19">
        <v>0</v>
      </c>
      <c r="DN101" s="19">
        <v>4</v>
      </c>
      <c r="DO101" s="19">
        <v>0</v>
      </c>
      <c r="DP101" s="19">
        <v>2</v>
      </c>
      <c r="DQ101" s="19">
        <v>0</v>
      </c>
      <c r="DR101" s="19">
        <v>2</v>
      </c>
      <c r="DS101" s="19">
        <v>4</v>
      </c>
      <c r="DT101" s="19">
        <v>0</v>
      </c>
      <c r="DU101" s="19">
        <v>4</v>
      </c>
      <c r="DV101" s="19">
        <v>0</v>
      </c>
      <c r="DW101" s="19">
        <v>2</v>
      </c>
      <c r="DX101" s="19">
        <v>4</v>
      </c>
      <c r="DY101" s="19">
        <v>2</v>
      </c>
      <c r="DZ101" s="19"/>
      <c r="EA101" s="19"/>
      <c r="EB101" s="19"/>
      <c r="GC101" s="19"/>
      <c r="GD101" s="19"/>
      <c r="GE101" s="26" t="s">
        <v>236</v>
      </c>
      <c r="GF101" s="19">
        <v>0</v>
      </c>
      <c r="GG101" s="19">
        <v>0</v>
      </c>
      <c r="GH101" s="19">
        <v>4</v>
      </c>
      <c r="GI101" s="19">
        <v>0</v>
      </c>
      <c r="GJ101" s="19">
        <v>2</v>
      </c>
      <c r="GK101" s="19">
        <v>4</v>
      </c>
      <c r="GL101" s="19">
        <v>0</v>
      </c>
      <c r="GM101" s="19">
        <v>2</v>
      </c>
      <c r="GN101" s="19">
        <v>4</v>
      </c>
      <c r="GO101" s="19">
        <v>0</v>
      </c>
      <c r="GP101" s="19">
        <v>0</v>
      </c>
      <c r="GQ101" s="19">
        <v>0</v>
      </c>
      <c r="GR101" s="19">
        <v>0</v>
      </c>
      <c r="GS101" s="19">
        <v>0</v>
      </c>
      <c r="GT101" s="19">
        <v>2</v>
      </c>
      <c r="GU101" s="19">
        <v>0</v>
      </c>
      <c r="GV101" s="19">
        <v>0</v>
      </c>
      <c r="GW101" s="19">
        <v>4</v>
      </c>
      <c r="GX101" s="19">
        <v>0</v>
      </c>
      <c r="GY101" s="19">
        <v>0</v>
      </c>
      <c r="GZ101" s="19">
        <v>2</v>
      </c>
      <c r="HA101" s="19">
        <v>0</v>
      </c>
      <c r="HB101" s="19">
        <v>2</v>
      </c>
      <c r="HC101" s="19">
        <v>0</v>
      </c>
      <c r="HD101" s="19">
        <v>0</v>
      </c>
      <c r="HE101" s="19">
        <v>2</v>
      </c>
      <c r="HF101" s="19">
        <v>0</v>
      </c>
      <c r="HG101" s="19">
        <v>0</v>
      </c>
      <c r="HH101" s="19">
        <v>0</v>
      </c>
      <c r="HI101" s="19">
        <v>0</v>
      </c>
      <c r="HJ101" s="19">
        <v>0</v>
      </c>
      <c r="HK101" s="19">
        <v>0</v>
      </c>
      <c r="HL101" s="19">
        <v>4</v>
      </c>
      <c r="HM101" s="19">
        <v>0</v>
      </c>
      <c r="HN101" s="19">
        <v>0</v>
      </c>
      <c r="HO101" s="19">
        <v>2</v>
      </c>
      <c r="HP101" s="19">
        <v>0</v>
      </c>
      <c r="HQ101" s="19">
        <v>0</v>
      </c>
      <c r="HR101" s="19">
        <v>2</v>
      </c>
      <c r="HS101" s="19">
        <v>0</v>
      </c>
      <c r="HT101" s="19">
        <v>2</v>
      </c>
      <c r="HU101" s="19">
        <v>0</v>
      </c>
      <c r="HV101" s="19">
        <v>0</v>
      </c>
      <c r="HW101" s="19">
        <v>2</v>
      </c>
      <c r="HX101" s="19">
        <v>0</v>
      </c>
      <c r="HY101" s="19">
        <v>0</v>
      </c>
      <c r="HZ101" s="19">
        <v>0</v>
      </c>
      <c r="IA101" s="19">
        <v>0</v>
      </c>
      <c r="IB101" s="19">
        <v>0</v>
      </c>
      <c r="IC101" s="19">
        <v>0</v>
      </c>
      <c r="ID101" s="19">
        <v>0</v>
      </c>
    </row>
    <row r="102" spans="1:238" x14ac:dyDescent="0.25">
      <c r="A102" s="8"/>
      <c r="B102" s="5" t="s">
        <v>61</v>
      </c>
      <c r="C102" s="8"/>
      <c r="D102" s="44" t="s">
        <v>563</v>
      </c>
      <c r="E102" s="4"/>
      <c r="F102" s="222"/>
      <c r="G102" s="222"/>
      <c r="H102" s="222"/>
      <c r="I102" s="222"/>
      <c r="J102" s="4"/>
      <c r="K102" s="4"/>
      <c r="L102" s="6" t="str">
        <f>IF(E95=$AC$1,INDEX(($AN$28:$AO$37,$AN$42:$AO$51,$AN$56:$AO$65),MATCH(I92,$AM$28:$AM$37,0),MATCH(E96,$AN$27:$AO$27,0),MATCH(E99,$AK$22:$AK$24,0)),IF(E95=$AC$2,INDEX(($AT$28:$AU$37,$AT$42:$AU$51,$AT$56:$AU$65),MATCH(I92,$AS$28:$AS$37,0),MATCH(E96,$AT$27:$AU$27,0),MATCH(E99,$AK$22:$AK$24,0)),0))</f>
        <v>BUF35L</v>
      </c>
      <c r="M102" s="14">
        <f>INDEX(cenník!$C$2:$I$568,MATCH($L102,cenník!$B$2:$B$557,0),MATCH(M$24,cenník!$C$1:$I$1,0))</f>
        <v>827335</v>
      </c>
      <c r="N102" s="14" t="str">
        <f>INDEX(cenník!$C$2:$I$568,MATCH($L102,cenník!$B$2:$B$557,0),MATCH(N$24,cenník!$C$1:$I$1,0))</f>
        <v>ks</v>
      </c>
      <c r="O102" s="14">
        <f>SUM(IF(A91=0,0,IF((A91&gt;0),C91*4)),IF(A92=0,0,IF((A92&gt;0),C92*4)),IF(A93=0,0,IF((A93&gt;0),C93*4)),IF(A94=0,0,IF((A94&gt;0),C94*4)),IF(A95=0,0,IF((A95&gt;0),C95*4)),IF(A96=0,0,IF((A96&gt;0),C96*4)),IF(A97=0,0,IF((A97&gt;0),C97*4)),IF(A98=0,0,IF((A98&gt;0),C98*4)),IF(A99=0,0,IF((A99&gt;0),C99*4)),IF(A100=0,0,IF((A100&gt;0),C100*4)),IF(A101=0,0,IF((A101&gt;0),C101*4)),IF(A102=0,0,IF((A102&gt;0),C102*4)),IF(A103=0,0,IF((A103&gt;0),C103*4)),IF(A104=0,0,IF((A104&gt;0),C104*4)),IF(A105=0,0,IF((A105&gt;0),C105*4)),,IF(A106=0,0,IF((A106&gt;0),C106*4)))</f>
        <v>0</v>
      </c>
      <c r="P102" s="21">
        <f>INDEX(cenník!$C$2:$I$568,MATCH($L102,cenník!$B$2:$B$557,0),MATCH(P$24,cenník!$C$1:$I$1,0))</f>
        <v>1.1399999999999999</v>
      </c>
      <c r="Q102" s="21">
        <f t="shared" si="44"/>
        <v>0</v>
      </c>
      <c r="R102" s="22">
        <f t="shared" si="41"/>
        <v>0</v>
      </c>
      <c r="S102" s="21">
        <f t="shared" si="42"/>
        <v>1.1399999999999999</v>
      </c>
      <c r="T102" s="21">
        <f t="shared" si="43"/>
        <v>0</v>
      </c>
      <c r="U102" s="21">
        <f>INDEX(cenník!$C$2:$I$568,MATCH($L102,cenník!$B$2:$B$557,0),MATCH(U$24,cenník!$C$1:$I$1,0))*O102</f>
        <v>0</v>
      </c>
      <c r="V102" s="19"/>
      <c r="W102" s="19"/>
      <c r="X102" s="25">
        <f t="shared" si="40"/>
        <v>0</v>
      </c>
      <c r="Y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105,$BB$2:$CA$2,0),MATCH($W$87,$AH$22:$AH$47,0)))*C105</f>
        <v>0</v>
      </c>
      <c r="Z102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105,$BB$2:$CA$2,0),MATCH($W$87,$AH$22:$AH$47,0)))*C105</f>
        <v>#N/A</v>
      </c>
      <c r="AA102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105,$BB$2:$CA$2,0),MATCH($W$87,$AH$22:$AH$47,0)))*C105</f>
        <v>#N/A</v>
      </c>
      <c r="AB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105,$BB$2:$CA$2,0),MATCH($W$87,$AH$22:$AH$47,0)))*C105</f>
        <v>0</v>
      </c>
      <c r="AC102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105,$BB$2:$CA$2,0),MATCH($W$87,$AH$22:$AH$47,0)))*C105</f>
        <v>#N/A</v>
      </c>
      <c r="AD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105,$BB$2:$CA$2,0),MATCH($W$87,$AH$22:$AH$47,0)))*C105</f>
        <v>0</v>
      </c>
      <c r="AE102" s="19"/>
      <c r="AF102" s="19"/>
      <c r="AG102" s="19"/>
      <c r="AH102" s="19"/>
      <c r="AI102" s="19"/>
      <c r="AJ102" s="19"/>
      <c r="AK102" s="19"/>
      <c r="AL102" s="19"/>
      <c r="AM102" s="19"/>
      <c r="AN102" s="19"/>
      <c r="AO102" s="19"/>
      <c r="AP102" s="19"/>
      <c r="AQ102" s="19"/>
      <c r="AR102" s="19"/>
      <c r="AS102" s="19"/>
      <c r="AT102" s="19"/>
      <c r="AU102" s="19"/>
      <c r="AV102" s="19"/>
      <c r="AW102" s="19"/>
      <c r="AX102" s="19"/>
      <c r="AY102" s="19"/>
      <c r="AZ102" s="19"/>
      <c r="BA102" s="20" t="s">
        <v>237</v>
      </c>
      <c r="BB102" s="20">
        <v>0</v>
      </c>
      <c r="BC102" s="20">
        <v>0</v>
      </c>
      <c r="BD102" s="20">
        <v>2</v>
      </c>
      <c r="BE102" s="20">
        <v>0</v>
      </c>
      <c r="BF102" s="20">
        <v>2</v>
      </c>
      <c r="BG102" s="20">
        <v>2</v>
      </c>
      <c r="BH102" s="20">
        <v>0</v>
      </c>
      <c r="BI102" s="20">
        <v>0</v>
      </c>
      <c r="BJ102" s="20">
        <v>4</v>
      </c>
      <c r="BK102" s="20">
        <v>6</v>
      </c>
      <c r="BL102" s="20">
        <v>4</v>
      </c>
      <c r="BM102" s="20">
        <v>2</v>
      </c>
      <c r="BN102" s="20">
        <v>0</v>
      </c>
      <c r="BO102" s="20">
        <v>8</v>
      </c>
      <c r="BP102" s="20">
        <v>10</v>
      </c>
      <c r="BQ102" s="20">
        <v>8</v>
      </c>
      <c r="BR102" s="20">
        <v>6</v>
      </c>
      <c r="BS102" s="20">
        <v>2</v>
      </c>
      <c r="BT102" s="20">
        <v>0</v>
      </c>
      <c r="BU102" s="20">
        <v>12</v>
      </c>
      <c r="BV102" s="20">
        <v>10</v>
      </c>
      <c r="BW102" s="20">
        <v>8</v>
      </c>
      <c r="BX102" s="20">
        <v>8</v>
      </c>
      <c r="BY102" s="20">
        <v>2</v>
      </c>
      <c r="BZ102" s="20">
        <v>14</v>
      </c>
      <c r="CA102" s="20">
        <v>12</v>
      </c>
      <c r="DA102" s="17"/>
      <c r="DB102" s="17"/>
      <c r="DC102" s="17"/>
      <c r="DD102" s="19" t="s">
        <v>18</v>
      </c>
      <c r="DE102" s="19">
        <v>0</v>
      </c>
      <c r="DF102" s="19">
        <v>0</v>
      </c>
      <c r="DG102" s="19">
        <v>0</v>
      </c>
      <c r="DH102" s="19">
        <v>4</v>
      </c>
      <c r="DI102" s="19">
        <v>4</v>
      </c>
      <c r="DJ102" s="19">
        <v>6</v>
      </c>
      <c r="DK102" s="19">
        <v>6</v>
      </c>
      <c r="DL102" s="19">
        <v>6</v>
      </c>
      <c r="DM102" s="19">
        <v>10</v>
      </c>
      <c r="DN102" s="19">
        <v>8</v>
      </c>
      <c r="DO102" s="19">
        <v>12</v>
      </c>
      <c r="DP102" s="19">
        <v>12</v>
      </c>
      <c r="DQ102" s="19">
        <v>14</v>
      </c>
      <c r="DR102" s="19">
        <v>14</v>
      </c>
      <c r="DS102" s="19">
        <v>14</v>
      </c>
      <c r="DT102" s="19">
        <v>18</v>
      </c>
      <c r="DU102" s="19">
        <v>16</v>
      </c>
      <c r="DV102" s="19">
        <v>20</v>
      </c>
      <c r="DW102" s="19">
        <v>20</v>
      </c>
      <c r="DX102" s="19">
        <v>20</v>
      </c>
      <c r="DY102" s="19">
        <v>22</v>
      </c>
      <c r="DZ102" s="19"/>
      <c r="EA102" s="19"/>
      <c r="EB102" s="19"/>
      <c r="GC102" s="19"/>
      <c r="GD102" s="19"/>
      <c r="GE102" s="26" t="s">
        <v>237</v>
      </c>
      <c r="GF102" s="19">
        <v>0</v>
      </c>
      <c r="GG102" s="19">
        <v>0</v>
      </c>
      <c r="GH102" s="19">
        <v>0</v>
      </c>
      <c r="GI102" s="19">
        <v>0</v>
      </c>
      <c r="GJ102" s="19">
        <v>0</v>
      </c>
      <c r="GK102" s="19">
        <v>0</v>
      </c>
      <c r="GL102" s="19">
        <v>0</v>
      </c>
      <c r="GM102" s="19">
        <v>2</v>
      </c>
      <c r="GN102" s="19">
        <v>0</v>
      </c>
      <c r="GO102" s="19">
        <v>2</v>
      </c>
      <c r="GP102" s="19">
        <v>0</v>
      </c>
      <c r="GQ102" s="19">
        <v>14</v>
      </c>
      <c r="GR102" s="19">
        <v>4</v>
      </c>
      <c r="GS102" s="19">
        <v>16</v>
      </c>
      <c r="GT102" s="19">
        <v>16</v>
      </c>
      <c r="GU102" s="19">
        <v>2</v>
      </c>
      <c r="GV102" s="19">
        <v>16</v>
      </c>
      <c r="GW102" s="19">
        <v>6</v>
      </c>
      <c r="GX102" s="19">
        <v>2</v>
      </c>
      <c r="GY102" s="19">
        <v>16</v>
      </c>
      <c r="GZ102" s="19">
        <v>16</v>
      </c>
      <c r="HA102" s="19">
        <v>2</v>
      </c>
      <c r="HB102" s="19">
        <v>8</v>
      </c>
      <c r="HC102" s="19">
        <v>32</v>
      </c>
      <c r="HD102" s="19">
        <v>2</v>
      </c>
      <c r="HE102" s="19">
        <v>2</v>
      </c>
      <c r="HF102" s="19">
        <v>32</v>
      </c>
      <c r="HG102" s="19">
        <v>4</v>
      </c>
      <c r="HH102" s="19">
        <v>18</v>
      </c>
      <c r="HI102" s="19">
        <v>32</v>
      </c>
      <c r="HJ102" s="19">
        <v>4</v>
      </c>
      <c r="HK102" s="19">
        <v>18</v>
      </c>
      <c r="HL102" s="19">
        <v>12</v>
      </c>
      <c r="HM102" s="19">
        <v>4</v>
      </c>
      <c r="HN102" s="19">
        <v>18</v>
      </c>
      <c r="HO102" s="19">
        <v>18</v>
      </c>
      <c r="HP102" s="19">
        <v>4</v>
      </c>
      <c r="HQ102" s="19">
        <v>0</v>
      </c>
      <c r="HR102" s="19">
        <v>18</v>
      </c>
      <c r="HS102" s="19">
        <v>4</v>
      </c>
      <c r="HT102" s="19">
        <v>4</v>
      </c>
      <c r="HU102" s="19">
        <v>0</v>
      </c>
      <c r="HV102" s="19">
        <v>4</v>
      </c>
      <c r="HW102" s="19">
        <v>4</v>
      </c>
      <c r="HX102" s="19">
        <v>0</v>
      </c>
      <c r="HY102" s="19">
        <v>6</v>
      </c>
      <c r="HZ102" s="19">
        <v>20</v>
      </c>
      <c r="IA102" s="19">
        <v>0</v>
      </c>
      <c r="IB102" s="19">
        <v>6</v>
      </c>
      <c r="IC102" s="19">
        <v>20</v>
      </c>
      <c r="ID102" s="19">
        <v>0</v>
      </c>
    </row>
    <row r="103" spans="1:238" x14ac:dyDescent="0.25">
      <c r="A103" s="8"/>
      <c r="B103" s="5" t="s">
        <v>61</v>
      </c>
      <c r="C103" s="8"/>
      <c r="D103" s="4"/>
      <c r="E103" s="4"/>
      <c r="F103" s="222"/>
      <c r="G103" s="222"/>
      <c r="H103" s="222"/>
      <c r="I103" s="222"/>
      <c r="J103" s="4"/>
      <c r="K103" s="4"/>
      <c r="L103" s="6" t="str">
        <f>IF(E95=$AC$1,INDEX(($AN$38:$AO$38,$AN$52:$AO$52,$AN$66:$AO$66),1,MATCH($E$96,$AN$27:$AO$27,0),MATCH($E$99,$AK$22:$AK$24,0)),IF(E95=$AC$2,INDEX(($AT$38:$AU$38,$AT$52:$AU$52,$AT$66:$AU$66),1,MATCH($E$96,$AT$27:$AU$27,0),MATCH($E$99,$AK$22:$AK$24,0)),0))</f>
        <v>PUFL</v>
      </c>
      <c r="M103" s="14">
        <f>INDEX(cenník!$C$2:$I$568,MATCH($L103,cenník!$B$2:$B$557,0),MATCH(M$24,cenník!$C$1:$I$1,0))</f>
        <v>897302</v>
      </c>
      <c r="N103" s="14" t="str">
        <f>INDEX(cenník!$C$2:$I$568,MATCH($L103,cenník!$B$2:$B$557,0),MATCH(N$24,cenník!$C$1:$I$1,0))</f>
        <v>ks</v>
      </c>
      <c r="O103" s="14">
        <f>SUM(IF(A91=0,0,IF(A91&gt;0,(A91-1)*2*C91)),IF(A92=0,0,IF(A92&gt;0,(A92-1)*2*C92)),IF(A93=0,0,IF(A93&gt;0,(A93-1)*2*C93)),IF(A94=0,0,IF(A94&gt;0,(A94-1)*2*C94)),IF(A95=0,0,IF(A95&gt;0,(A95-1)*2*C95)),IF(A96=0,0,IF(A96&gt;0,(A96-1)*2*C96)),IF(A97=0,0,IF(A97&gt;0,(A97-1)*2*C97)),IF(A98=0,0,IF(A98&gt;0,(A98-1)*2*C98)),IF(A99=0,0,IF(A99&gt;0,(A99-1)*2*C99)),IF(A100=0,0,IF(A100&gt;0,(A100-1)*2*C100)),IF(A101=0,0,IF(A101&gt;0,(A101-1)*2*C101)),IF(A102=0,0,IF(A102&gt;0,(A102-1)*2*C102)),IF(A103=0,0,IF(A103&gt;0,(A103-1)*2*C103)),IF(A104=0,0,IF(A104&gt;0,(A104-1)*2*C104)),IF(A105=0,0,IF(A105&gt;0,(A105-1)*2*C105)),IF(A106=0,0,IF(A106&gt;0,(A106-1)*2*C106)))</f>
        <v>0</v>
      </c>
      <c r="P103" s="21">
        <f>INDEX(cenník!$C$2:$I$568,MATCH($L103,cenník!$B$2:$B$557,0),MATCH(P$24,cenník!$C$1:$I$1,0))</f>
        <v>1.2</v>
      </c>
      <c r="Q103" s="21">
        <f t="shared" si="44"/>
        <v>0</v>
      </c>
      <c r="R103" s="22">
        <f t="shared" si="41"/>
        <v>0</v>
      </c>
      <c r="S103" s="21">
        <f t="shared" si="42"/>
        <v>1.2</v>
      </c>
      <c r="T103" s="21">
        <f t="shared" si="43"/>
        <v>0</v>
      </c>
      <c r="U103" s="21">
        <f>INDEX(cenník!$C$2:$I$568,MATCH($L103,cenník!$B$2:$B$557,0),MATCH(U$24,cenník!$C$1:$I$1,0))*O103</f>
        <v>0</v>
      </c>
      <c r="V103" s="19"/>
      <c r="W103" s="19"/>
      <c r="X103" s="25"/>
      <c r="Y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$97,$BA$3:$BA$17,0),MATCH(A106,$BB$2:$CA$2,0),MATCH($W$87,$AH$22:$AH$47,0)))*C106</f>
        <v>0</v>
      </c>
      <c r="Z103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$92,$BA$3:$BA$17,0),MATCH(A106,$BB$2:$CA$2,0),MATCH($W$87,$AH$22:$AH$47,0)))*C106</f>
        <v>#N/A</v>
      </c>
      <c r="AA103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$93,$BA$3:$BA$17,0),MATCH(A106,$BB$2:$CA$2,0),MATCH($W$87,$AH$22:$AH$47,0)))*C106</f>
        <v>#N/A</v>
      </c>
      <c r="AB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$94,$BA$3:$BA$17,0),MATCH(A106,$BB$2:$CA$2,0),MATCH($W$87,$AH$22:$AH$47,0)))*C106</f>
        <v>0</v>
      </c>
      <c r="AC103" s="25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$95,$BA$3:$BA$17,0),MATCH(A106,$BB$2:$CA$2,0),MATCH($W$87,$AH$22:$AH$47,0)))*C106</f>
        <v>#N/A</v>
      </c>
      <c r="AD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$96,$BA$3:$BA$17,0),MATCH(A106,$BB$2:$CA$2,0),MATCH($W$87,$AH$22:$AH$47,0)))*C106</f>
        <v>0</v>
      </c>
      <c r="AE103" s="19"/>
      <c r="AF103" s="19"/>
      <c r="AG103" s="19"/>
      <c r="AH103" s="19"/>
      <c r="AI103" s="19"/>
      <c r="AJ103" s="19"/>
      <c r="AK103" s="19"/>
      <c r="AL103" s="19"/>
      <c r="AM103" s="19"/>
      <c r="AN103" s="19"/>
      <c r="AO103" s="19"/>
      <c r="AP103" s="19"/>
      <c r="AQ103" s="19"/>
      <c r="AR103" s="19"/>
      <c r="AS103" s="19"/>
      <c r="AT103" s="19"/>
      <c r="AU103" s="19"/>
      <c r="AV103" s="19"/>
      <c r="AW103" s="19"/>
      <c r="AX103" s="19"/>
      <c r="AY103" s="19"/>
      <c r="AZ103" s="19"/>
      <c r="BA103" s="20" t="s">
        <v>238</v>
      </c>
      <c r="BB103" s="20">
        <v>0</v>
      </c>
      <c r="BC103" s="20">
        <v>0</v>
      </c>
      <c r="BD103" s="20">
        <v>0</v>
      </c>
      <c r="BE103" s="20">
        <v>0</v>
      </c>
      <c r="BF103" s="20">
        <v>0</v>
      </c>
      <c r="BG103" s="20">
        <v>2</v>
      </c>
      <c r="BH103" s="20">
        <v>4</v>
      </c>
      <c r="BI103" s="20">
        <v>2</v>
      </c>
      <c r="BJ103" s="20">
        <v>0</v>
      </c>
      <c r="BK103" s="20">
        <v>0</v>
      </c>
      <c r="BL103" s="20">
        <v>4</v>
      </c>
      <c r="BM103" s="20">
        <v>4</v>
      </c>
      <c r="BN103" s="20">
        <v>8</v>
      </c>
      <c r="BO103" s="20">
        <v>0</v>
      </c>
      <c r="BP103" s="20">
        <v>0</v>
      </c>
      <c r="BQ103" s="20">
        <v>4</v>
      </c>
      <c r="BR103" s="20">
        <v>6</v>
      </c>
      <c r="BS103" s="20">
        <v>10</v>
      </c>
      <c r="BT103" s="20">
        <v>14</v>
      </c>
      <c r="BU103" s="20">
        <v>2</v>
      </c>
      <c r="BV103" s="20">
        <v>6</v>
      </c>
      <c r="BW103" s="20">
        <v>8</v>
      </c>
      <c r="BX103" s="20">
        <v>8</v>
      </c>
      <c r="BY103" s="20">
        <v>16</v>
      </c>
      <c r="BZ103" s="20">
        <v>4</v>
      </c>
      <c r="CA103" s="20">
        <v>8</v>
      </c>
      <c r="DA103" s="17"/>
      <c r="DB103" s="17"/>
      <c r="DC103" s="17"/>
      <c r="DD103" s="19" t="s">
        <v>179</v>
      </c>
      <c r="DE103" s="19">
        <v>0</v>
      </c>
      <c r="DF103" s="19">
        <v>0</v>
      </c>
      <c r="DG103" s="19">
        <v>4</v>
      </c>
      <c r="DH103" s="19">
        <v>4</v>
      </c>
      <c r="DI103" s="19">
        <v>8</v>
      </c>
      <c r="DJ103" s="19">
        <v>8</v>
      </c>
      <c r="DK103" s="19">
        <v>12</v>
      </c>
      <c r="DL103" s="19">
        <v>16</v>
      </c>
      <c r="DM103" s="19">
        <v>16</v>
      </c>
      <c r="DN103" s="19">
        <v>20</v>
      </c>
      <c r="DO103" s="19">
        <v>20</v>
      </c>
      <c r="DP103" s="19">
        <v>24</v>
      </c>
      <c r="DQ103" s="19">
        <v>24</v>
      </c>
      <c r="DR103" s="19">
        <v>28</v>
      </c>
      <c r="DS103" s="19">
        <v>32</v>
      </c>
      <c r="DT103" s="19">
        <v>32</v>
      </c>
      <c r="DU103" s="19">
        <v>36</v>
      </c>
      <c r="DV103" s="19">
        <v>36</v>
      </c>
      <c r="DW103" s="19">
        <v>40</v>
      </c>
      <c r="DX103" s="19">
        <v>44</v>
      </c>
      <c r="DY103" s="19">
        <v>44</v>
      </c>
      <c r="DZ103" s="19"/>
      <c r="EA103" s="19"/>
      <c r="EB103" s="19"/>
      <c r="GC103" s="19"/>
      <c r="GD103" s="19"/>
      <c r="GE103" s="26" t="s">
        <v>238</v>
      </c>
      <c r="GF103" s="19">
        <v>0</v>
      </c>
      <c r="GG103" s="19">
        <v>0</v>
      </c>
      <c r="GH103" s="19">
        <v>0</v>
      </c>
      <c r="GI103" s="19">
        <v>4</v>
      </c>
      <c r="GJ103" s="19">
        <v>4</v>
      </c>
      <c r="GK103" s="19">
        <v>4</v>
      </c>
      <c r="GL103" s="19">
        <v>8</v>
      </c>
      <c r="GM103" s="19">
        <v>6</v>
      </c>
      <c r="GN103" s="19">
        <v>8</v>
      </c>
      <c r="GO103" s="19">
        <v>10</v>
      </c>
      <c r="GP103" s="19">
        <v>12</v>
      </c>
      <c r="GQ103" s="19">
        <v>0</v>
      </c>
      <c r="GR103" s="19">
        <v>12</v>
      </c>
      <c r="GS103" s="19">
        <v>2</v>
      </c>
      <c r="GT103" s="19">
        <v>2</v>
      </c>
      <c r="GU103" s="19">
        <v>18</v>
      </c>
      <c r="GV103" s="19">
        <v>6</v>
      </c>
      <c r="GW103" s="19">
        <v>14</v>
      </c>
      <c r="GX103" s="19">
        <v>22</v>
      </c>
      <c r="GY103" s="19">
        <v>10</v>
      </c>
      <c r="GZ103" s="19">
        <v>10</v>
      </c>
      <c r="HA103" s="19">
        <v>26</v>
      </c>
      <c r="HB103" s="19">
        <v>20</v>
      </c>
      <c r="HC103" s="19">
        <v>0</v>
      </c>
      <c r="HD103" s="19">
        <v>30</v>
      </c>
      <c r="HE103" s="19">
        <v>30</v>
      </c>
      <c r="HF103" s="19">
        <v>4</v>
      </c>
      <c r="HG103" s="19">
        <v>32</v>
      </c>
      <c r="HH103" s="19">
        <v>20</v>
      </c>
      <c r="HI103" s="19">
        <v>8</v>
      </c>
      <c r="HJ103" s="19">
        <v>36</v>
      </c>
      <c r="HK103" s="19">
        <v>24</v>
      </c>
      <c r="HL103" s="19">
        <v>28</v>
      </c>
      <c r="HM103" s="19">
        <v>40</v>
      </c>
      <c r="HN103" s="19">
        <v>28</v>
      </c>
      <c r="HO103" s="19">
        <v>28</v>
      </c>
      <c r="HP103" s="19">
        <v>44</v>
      </c>
      <c r="HQ103" s="19">
        <v>48</v>
      </c>
      <c r="HR103" s="19">
        <v>32</v>
      </c>
      <c r="HS103" s="19">
        <v>48</v>
      </c>
      <c r="HT103" s="19">
        <v>48</v>
      </c>
      <c r="HU103" s="19">
        <v>54</v>
      </c>
      <c r="HV103" s="19">
        <v>52</v>
      </c>
      <c r="HW103" s="19">
        <v>52</v>
      </c>
      <c r="HX103" s="19">
        <v>58</v>
      </c>
      <c r="HY103" s="19">
        <v>54</v>
      </c>
      <c r="HZ103" s="19">
        <v>42</v>
      </c>
      <c r="IA103" s="19">
        <v>62</v>
      </c>
      <c r="IB103" s="19">
        <v>58</v>
      </c>
      <c r="IC103" s="19">
        <v>46</v>
      </c>
      <c r="ID103" s="19">
        <v>66</v>
      </c>
    </row>
    <row r="104" spans="1:238" x14ac:dyDescent="0.25">
      <c r="A104" s="8"/>
      <c r="B104" s="5" t="s">
        <v>61</v>
      </c>
      <c r="C104" s="8"/>
      <c r="D104" s="4"/>
      <c r="E104" s="4"/>
      <c r="F104" s="4"/>
      <c r="G104" s="4"/>
      <c r="H104" s="4"/>
      <c r="I104" s="4"/>
      <c r="J104" s="4"/>
      <c r="K104" s="4"/>
      <c r="L104" s="6" t="str">
        <f>IF(E95=$AC$1,INDEX(($AP$28:$AP$37,$AP$42:$AP$51,$AP$56:$AP$65),MATCH(I92,$AM$28:$AM$37,0),1,MATCH(E99,$AK$22:$AK$24,0)),IF(E95=$AC$2,INDEX(($AV$28:$AV$37,$AV$42:$AV$51,$AV$56:$AV$65),MATCH(I92,$AS$28:$AS$37,0),1,MATCH(E99,$AK$22:$AK$24,0)),0))</f>
        <v>SAM8X30E</v>
      </c>
      <c r="M104" s="14">
        <f>INDEX(cenník!$C$2:$I$568,MATCH($L104,cenník!$B$2:$B$557,0),MATCH(M$24,cenník!$C$1:$I$1,0))</f>
        <v>898530</v>
      </c>
      <c r="N104" s="14" t="str">
        <f>INDEX(cenník!$C$2:$I$568,MATCH($L104,cenník!$B$2:$B$557,0),MATCH(N$24,cenník!$C$1:$I$1,0))</f>
        <v>ks</v>
      </c>
      <c r="O104" s="14">
        <f>IF(AE101="suma",SUM(O102:O103),IF(AE101="len buff",O102,IF(AE101=0,0,0)))</f>
        <v>0</v>
      </c>
      <c r="P104" s="21">
        <f>INDEX(cenník!$C$2:$I$568,MATCH($L104,cenník!$B$2:$B$557,0),MATCH(P$24,cenník!$C$1:$I$1,0))</f>
        <v>0.18</v>
      </c>
      <c r="Q104" s="21">
        <f t="shared" si="44"/>
        <v>0</v>
      </c>
      <c r="R104" s="22">
        <f t="shared" si="41"/>
        <v>0</v>
      </c>
      <c r="S104" s="21">
        <f t="shared" si="42"/>
        <v>0.18</v>
      </c>
      <c r="T104" s="21">
        <f t="shared" si="43"/>
        <v>0</v>
      </c>
      <c r="U104" s="21">
        <f>INDEX(cenník!$C$2:$I$568,MATCH($L104,cenník!$B$2:$B$557,0),MATCH(U$24,cenník!$C$1:$I$1,0))*O104</f>
        <v>0</v>
      </c>
      <c r="V104" s="19"/>
      <c r="W104" s="19"/>
      <c r="X104" s="25"/>
      <c r="Y104" s="25"/>
      <c r="Z104" s="25"/>
      <c r="AA104" s="25"/>
      <c r="AB104" s="25"/>
      <c r="AC104" s="25"/>
      <c r="AD104" s="25"/>
      <c r="AE104" s="19"/>
      <c r="AF104" s="19"/>
      <c r="AG104" s="19"/>
      <c r="AH104" s="19"/>
      <c r="AI104" s="19"/>
      <c r="AJ104" s="19"/>
      <c r="AK104" s="19"/>
      <c r="AL104" s="19"/>
      <c r="AM104" s="19"/>
      <c r="AN104" s="19"/>
      <c r="AO104" s="19"/>
      <c r="AP104" s="19"/>
      <c r="AQ104" s="19"/>
      <c r="AR104" s="19"/>
      <c r="AS104" s="19"/>
      <c r="AT104" s="19"/>
      <c r="AU104" s="19"/>
      <c r="AV104" s="19"/>
      <c r="AW104" s="19"/>
      <c r="AX104" s="19"/>
      <c r="AY104" s="19"/>
      <c r="AZ104" s="19"/>
      <c r="BA104" s="20" t="s">
        <v>239</v>
      </c>
      <c r="BB104" s="20">
        <v>0</v>
      </c>
      <c r="BC104" s="20">
        <v>0</v>
      </c>
      <c r="BD104" s="20">
        <v>0</v>
      </c>
      <c r="BE104" s="20">
        <v>4</v>
      </c>
      <c r="BF104" s="20">
        <v>4</v>
      </c>
      <c r="BG104" s="20">
        <v>4</v>
      </c>
      <c r="BH104" s="20">
        <v>8</v>
      </c>
      <c r="BI104" s="20">
        <v>16</v>
      </c>
      <c r="BJ104" s="20">
        <v>12</v>
      </c>
      <c r="BK104" s="20">
        <v>12</v>
      </c>
      <c r="BL104" s="20">
        <v>12</v>
      </c>
      <c r="BM104" s="20">
        <v>16</v>
      </c>
      <c r="BN104" s="20">
        <v>16</v>
      </c>
      <c r="BO104" s="20">
        <v>20</v>
      </c>
      <c r="BP104" s="20">
        <v>20</v>
      </c>
      <c r="BQ104" s="20">
        <v>20</v>
      </c>
      <c r="BR104" s="20">
        <v>24</v>
      </c>
      <c r="BS104" s="20">
        <v>24</v>
      </c>
      <c r="BT104" s="20">
        <v>24</v>
      </c>
      <c r="BU104" s="20">
        <v>28</v>
      </c>
      <c r="BV104" s="20">
        <v>28</v>
      </c>
      <c r="BW104" s="20">
        <v>32</v>
      </c>
      <c r="BX104" s="20">
        <v>32</v>
      </c>
      <c r="BY104" s="20">
        <v>32</v>
      </c>
      <c r="BZ104" s="20">
        <v>36</v>
      </c>
      <c r="CA104" s="20">
        <v>36</v>
      </c>
      <c r="DA104" s="17"/>
      <c r="DB104" s="17"/>
      <c r="DC104" s="17"/>
      <c r="DD104" s="19" t="s">
        <v>236</v>
      </c>
      <c r="DE104" s="19">
        <v>0</v>
      </c>
      <c r="DF104" s="19">
        <v>2</v>
      </c>
      <c r="DG104" s="19">
        <v>4</v>
      </c>
      <c r="DH104" s="19">
        <v>0</v>
      </c>
      <c r="DI104" s="19">
        <v>2</v>
      </c>
      <c r="DJ104" s="19">
        <v>0</v>
      </c>
      <c r="DK104" s="19">
        <v>2</v>
      </c>
      <c r="DL104" s="19">
        <v>4</v>
      </c>
      <c r="DM104" s="19">
        <v>0</v>
      </c>
      <c r="DN104" s="19">
        <v>4</v>
      </c>
      <c r="DO104" s="19">
        <v>0</v>
      </c>
      <c r="DP104" s="19">
        <v>2</v>
      </c>
      <c r="DQ104" s="19">
        <v>0</v>
      </c>
      <c r="DR104" s="19">
        <v>2</v>
      </c>
      <c r="DS104" s="19">
        <v>4</v>
      </c>
      <c r="DT104" s="19">
        <v>0</v>
      </c>
      <c r="DU104" s="19">
        <v>4</v>
      </c>
      <c r="DV104" s="19">
        <v>0</v>
      </c>
      <c r="DW104" s="19">
        <v>2</v>
      </c>
      <c r="DX104" s="19">
        <v>4</v>
      </c>
      <c r="DY104" s="19">
        <v>2</v>
      </c>
      <c r="DZ104" s="19"/>
      <c r="EA104" s="19"/>
      <c r="EB104" s="19"/>
      <c r="GC104" s="19"/>
      <c r="GD104" s="19"/>
      <c r="GE104" s="26" t="s">
        <v>239</v>
      </c>
      <c r="GF104" s="19">
        <v>0</v>
      </c>
      <c r="GG104" s="19">
        <v>4</v>
      </c>
      <c r="GH104" s="19">
        <v>4</v>
      </c>
      <c r="GI104" s="19">
        <v>4</v>
      </c>
      <c r="GJ104" s="19">
        <v>8</v>
      </c>
      <c r="GK104" s="19">
        <v>12</v>
      </c>
      <c r="GL104" s="19">
        <v>12</v>
      </c>
      <c r="GM104" s="19">
        <v>16</v>
      </c>
      <c r="GN104" s="19">
        <v>20</v>
      </c>
      <c r="GO104" s="19">
        <v>20</v>
      </c>
      <c r="GP104" s="19">
        <v>24</v>
      </c>
      <c r="GQ104" s="19">
        <v>28</v>
      </c>
      <c r="GR104" s="19">
        <v>28</v>
      </c>
      <c r="GS104" s="19">
        <v>32</v>
      </c>
      <c r="GT104" s="19">
        <v>36</v>
      </c>
      <c r="GU104" s="19">
        <v>36</v>
      </c>
      <c r="GV104" s="19">
        <v>40</v>
      </c>
      <c r="GW104" s="19">
        <v>44</v>
      </c>
      <c r="GX104" s="19">
        <v>44</v>
      </c>
      <c r="GY104" s="19">
        <v>48</v>
      </c>
      <c r="GZ104" s="19">
        <v>52</v>
      </c>
      <c r="HA104" s="19">
        <v>52</v>
      </c>
      <c r="HB104" s="19">
        <v>56</v>
      </c>
      <c r="HC104" s="19">
        <v>60</v>
      </c>
      <c r="HD104" s="19">
        <v>60</v>
      </c>
      <c r="HE104" s="19">
        <v>64</v>
      </c>
      <c r="HF104" s="19">
        <v>68</v>
      </c>
      <c r="HG104" s="19">
        <v>68</v>
      </c>
      <c r="HH104" s="19">
        <v>72</v>
      </c>
      <c r="HI104" s="19">
        <v>76</v>
      </c>
      <c r="HJ104" s="19">
        <v>76</v>
      </c>
      <c r="HK104" s="19">
        <v>80</v>
      </c>
      <c r="HL104" s="19">
        <v>84</v>
      </c>
      <c r="HM104" s="19">
        <v>84</v>
      </c>
      <c r="HN104" s="19">
        <v>88</v>
      </c>
      <c r="HO104" s="19">
        <v>92</v>
      </c>
      <c r="HP104" s="19">
        <v>92</v>
      </c>
      <c r="HQ104" s="19">
        <v>96</v>
      </c>
      <c r="HR104" s="19">
        <v>100</v>
      </c>
      <c r="HS104" s="19">
        <v>100</v>
      </c>
      <c r="HT104" s="19">
        <v>104</v>
      </c>
      <c r="HU104" s="19">
        <v>104</v>
      </c>
      <c r="HV104" s="19">
        <v>108</v>
      </c>
      <c r="HW104" s="19">
        <v>112</v>
      </c>
      <c r="HX104" s="19">
        <v>112</v>
      </c>
      <c r="HY104" s="19">
        <v>116</v>
      </c>
      <c r="HZ104" s="19">
        <v>120</v>
      </c>
      <c r="IA104" s="19">
        <v>120</v>
      </c>
      <c r="IB104" s="19">
        <v>124</v>
      </c>
      <c r="IC104" s="19">
        <v>128</v>
      </c>
      <c r="ID104" s="19">
        <v>128</v>
      </c>
    </row>
    <row r="105" spans="1:238" x14ac:dyDescent="0.25">
      <c r="A105" s="8"/>
      <c r="B105" s="5" t="s">
        <v>61</v>
      </c>
      <c r="C105" s="8"/>
      <c r="D105" s="4"/>
      <c r="E105" s="4"/>
      <c r="F105" s="4"/>
      <c r="G105" s="4"/>
      <c r="H105" s="4"/>
      <c r="I105" s="4"/>
      <c r="J105" s="4"/>
      <c r="K105" s="4"/>
      <c r="L105" s="6" t="str">
        <f>IF(E95=$AC$1,INDEX(($AQ$28:$AQ$37,$AQ$42:$AQ$51,$AQ$56:$AQ$65),MATCH(I92,$AM$28:$AM$37,0),1,MATCH(E99,$AK$22:$AK$24,0)),IF(E95=$AC$2,INDEX(($AW$28:$AW$37,$AW$42:$AW$51,$AW$56:$AW$65),MATCH(I92,$AS$28:$AS$37,0),1,MATCH(E99,$AK$22:$AK$24,0)),0))</f>
        <v>NRM8F</v>
      </c>
      <c r="M105" s="14">
        <f>INDEX(cenník!$C$2:$I$568,MATCH($L105,cenník!$B$2:$B$557,0),MATCH(M$24,cenník!$C$1:$I$1,0))</f>
        <v>890101</v>
      </c>
      <c r="N105" s="14" t="str">
        <f>INDEX(cenník!$C$2:$I$568,MATCH($L105,cenník!$B$2:$B$557,0),MATCH(N$24,cenník!$C$1:$I$1,0))</f>
        <v>ks</v>
      </c>
      <c r="O105" s="14">
        <f>O104</f>
        <v>0</v>
      </c>
      <c r="P105" s="21">
        <f>INDEX(cenník!$C$2:$I$568,MATCH($L105,cenník!$B$2:$B$557,0),MATCH(P$24,cenník!$C$1:$I$1,0))</f>
        <v>0.78</v>
      </c>
      <c r="Q105" s="21">
        <f t="shared" si="44"/>
        <v>0</v>
      </c>
      <c r="R105" s="22">
        <f t="shared" si="41"/>
        <v>0</v>
      </c>
      <c r="S105" s="21">
        <f t="shared" si="42"/>
        <v>0.78</v>
      </c>
      <c r="T105" s="21">
        <f t="shared" si="43"/>
        <v>0</v>
      </c>
      <c r="U105" s="21">
        <f>INDEX(cenník!$C$2:$I$568,MATCH($L105,cenník!$B$2:$B$557,0),MATCH(U$24,cenník!$C$1:$I$1,0))*O105</f>
        <v>0</v>
      </c>
      <c r="V105" s="19"/>
      <c r="W105" s="19"/>
      <c r="X105" s="28" t="s">
        <v>119</v>
      </c>
      <c r="Y105" s="19"/>
      <c r="Z105" s="19"/>
      <c r="AA105" s="19"/>
      <c r="AB105" s="19"/>
      <c r="AC105" s="19"/>
      <c r="AD105" s="19"/>
      <c r="AE105" s="19"/>
      <c r="AF105" s="19"/>
      <c r="AG105" s="19"/>
      <c r="AH105" s="19"/>
      <c r="AI105" s="19"/>
      <c r="AJ105" s="19"/>
      <c r="AK105" s="19"/>
      <c r="AL105" s="19"/>
      <c r="AM105" s="19"/>
      <c r="AN105" s="19"/>
      <c r="AO105" s="19"/>
      <c r="AP105" s="19"/>
      <c r="AQ105" s="19"/>
      <c r="AR105" s="19"/>
      <c r="AS105" s="19"/>
      <c r="AT105" s="19"/>
      <c r="AU105" s="19"/>
      <c r="AV105" s="19"/>
      <c r="AW105" s="19"/>
      <c r="AX105" s="19"/>
      <c r="AY105" s="19"/>
      <c r="AZ105" s="19"/>
      <c r="BA105" s="20" t="s">
        <v>326</v>
      </c>
      <c r="BB105" s="20">
        <v>0</v>
      </c>
      <c r="BC105" s="20">
        <v>2</v>
      </c>
      <c r="BD105" s="20">
        <v>0</v>
      </c>
      <c r="BE105" s="20">
        <v>4</v>
      </c>
      <c r="BF105" s="20">
        <v>2</v>
      </c>
      <c r="BG105" s="20">
        <v>0</v>
      </c>
      <c r="BH105" s="20">
        <v>4</v>
      </c>
      <c r="BI105" s="20">
        <v>0</v>
      </c>
      <c r="BJ105" s="20">
        <v>4</v>
      </c>
      <c r="BK105" s="20">
        <v>2</v>
      </c>
      <c r="BL105" s="20">
        <v>0</v>
      </c>
      <c r="BM105" s="20">
        <v>4</v>
      </c>
      <c r="BN105" s="20">
        <v>2</v>
      </c>
      <c r="BO105" s="20">
        <v>4</v>
      </c>
      <c r="BP105" s="20">
        <v>2</v>
      </c>
      <c r="BQ105" s="20">
        <v>0</v>
      </c>
      <c r="BR105" s="20">
        <v>4</v>
      </c>
      <c r="BS105" s="20">
        <v>2</v>
      </c>
      <c r="BT105" s="20">
        <v>0</v>
      </c>
      <c r="BU105" s="20">
        <v>4</v>
      </c>
      <c r="BV105" s="20">
        <v>0</v>
      </c>
      <c r="BW105" s="20">
        <v>4</v>
      </c>
      <c r="BX105" s="20">
        <v>2</v>
      </c>
      <c r="BY105" s="20">
        <v>0</v>
      </c>
      <c r="BZ105" s="20">
        <v>4</v>
      </c>
      <c r="CA105" s="20">
        <v>2</v>
      </c>
      <c r="DA105" s="17"/>
      <c r="DB105" s="17"/>
      <c r="DC105" s="17"/>
      <c r="DD105" s="19" t="s">
        <v>238</v>
      </c>
      <c r="DE105" s="19">
        <v>0</v>
      </c>
      <c r="DF105" s="19">
        <v>0</v>
      </c>
      <c r="DG105" s="19">
        <v>0</v>
      </c>
      <c r="DH105" s="19">
        <v>4</v>
      </c>
      <c r="DI105" s="19">
        <v>4</v>
      </c>
      <c r="DJ105" s="19">
        <v>6</v>
      </c>
      <c r="DK105" s="19">
        <v>6</v>
      </c>
      <c r="DL105" s="19">
        <v>6</v>
      </c>
      <c r="DM105" s="19">
        <v>10</v>
      </c>
      <c r="DN105" s="19">
        <v>8</v>
      </c>
      <c r="DO105" s="19">
        <v>12</v>
      </c>
      <c r="DP105" s="19">
        <v>12</v>
      </c>
      <c r="DQ105" s="19">
        <v>14</v>
      </c>
      <c r="DR105" s="19">
        <v>14</v>
      </c>
      <c r="DS105" s="19">
        <v>14</v>
      </c>
      <c r="DT105" s="19">
        <v>18</v>
      </c>
      <c r="DU105" s="19">
        <v>16</v>
      </c>
      <c r="DV105" s="19">
        <v>20</v>
      </c>
      <c r="DW105" s="19">
        <v>20</v>
      </c>
      <c r="DX105" s="19">
        <v>20</v>
      </c>
      <c r="DY105" s="19">
        <v>22</v>
      </c>
      <c r="DZ105" s="19"/>
      <c r="EA105" s="19"/>
      <c r="EB105" s="19"/>
      <c r="GC105" s="19"/>
      <c r="GD105" s="19"/>
      <c r="GE105" s="26" t="s">
        <v>326</v>
      </c>
      <c r="GF105" s="19">
        <v>0</v>
      </c>
      <c r="GG105" s="19">
        <v>0</v>
      </c>
      <c r="GH105" s="19">
        <v>4</v>
      </c>
      <c r="GI105" s="19">
        <v>0</v>
      </c>
      <c r="GJ105" s="19">
        <v>2</v>
      </c>
      <c r="GK105" s="19">
        <v>4</v>
      </c>
      <c r="GL105" s="19">
        <v>0</v>
      </c>
      <c r="GM105" s="19">
        <v>2</v>
      </c>
      <c r="GN105" s="19">
        <v>4</v>
      </c>
      <c r="GO105" s="19">
        <v>0</v>
      </c>
      <c r="GP105" s="19">
        <v>2</v>
      </c>
      <c r="GQ105" s="19">
        <v>4</v>
      </c>
      <c r="GR105" s="19">
        <v>0</v>
      </c>
      <c r="GS105" s="19">
        <v>2</v>
      </c>
      <c r="GT105" s="19">
        <v>4</v>
      </c>
      <c r="GU105" s="19">
        <v>0</v>
      </c>
      <c r="GV105" s="19">
        <v>2</v>
      </c>
      <c r="GW105" s="19">
        <v>4</v>
      </c>
      <c r="GX105" s="19">
        <v>0</v>
      </c>
      <c r="GY105" s="19">
        <v>2</v>
      </c>
      <c r="GZ105" s="19">
        <v>4</v>
      </c>
      <c r="HA105" s="19">
        <v>0</v>
      </c>
      <c r="HB105" s="19">
        <v>2</v>
      </c>
      <c r="HC105" s="19">
        <v>4</v>
      </c>
      <c r="HD105" s="19">
        <v>0</v>
      </c>
      <c r="HE105" s="19">
        <v>2</v>
      </c>
      <c r="HF105" s="19"/>
      <c r="HG105" s="19"/>
      <c r="HH105" s="19"/>
      <c r="HI105" s="19"/>
      <c r="HJ105" s="19"/>
      <c r="HK105" s="19"/>
      <c r="HL105" s="19"/>
      <c r="HM105" s="19"/>
      <c r="HN105" s="19"/>
      <c r="HO105" s="19"/>
      <c r="HP105" s="19"/>
      <c r="HQ105" s="19"/>
      <c r="HR105" s="19"/>
      <c r="HS105" s="19"/>
      <c r="HT105" s="19"/>
      <c r="HU105" s="19"/>
      <c r="HV105" s="19"/>
      <c r="HW105" s="19"/>
      <c r="HX105" s="19"/>
      <c r="HY105" s="19"/>
      <c r="HZ105" s="19"/>
      <c r="IA105" s="19"/>
      <c r="IB105" s="19"/>
      <c r="IC105" s="19"/>
      <c r="ID105" s="19"/>
    </row>
    <row r="106" spans="1:238" x14ac:dyDescent="0.25">
      <c r="A106" s="8"/>
      <c r="B106" s="5" t="s">
        <v>61</v>
      </c>
      <c r="C106" s="8"/>
      <c r="D106" s="4"/>
      <c r="E106" s="4"/>
      <c r="F106" s="4"/>
      <c r="G106" s="4"/>
      <c r="H106" s="4"/>
      <c r="I106" s="4"/>
      <c r="J106" s="4"/>
      <c r="K106" s="4"/>
      <c r="L106" s="6" t="str">
        <f>IF(L103="PUFK","PUPK",IF(L103="PUFKL","PUPK","PUP"))</f>
        <v>PUP</v>
      </c>
      <c r="M106" s="14">
        <f>INDEX(cenník!$C$2:$I$568,MATCH($L106,cenník!$B$2:$B$557,0),MATCH(M$24,cenník!$C$1:$I$1,0))</f>
        <v>897303</v>
      </c>
      <c r="N106" s="14" t="str">
        <f>INDEX(cenník!$C$2:$I$568,MATCH($L106,cenník!$B$2:$B$557,0),MATCH(N$24,cenník!$C$1:$I$1,0))</f>
        <v>ks</v>
      </c>
      <c r="O106" s="14">
        <f>SUM((IF(MOD(A91,2)=0,A91/2,IF(MOD(A91,2)=1,FLOOR(A91/2,1)+1,0))*C91),(IF(MOD(A92,2)=0,A92/2,IF(MOD(A92,2)=1,FLOOR(A92/2,1)+1,0))*C92),(IF(MOD(A93,2)=0,A93/2,IF(MOD(A93,2)=1,FLOOR(A93/2,1)+1,0))*C93),(IF(MOD(A94,2)=0,A94/2,IF(MOD(A94,2)=1,FLOOR(A94/2,1)+1,0))*C94),(IF(MOD(A95,2)=0,A95/2,IF(MOD(A95,2)=1,FLOOR(A95/2,1)+1,0))*C95),(IF(MOD(A96,2)=0,A96/2,IF(MOD(A96,2)=1,FLOOR(A96/2,1)+1,0))*C96),(IF(MOD(A97,2)=0,A97/2,IF(MOD(A97,2)=1,FLOOR(A97/2,1)+1,0))*C97),(IF(MOD(A98,2)=0,A98/2,IF(MOD(A98,2)=1,FLOOR(A98/2,1)+1,0))*C98),(IF(MOD(A99,2)=0,A99/2,IF(MOD(A99,2)=1,FLOOR(A99/2,1)+1,0))*C99),(IF(MOD(A100,2)=0,A100/2,IF(MOD(A100,2)=1,FLOOR(A100/2,1)+1,0))*C100),(IF(MOD(A101,2)=0,A101/2,IF(MOD(A101,2)=1,FLOOR(A101/2,1)+1,0))*C101),(IF(MOD(A102,2)=0,A102/2,IF(MOD(A102,2)=1,FLOOR(A102/2,1)+1,0))*C102),(IF(MOD(A103,2)=0,A103/2,IF(MOD(A103,2)=1,FLOOR(A103/2,1)+1,0))*C103),(IF(MOD(A104,2)=0,A104/2,IF(MOD(A104,2)=1,FLOOR(A104/2,1)+1,0))*C104),(IF(MOD(A105,2)=0,A105/2,IF(MOD(A105,2)=1,FLOOR(A105/2,1)+1,0))*C105),(IF(MOD(A106,2)=0,A106/2,IF(MOD(A106,2)=1,FLOOR(A106/2,1)+1,0))*C106))</f>
        <v>0</v>
      </c>
      <c r="P106" s="21">
        <f>INDEX(cenník!$C$2:$I$568,MATCH($L106,cenník!$B$2:$B$557,0),MATCH(P$24,cenník!$C$1:$I$1,0))</f>
        <v>0.83</v>
      </c>
      <c r="Q106" s="21">
        <f t="shared" si="44"/>
        <v>0</v>
      </c>
      <c r="R106" s="22">
        <f t="shared" si="41"/>
        <v>0</v>
      </c>
      <c r="S106" s="21">
        <f t="shared" si="42"/>
        <v>0.83</v>
      </c>
      <c r="T106" s="21">
        <f t="shared" si="43"/>
        <v>0</v>
      </c>
      <c r="U106" s="21">
        <f>INDEX(cenník!$C$2:$I$568,MATCH($L106,cenník!$B$2:$B$557,0),MATCH(U$24,cenník!$C$1:$I$1,0))*O106</f>
        <v>0</v>
      </c>
      <c r="V106" s="19"/>
      <c r="W106" s="19"/>
      <c r="X106" s="25">
        <f t="shared" ref="X106:X121" si="47">IF(A113=0,0,IF(A113&gt;0,(A113+1)*2)*C113)</f>
        <v>0</v>
      </c>
      <c r="Y106" s="19"/>
      <c r="Z106" s="26" t="s">
        <v>463</v>
      </c>
      <c r="AA106" s="26" t="s">
        <v>462</v>
      </c>
      <c r="AB106" s="19"/>
      <c r="AC106" s="19"/>
      <c r="AD106" s="19" t="s">
        <v>4</v>
      </c>
      <c r="AE106" s="19"/>
      <c r="AF106" s="19"/>
      <c r="AG106" s="19"/>
      <c r="AH106" s="19"/>
      <c r="AI106" s="19"/>
      <c r="AJ106" s="19"/>
      <c r="AK106" s="19"/>
      <c r="AL106" s="19"/>
      <c r="AM106" s="19"/>
      <c r="AN106" s="19"/>
      <c r="AO106" s="19"/>
      <c r="AP106" s="19"/>
      <c r="AQ106" s="19"/>
      <c r="AR106" s="19"/>
      <c r="AS106" s="19"/>
      <c r="AT106" s="19"/>
      <c r="AU106" s="19"/>
      <c r="AV106" s="19"/>
      <c r="AW106" s="19"/>
      <c r="AX106" s="19"/>
      <c r="AY106" s="19"/>
      <c r="AZ106" s="19"/>
      <c r="BA106" s="20" t="s">
        <v>327</v>
      </c>
      <c r="BB106" s="20">
        <v>0</v>
      </c>
      <c r="BC106" s="20">
        <v>0</v>
      </c>
      <c r="BD106" s="20">
        <v>2</v>
      </c>
      <c r="BE106" s="20">
        <v>0</v>
      </c>
      <c r="BF106" s="20">
        <v>2</v>
      </c>
      <c r="BG106" s="20">
        <v>4</v>
      </c>
      <c r="BH106" s="20">
        <v>2</v>
      </c>
      <c r="BI106" s="20">
        <v>6</v>
      </c>
      <c r="BJ106" s="20">
        <v>4</v>
      </c>
      <c r="BK106" s="20">
        <v>6</v>
      </c>
      <c r="BL106" s="20">
        <v>8</v>
      </c>
      <c r="BM106" s="20">
        <v>6</v>
      </c>
      <c r="BN106" s="20">
        <v>8</v>
      </c>
      <c r="BO106" s="20">
        <v>8</v>
      </c>
      <c r="BP106" s="20">
        <v>10</v>
      </c>
      <c r="BQ106" s="20">
        <v>12</v>
      </c>
      <c r="BR106" s="20">
        <v>10</v>
      </c>
      <c r="BS106" s="20">
        <v>12</v>
      </c>
      <c r="BT106" s="20">
        <v>14</v>
      </c>
      <c r="BU106" s="20">
        <v>12</v>
      </c>
      <c r="BV106" s="20">
        <v>16</v>
      </c>
      <c r="BW106" s="20">
        <v>14</v>
      </c>
      <c r="BX106" s="20">
        <v>16</v>
      </c>
      <c r="BY106" s="20">
        <v>18</v>
      </c>
      <c r="BZ106" s="20">
        <v>16</v>
      </c>
      <c r="CA106" s="20">
        <v>18</v>
      </c>
      <c r="DA106" s="17"/>
      <c r="DB106" s="17"/>
      <c r="DC106" s="17"/>
      <c r="DD106" s="19" t="s">
        <v>239</v>
      </c>
      <c r="DE106" s="19">
        <v>0</v>
      </c>
      <c r="DF106" s="19">
        <v>0</v>
      </c>
      <c r="DG106" s="19">
        <v>4</v>
      </c>
      <c r="DH106" s="19">
        <v>4</v>
      </c>
      <c r="DI106" s="19">
        <v>8</v>
      </c>
      <c r="DJ106" s="19">
        <v>8</v>
      </c>
      <c r="DK106" s="19">
        <v>12</v>
      </c>
      <c r="DL106" s="19">
        <v>16</v>
      </c>
      <c r="DM106" s="19">
        <v>16</v>
      </c>
      <c r="DN106" s="19">
        <v>20</v>
      </c>
      <c r="DO106" s="19">
        <v>20</v>
      </c>
      <c r="DP106" s="19">
        <v>24</v>
      </c>
      <c r="DQ106" s="19">
        <v>24</v>
      </c>
      <c r="DR106" s="19">
        <v>28</v>
      </c>
      <c r="DS106" s="19">
        <v>32</v>
      </c>
      <c r="DT106" s="19">
        <v>32</v>
      </c>
      <c r="DU106" s="19">
        <v>36</v>
      </c>
      <c r="DV106" s="19">
        <v>36</v>
      </c>
      <c r="DW106" s="19">
        <v>40</v>
      </c>
      <c r="DX106" s="19">
        <v>44</v>
      </c>
      <c r="DY106" s="19">
        <v>44</v>
      </c>
      <c r="DZ106" s="19"/>
      <c r="EA106" s="19"/>
      <c r="EB106" s="19"/>
      <c r="GC106" s="19"/>
      <c r="GD106" s="19"/>
      <c r="GE106" s="26" t="s">
        <v>327</v>
      </c>
      <c r="GF106" s="19">
        <v>0</v>
      </c>
      <c r="GG106" s="19">
        <v>2</v>
      </c>
      <c r="GH106" s="19">
        <v>0</v>
      </c>
      <c r="GI106" s="19">
        <v>4</v>
      </c>
      <c r="GJ106" s="19">
        <v>4</v>
      </c>
      <c r="GK106" s="19">
        <v>4</v>
      </c>
      <c r="GL106" s="19">
        <v>8</v>
      </c>
      <c r="GM106" s="19">
        <v>8</v>
      </c>
      <c r="GN106" s="19">
        <v>8</v>
      </c>
      <c r="GO106" s="19">
        <v>12</v>
      </c>
      <c r="GP106" s="19">
        <v>12</v>
      </c>
      <c r="GQ106" s="19">
        <v>12</v>
      </c>
      <c r="GR106" s="19">
        <v>16</v>
      </c>
      <c r="GS106" s="19">
        <v>16</v>
      </c>
      <c r="GT106" s="19">
        <v>16</v>
      </c>
      <c r="GU106" s="19">
        <v>20</v>
      </c>
      <c r="GV106" s="19">
        <v>20</v>
      </c>
      <c r="GW106" s="19">
        <v>20</v>
      </c>
      <c r="GX106" s="19">
        <v>24</v>
      </c>
      <c r="GY106" s="19">
        <v>24</v>
      </c>
      <c r="GZ106" s="19">
        <v>24</v>
      </c>
      <c r="HA106" s="19">
        <v>28</v>
      </c>
      <c r="HB106" s="19">
        <v>28</v>
      </c>
      <c r="HC106" s="19">
        <v>28</v>
      </c>
      <c r="HD106" s="19">
        <v>32</v>
      </c>
      <c r="HE106" s="19">
        <v>32</v>
      </c>
      <c r="HF106" s="19"/>
      <c r="HG106" s="19"/>
      <c r="HH106" s="19"/>
      <c r="HI106" s="19"/>
      <c r="HJ106" s="19"/>
      <c r="HK106" s="19"/>
      <c r="HL106" s="19"/>
      <c r="HM106" s="19"/>
      <c r="HN106" s="19"/>
      <c r="HO106" s="19"/>
      <c r="HP106" s="19"/>
      <c r="HQ106" s="19"/>
      <c r="HR106" s="19"/>
      <c r="HS106" s="19"/>
      <c r="HT106" s="19"/>
      <c r="HU106" s="19"/>
      <c r="HV106" s="19"/>
      <c r="HW106" s="19"/>
      <c r="HX106" s="19"/>
      <c r="HY106" s="19"/>
      <c r="HZ106" s="19"/>
      <c r="IA106" s="19"/>
      <c r="IB106" s="19"/>
      <c r="IC106" s="19"/>
      <c r="ID106" s="19"/>
    </row>
    <row r="107" spans="1:238" x14ac:dyDescent="0.25">
      <c r="A107" s="4"/>
      <c r="B107" s="6"/>
      <c r="C107" s="4"/>
      <c r="D107" s="4"/>
      <c r="E107" s="4"/>
      <c r="F107" s="4"/>
      <c r="G107" s="4"/>
      <c r="H107" s="4"/>
      <c r="I107" s="4"/>
      <c r="J107" s="4"/>
      <c r="K107" s="4"/>
      <c r="L107" s="6" t="s">
        <v>233</v>
      </c>
      <c r="M107" s="14">
        <f>INDEX(cenník!$C$2:$I$568,MATCH($L107,cenník!$B$2:$B$557,0),MATCH(M$24,cenník!$C$1:$I$1,0))</f>
        <v>808251</v>
      </c>
      <c r="N107" s="14" t="str">
        <f>INDEX(cenník!$C$2:$I$568,MATCH($L107,cenník!$B$2:$B$557,0),MATCH(N$24,cenník!$C$1:$I$1,0))</f>
        <v>ks</v>
      </c>
      <c r="O107" s="14">
        <f>IF(E99=$AK$24,0,E100)</f>
        <v>0</v>
      </c>
      <c r="P107" s="21">
        <f>INDEX(cenník!$C$2:$I$568,MATCH($L107,cenník!$B$2:$B$557,0),MATCH(P$24,cenník!$C$1:$I$1,0))</f>
        <v>0.21</v>
      </c>
      <c r="Q107" s="21">
        <f t="shared" si="44"/>
        <v>0</v>
      </c>
      <c r="R107" s="22">
        <f t="shared" si="41"/>
        <v>0</v>
      </c>
      <c r="S107" s="21">
        <f t="shared" si="42"/>
        <v>0.21</v>
      </c>
      <c r="T107" s="21">
        <f t="shared" si="43"/>
        <v>0</v>
      </c>
      <c r="U107" s="21">
        <f>INDEX(cenník!$C$2:$I$568,MATCH($L107,cenník!$B$2:$B$557,0),MATCH(U$24,cenník!$C$1:$I$1,0))*O107</f>
        <v>0</v>
      </c>
      <c r="V107" s="19"/>
      <c r="W107" s="19"/>
      <c r="X107" s="25">
        <f t="shared" si="47"/>
        <v>0</v>
      </c>
      <c r="Y107" s="26" t="s">
        <v>7</v>
      </c>
      <c r="Z107" s="19" t="s">
        <v>448</v>
      </c>
      <c r="AA107" s="19" t="s">
        <v>449</v>
      </c>
      <c r="AB107" s="19"/>
      <c r="AC107" s="19"/>
      <c r="AD107" s="19" t="s">
        <v>309</v>
      </c>
      <c r="AE107" s="19"/>
      <c r="AF107" s="19"/>
      <c r="AG107" s="19"/>
      <c r="AH107" s="19"/>
      <c r="AI107" s="19"/>
      <c r="AJ107" s="19"/>
      <c r="AK107" s="19"/>
      <c r="AL107" s="19"/>
      <c r="AM107" s="19"/>
      <c r="AN107" s="19"/>
      <c r="AO107" s="19"/>
      <c r="AP107" s="19"/>
      <c r="AQ107" s="19"/>
      <c r="AR107" s="19"/>
      <c r="AS107" s="19"/>
      <c r="AT107" s="19"/>
      <c r="AU107" s="19"/>
      <c r="AV107" s="19"/>
      <c r="AW107" s="19"/>
      <c r="AX107" s="19"/>
      <c r="AY107" s="19"/>
      <c r="AZ107" s="19"/>
      <c r="BA107" s="20" t="s">
        <v>328</v>
      </c>
      <c r="BB107" s="20">
        <v>0</v>
      </c>
      <c r="BC107" s="20">
        <v>0</v>
      </c>
      <c r="BD107" s="20">
        <v>0</v>
      </c>
      <c r="BE107" s="20">
        <v>2</v>
      </c>
      <c r="BF107" s="20">
        <v>2</v>
      </c>
      <c r="BG107" s="20">
        <v>2</v>
      </c>
      <c r="BH107" s="20">
        <v>4</v>
      </c>
      <c r="BI107" s="20">
        <v>4</v>
      </c>
      <c r="BJ107" s="20">
        <v>6</v>
      </c>
      <c r="BK107" s="20">
        <v>6</v>
      </c>
      <c r="BL107" s="20">
        <v>6</v>
      </c>
      <c r="BM107" s="20">
        <v>8</v>
      </c>
      <c r="BN107" s="20">
        <v>8</v>
      </c>
      <c r="BO107" s="20">
        <v>10</v>
      </c>
      <c r="BP107" s="20">
        <v>10</v>
      </c>
      <c r="BQ107" s="20">
        <v>10</v>
      </c>
      <c r="BR107" s="20">
        <v>12</v>
      </c>
      <c r="BS107" s="20">
        <v>12</v>
      </c>
      <c r="BT107" s="20">
        <v>12</v>
      </c>
      <c r="BU107" s="20">
        <v>14</v>
      </c>
      <c r="BV107" s="20">
        <v>14</v>
      </c>
      <c r="BW107" s="20">
        <v>16</v>
      </c>
      <c r="BX107" s="20">
        <v>16</v>
      </c>
      <c r="BY107" s="20">
        <v>16</v>
      </c>
      <c r="BZ107" s="20">
        <v>18</v>
      </c>
      <c r="CA107" s="20">
        <v>18</v>
      </c>
      <c r="DA107" s="17"/>
      <c r="DB107" s="17"/>
      <c r="DC107" s="17"/>
      <c r="DD107" s="26" t="s">
        <v>326</v>
      </c>
      <c r="DE107" s="19">
        <v>0</v>
      </c>
      <c r="DF107" s="19"/>
      <c r="DG107" s="19"/>
      <c r="DH107" s="19"/>
      <c r="DI107" s="19"/>
      <c r="DJ107" s="19"/>
      <c r="DK107" s="19"/>
      <c r="DL107" s="19"/>
      <c r="DM107" s="19"/>
      <c r="DN107" s="19"/>
      <c r="DO107" s="19"/>
      <c r="DP107" s="19"/>
      <c r="DQ107" s="19"/>
      <c r="DR107" s="19"/>
      <c r="DS107" s="19"/>
      <c r="DT107" s="19"/>
      <c r="DU107" s="19"/>
      <c r="DV107" s="19"/>
      <c r="DW107" s="19"/>
      <c r="DX107" s="19"/>
      <c r="DY107" s="19"/>
      <c r="DZ107" s="19"/>
      <c r="EA107" s="19"/>
      <c r="EB107" s="19"/>
      <c r="GC107" s="19"/>
      <c r="GD107" s="19"/>
      <c r="GE107" s="26" t="s">
        <v>328</v>
      </c>
      <c r="GF107" s="19">
        <v>0</v>
      </c>
      <c r="GG107" s="19">
        <v>0</v>
      </c>
      <c r="GH107" s="19">
        <v>2</v>
      </c>
      <c r="GI107" s="19">
        <v>2</v>
      </c>
      <c r="GJ107" s="19">
        <v>4</v>
      </c>
      <c r="GK107" s="19">
        <v>6</v>
      </c>
      <c r="GL107" s="19">
        <v>6</v>
      </c>
      <c r="GM107" s="19">
        <v>8</v>
      </c>
      <c r="GN107" s="19">
        <v>10</v>
      </c>
      <c r="GO107" s="19">
        <v>10</v>
      </c>
      <c r="GP107" s="19">
        <v>12</v>
      </c>
      <c r="GQ107" s="19">
        <v>14</v>
      </c>
      <c r="GR107" s="19">
        <v>14</v>
      </c>
      <c r="GS107" s="19">
        <v>16</v>
      </c>
      <c r="GT107" s="19">
        <v>18</v>
      </c>
      <c r="GU107" s="19">
        <v>18</v>
      </c>
      <c r="GV107" s="19">
        <v>20</v>
      </c>
      <c r="GW107" s="19">
        <v>22</v>
      </c>
      <c r="GX107" s="19">
        <v>22</v>
      </c>
      <c r="GY107" s="19">
        <v>24</v>
      </c>
      <c r="GZ107" s="19">
        <v>26</v>
      </c>
      <c r="HA107" s="19">
        <v>26</v>
      </c>
      <c r="HB107" s="19">
        <v>28</v>
      </c>
      <c r="HC107" s="19">
        <v>30</v>
      </c>
      <c r="HD107" s="19">
        <v>30</v>
      </c>
      <c r="HE107" s="19">
        <v>32</v>
      </c>
      <c r="HF107" s="19"/>
      <c r="HG107" s="19"/>
      <c r="HH107" s="19"/>
      <c r="HI107" s="19"/>
      <c r="HJ107" s="19"/>
      <c r="HK107" s="19"/>
      <c r="HL107" s="19"/>
      <c r="HM107" s="19"/>
      <c r="HN107" s="19"/>
      <c r="HO107" s="19"/>
      <c r="HP107" s="19"/>
      <c r="HQ107" s="19"/>
      <c r="HR107" s="19"/>
      <c r="HS107" s="19"/>
      <c r="HT107" s="19"/>
      <c r="HU107" s="19"/>
      <c r="HV107" s="19"/>
      <c r="HW107" s="19"/>
      <c r="HX107" s="19"/>
      <c r="HY107" s="19"/>
      <c r="HZ107" s="19"/>
      <c r="IA107" s="19"/>
      <c r="IB107" s="19"/>
      <c r="IC107" s="19"/>
      <c r="ID107" s="19"/>
    </row>
    <row r="108" spans="1:238" x14ac:dyDescent="0.25">
      <c r="A108" s="4"/>
      <c r="B108" s="6"/>
      <c r="C108" s="4"/>
      <c r="D108" s="4"/>
      <c r="E108" s="4"/>
      <c r="F108" s="4"/>
      <c r="G108" s="4"/>
      <c r="H108" s="4"/>
      <c r="I108" s="4"/>
      <c r="J108" s="4"/>
      <c r="K108" s="4"/>
      <c r="L108" s="6" t="s">
        <v>45</v>
      </c>
      <c r="M108" s="14">
        <f>INDEX(cenník!$C$2:$I$568,MATCH($L108,cenník!$B$2:$B$557,0),MATCH(M$24,cenník!$C$1:$I$1,0))</f>
        <v>890008</v>
      </c>
      <c r="N108" s="14" t="str">
        <f>INDEX(cenník!$C$2:$I$568,MATCH($L108,cenník!$B$2:$B$557,0),MATCH(N$24,cenník!$C$1:$I$1,0))</f>
        <v>100ks</v>
      </c>
      <c r="O108" s="14">
        <f>ROUNDUP((O107/100),0)</f>
        <v>0</v>
      </c>
      <c r="P108" s="21">
        <f>INDEX(cenník!$C$2:$I$568,MATCH($L108,cenník!$B$2:$B$557,0),MATCH(P$24,cenník!$C$1:$I$1,0))</f>
        <v>9.75</v>
      </c>
      <c r="Q108" s="21">
        <f t="shared" si="44"/>
        <v>0</v>
      </c>
      <c r="R108" s="22">
        <f t="shared" si="41"/>
        <v>0</v>
      </c>
      <c r="S108" s="21">
        <f t="shared" si="42"/>
        <v>9.75</v>
      </c>
      <c r="T108" s="21">
        <f t="shared" si="43"/>
        <v>0</v>
      </c>
      <c r="U108" s="21">
        <f>INDEX(cenník!$C$2:$I$568,MATCH($L108,cenník!$B$2:$B$557,0),MATCH(U$24,cenník!$C$1:$I$1,0))*O108</f>
        <v>0</v>
      </c>
      <c r="V108" s="19"/>
      <c r="W108" s="19"/>
      <c r="X108" s="25">
        <f t="shared" si="47"/>
        <v>0</v>
      </c>
      <c r="Y108" s="26" t="s">
        <v>52</v>
      </c>
      <c r="Z108" s="19" t="s">
        <v>450</v>
      </c>
      <c r="AA108" s="19" t="s">
        <v>451</v>
      </c>
      <c r="AB108" s="19"/>
      <c r="AC108" s="19"/>
      <c r="AD108" s="19" t="s">
        <v>408</v>
      </c>
      <c r="AE108" s="19"/>
      <c r="AF108" s="19"/>
      <c r="AG108" s="19"/>
      <c r="AH108" s="19"/>
      <c r="AI108" s="19"/>
      <c r="AJ108" s="19"/>
      <c r="AK108" s="19"/>
      <c r="AL108" s="19"/>
      <c r="AM108" s="19"/>
      <c r="AN108" s="19"/>
      <c r="AO108" s="19"/>
      <c r="AP108" s="19"/>
      <c r="AQ108" s="19"/>
      <c r="AR108" s="19"/>
      <c r="AS108" s="19"/>
      <c r="AT108" s="19"/>
      <c r="AU108" s="19"/>
      <c r="AV108" s="19"/>
      <c r="AW108" s="19"/>
      <c r="AX108" s="19"/>
      <c r="AY108" s="19"/>
      <c r="AZ108" s="19"/>
      <c r="DA108" s="17"/>
      <c r="DB108" s="17"/>
      <c r="DC108" s="17"/>
      <c r="DD108" s="26" t="s">
        <v>327</v>
      </c>
      <c r="DE108" s="19">
        <v>0</v>
      </c>
      <c r="DF108" s="19"/>
      <c r="DG108" s="19"/>
      <c r="DH108" s="19"/>
      <c r="DI108" s="19"/>
      <c r="DJ108" s="19"/>
      <c r="DK108" s="19"/>
      <c r="DL108" s="19"/>
      <c r="DM108" s="19"/>
      <c r="DN108" s="19"/>
      <c r="DO108" s="19"/>
      <c r="DP108" s="19"/>
      <c r="DQ108" s="19"/>
      <c r="DR108" s="19"/>
      <c r="DS108" s="19"/>
      <c r="DT108" s="19"/>
      <c r="DU108" s="19"/>
      <c r="DV108" s="19"/>
      <c r="DW108" s="19"/>
      <c r="DX108" s="19"/>
      <c r="DY108" s="19"/>
      <c r="DZ108" s="19"/>
      <c r="EA108" s="19"/>
      <c r="EB108" s="19"/>
      <c r="GC108" s="19"/>
      <c r="GD108" s="19"/>
      <c r="GE108" s="19"/>
      <c r="GF108" s="19"/>
      <c r="GG108" s="19"/>
      <c r="GH108" s="19"/>
      <c r="GI108" s="19"/>
      <c r="GJ108" s="19"/>
      <c r="GK108" s="19"/>
      <c r="GL108" s="19"/>
      <c r="GM108" s="19"/>
      <c r="GN108" s="19"/>
      <c r="GO108" s="19"/>
      <c r="GP108" s="19"/>
      <c r="GQ108" s="19"/>
      <c r="GR108" s="19"/>
      <c r="GS108" s="19"/>
      <c r="GT108" s="19"/>
      <c r="GU108" s="19"/>
      <c r="GV108" s="19"/>
      <c r="GW108" s="19"/>
      <c r="GX108" s="19"/>
      <c r="GY108" s="19"/>
      <c r="GZ108" s="19"/>
      <c r="HA108" s="19"/>
      <c r="HB108" s="19"/>
      <c r="HC108" s="19"/>
      <c r="HD108" s="19"/>
      <c r="HE108" s="19"/>
      <c r="HF108" s="19"/>
      <c r="HG108" s="19"/>
      <c r="HH108" s="19"/>
      <c r="HI108" s="19"/>
      <c r="HJ108" s="19"/>
      <c r="HK108" s="19"/>
      <c r="HL108" s="19"/>
      <c r="HM108" s="19"/>
      <c r="HN108" s="19"/>
      <c r="HO108" s="19"/>
      <c r="HP108" s="19"/>
      <c r="HQ108" s="19"/>
      <c r="HR108" s="19"/>
      <c r="HS108" s="19"/>
      <c r="HT108" s="19"/>
      <c r="HU108" s="19"/>
      <c r="HV108" s="19"/>
      <c r="HW108" s="19"/>
      <c r="HX108" s="19"/>
      <c r="HY108" s="19"/>
      <c r="HZ108" s="19"/>
      <c r="IA108" s="19"/>
      <c r="IB108" s="19"/>
      <c r="IC108" s="19"/>
      <c r="ID108" s="19"/>
    </row>
    <row r="109" spans="1:238" x14ac:dyDescent="0.25">
      <c r="A109" s="4"/>
      <c r="B109" s="6"/>
      <c r="C109" s="4"/>
      <c r="D109" s="4"/>
      <c r="E109" s="4"/>
      <c r="F109" s="4"/>
      <c r="G109" s="4"/>
      <c r="H109" s="4"/>
      <c r="I109" s="4"/>
      <c r="J109" s="4"/>
      <c r="K109" s="4"/>
      <c r="L109" s="6" t="str">
        <f>IF(E99=$AK$22,"NOWPAL40x40SR","-------")</f>
        <v>-------</v>
      </c>
      <c r="M109" s="14" t="str">
        <f>INDEX(cenník!$C$2:$I$568,MATCH($L109,cenník!$B$2:$B$557,0),MATCH(M$24,cenník!$C$1:$I$1,0))</f>
        <v>-------</v>
      </c>
      <c r="N109" s="14">
        <f>INDEX(cenník!$C$2:$I$568,MATCH($L109,cenník!$B$2:$B$557,0),MATCH(N$24,cenník!$C$1:$I$1,0))</f>
        <v>0</v>
      </c>
      <c r="O109" s="14">
        <f>IF(L109="NOWPAL40X40SR",SUM(C91:C106)*4,0)</f>
        <v>0</v>
      </c>
      <c r="P109" s="21">
        <f>INDEX(cenník!$C$2:$I$568,MATCH($L109,cenník!$B$2:$B$557,0),MATCH(P$24,cenník!$C$1:$I$1,0))</f>
        <v>0</v>
      </c>
      <c r="Q109" s="21">
        <f>O109*P109</f>
        <v>0</v>
      </c>
      <c r="R109" s="22">
        <f t="shared" si="41"/>
        <v>0</v>
      </c>
      <c r="S109" s="21">
        <f t="shared" si="42"/>
        <v>0</v>
      </c>
      <c r="T109" s="21">
        <f>O109*S109</f>
        <v>0</v>
      </c>
      <c r="U109" s="21">
        <f>INDEX(cenník!$C$2:$I$568,MATCH($L109,cenník!$B$2:$B$557,0),MATCH(U$24,cenník!$C$1:$I$1,0))*O109</f>
        <v>0</v>
      </c>
      <c r="V109" s="19"/>
      <c r="W109" s="19"/>
      <c r="X109" s="25">
        <f t="shared" si="47"/>
        <v>0</v>
      </c>
      <c r="Y109" s="26" t="s">
        <v>5</v>
      </c>
      <c r="Z109" s="19" t="s">
        <v>450</v>
      </c>
      <c r="AA109" s="19" t="s">
        <v>451</v>
      </c>
      <c r="AB109" s="19"/>
      <c r="AC109" s="19"/>
      <c r="AD109" s="19" t="s">
        <v>310</v>
      </c>
      <c r="AE109" s="19"/>
      <c r="AF109" s="19"/>
      <c r="AG109" s="19"/>
      <c r="AH109" s="19"/>
      <c r="AI109" s="19"/>
      <c r="AJ109" s="19"/>
      <c r="AK109" s="19"/>
      <c r="AL109" s="19"/>
      <c r="AM109" s="19"/>
      <c r="AN109" s="19"/>
      <c r="AO109" s="19"/>
      <c r="AP109" s="19"/>
      <c r="AQ109" s="19"/>
      <c r="AR109" s="19"/>
      <c r="AS109" s="19"/>
      <c r="AT109" s="19"/>
      <c r="AU109" s="19"/>
      <c r="AV109" s="19"/>
      <c r="AW109" s="19"/>
      <c r="AX109" s="19"/>
      <c r="AY109" s="19"/>
      <c r="AZ109" s="19"/>
      <c r="BA109" s="19" t="s">
        <v>331</v>
      </c>
      <c r="DA109" s="17"/>
      <c r="DB109" s="17"/>
      <c r="DC109" s="17"/>
      <c r="DD109" s="26" t="s">
        <v>328</v>
      </c>
      <c r="DE109" s="19">
        <v>0</v>
      </c>
      <c r="DF109" s="19"/>
      <c r="DG109" s="19"/>
      <c r="DH109" s="19"/>
      <c r="DI109" s="19"/>
      <c r="DJ109" s="19"/>
      <c r="DK109" s="19"/>
      <c r="DL109" s="19"/>
      <c r="DM109" s="19"/>
      <c r="DN109" s="19"/>
      <c r="DO109" s="19"/>
      <c r="DP109" s="19"/>
      <c r="DQ109" s="19"/>
      <c r="DR109" s="19"/>
      <c r="DS109" s="19"/>
      <c r="DT109" s="19"/>
      <c r="DU109" s="19"/>
      <c r="DV109" s="19"/>
      <c r="DW109" s="19"/>
      <c r="DX109" s="19"/>
      <c r="DY109" s="19"/>
      <c r="DZ109" s="19"/>
      <c r="EA109" s="19"/>
      <c r="EB109" s="19"/>
      <c r="GC109" s="19"/>
      <c r="GD109" s="19"/>
      <c r="GE109" s="19" t="s">
        <v>204</v>
      </c>
      <c r="GF109" s="19"/>
      <c r="GG109" s="19"/>
      <c r="GH109" s="19"/>
      <c r="GI109" s="19"/>
      <c r="GJ109" s="19"/>
      <c r="GK109" s="19"/>
      <c r="GL109" s="19"/>
      <c r="GM109" s="19"/>
      <c r="GN109" s="19"/>
      <c r="GO109" s="19"/>
      <c r="GP109" s="19"/>
      <c r="GQ109" s="19"/>
      <c r="GR109" s="19"/>
      <c r="GS109" s="19"/>
      <c r="GT109" s="19"/>
      <c r="GU109" s="19"/>
      <c r="GV109" s="19"/>
      <c r="GW109" s="19"/>
      <c r="GX109" s="19"/>
      <c r="GY109" s="19"/>
      <c r="GZ109" s="19"/>
      <c r="HA109" s="19"/>
      <c r="HB109" s="19"/>
      <c r="HC109" s="19"/>
      <c r="HD109" s="19"/>
      <c r="HE109" s="19"/>
      <c r="HF109" s="19"/>
      <c r="HG109" s="19"/>
      <c r="HH109" s="19"/>
      <c r="HI109" s="19"/>
      <c r="HJ109" s="19"/>
      <c r="HK109" s="19"/>
      <c r="HL109" s="19"/>
      <c r="HM109" s="19"/>
      <c r="HN109" s="19"/>
      <c r="HO109" s="19"/>
      <c r="HP109" s="19"/>
      <c r="HQ109" s="19"/>
      <c r="HR109" s="19"/>
      <c r="HS109" s="19"/>
      <c r="HT109" s="19"/>
      <c r="HU109" s="19"/>
      <c r="HV109" s="19"/>
      <c r="HW109" s="19"/>
      <c r="HX109" s="19"/>
      <c r="HY109" s="19"/>
      <c r="HZ109" s="19"/>
      <c r="IA109" s="19"/>
      <c r="IB109" s="19"/>
      <c r="IC109" s="19"/>
      <c r="ID109" s="19"/>
    </row>
    <row r="110" spans="1:238" x14ac:dyDescent="0.25">
      <c r="A110" s="4"/>
      <c r="B110" s="6"/>
      <c r="C110" s="4"/>
      <c r="D110" s="4"/>
      <c r="E110" s="4"/>
      <c r="F110" s="4"/>
      <c r="G110" s="4"/>
      <c r="H110" s="4"/>
      <c r="I110" s="4"/>
      <c r="J110" s="4"/>
      <c r="K110" s="4"/>
      <c r="L110" s="6" t="s">
        <v>244</v>
      </c>
      <c r="M110" s="14">
        <f>INDEX(cenník!$C$2:$I$568,MATCH($L110,cenník!$B$2:$B$557,0),MATCH(M$24,cenník!$C$1:$I$1,0))</f>
        <v>166794</v>
      </c>
      <c r="N110" s="14" t="str">
        <f>INDEX(cenník!$C$2:$I$568,MATCH($L110,cenník!$B$2:$B$557,0),MATCH(N$24,cenník!$C$1:$I$1,0))</f>
        <v>100ks</v>
      </c>
      <c r="O110" s="14">
        <f>ROUNDUP((O104/100),0)</f>
        <v>0</v>
      </c>
      <c r="P110" s="21">
        <f>INDEX(cenník!$C$2:$I$568,MATCH($L110,cenník!$B$2:$B$557,0),MATCH(P$24,cenník!$C$1:$I$1,0))</f>
        <v>1.38</v>
      </c>
      <c r="Q110" s="21">
        <f>O110*P110</f>
        <v>0</v>
      </c>
      <c r="R110" s="22">
        <f t="shared" si="41"/>
        <v>0</v>
      </c>
      <c r="S110" s="21">
        <f t="shared" si="42"/>
        <v>1.38</v>
      </c>
      <c r="T110" s="21">
        <f>O110*S110</f>
        <v>0</v>
      </c>
      <c r="U110" s="21">
        <f>INDEX(cenník!$C$2:$I$568,MATCH($L110,cenník!$B$2:$B$557,0),MATCH(U$24,cenník!$C$1:$I$1,0))*O110</f>
        <v>0</v>
      </c>
      <c r="V110" s="19"/>
      <c r="W110" s="19"/>
      <c r="X110" s="25">
        <f t="shared" si="47"/>
        <v>0</v>
      </c>
      <c r="Y110" s="19"/>
      <c r="Z110" s="19"/>
      <c r="AA110" s="19"/>
      <c r="AB110" s="19"/>
      <c r="AC110" s="19"/>
      <c r="AD110" s="19"/>
      <c r="AE110" s="19"/>
      <c r="AF110" s="19"/>
      <c r="AG110" s="19"/>
      <c r="AH110" s="19"/>
      <c r="AI110" s="19"/>
      <c r="AJ110" s="19"/>
      <c r="AK110" s="19"/>
      <c r="AL110" s="19"/>
      <c r="AM110" s="19"/>
      <c r="AN110" s="19"/>
      <c r="AO110" s="19"/>
      <c r="AP110" s="19"/>
      <c r="AQ110" s="19"/>
      <c r="AR110" s="19"/>
      <c r="AS110" s="19"/>
      <c r="AT110" s="19"/>
      <c r="AU110" s="19"/>
      <c r="AV110" s="19"/>
      <c r="AW110" s="19"/>
      <c r="AX110" s="19"/>
      <c r="AY110" s="19"/>
      <c r="AZ110" s="19"/>
      <c r="BB110" s="20">
        <v>0</v>
      </c>
      <c r="BC110" s="20">
        <v>1</v>
      </c>
      <c r="BD110" s="20">
        <v>2</v>
      </c>
      <c r="BE110" s="20">
        <v>3</v>
      </c>
      <c r="BF110" s="20">
        <v>4</v>
      </c>
      <c r="BG110" s="20">
        <v>5</v>
      </c>
      <c r="BH110" s="20">
        <v>6</v>
      </c>
      <c r="BI110" s="20">
        <v>7</v>
      </c>
      <c r="BJ110" s="20">
        <v>8</v>
      </c>
      <c r="BK110" s="20">
        <v>9</v>
      </c>
      <c r="BL110" s="20">
        <v>10</v>
      </c>
      <c r="BM110" s="20">
        <v>11</v>
      </c>
      <c r="BN110" s="20">
        <v>12</v>
      </c>
      <c r="BO110" s="20">
        <v>13</v>
      </c>
      <c r="BP110" s="20">
        <v>14</v>
      </c>
      <c r="BQ110" s="20">
        <v>15</v>
      </c>
      <c r="BR110" s="20">
        <v>16</v>
      </c>
      <c r="BS110" s="20">
        <v>17</v>
      </c>
      <c r="BT110" s="20">
        <v>18</v>
      </c>
      <c r="BU110" s="20">
        <v>19</v>
      </c>
      <c r="BV110" s="20">
        <v>20</v>
      </c>
      <c r="BW110" s="20">
        <v>21</v>
      </c>
      <c r="BX110" s="20">
        <v>22</v>
      </c>
      <c r="BY110" s="20">
        <v>23</v>
      </c>
      <c r="BZ110" s="20">
        <v>24</v>
      </c>
      <c r="CA110" s="20">
        <v>25</v>
      </c>
      <c r="DA110" s="17"/>
      <c r="DB110" s="17"/>
      <c r="DC110" s="17"/>
      <c r="DD110" s="19"/>
      <c r="DE110" s="19"/>
      <c r="DF110" s="19"/>
      <c r="DG110" s="19"/>
      <c r="DH110" s="19"/>
      <c r="DI110" s="19"/>
      <c r="DJ110" s="19"/>
      <c r="DK110" s="19"/>
      <c r="DL110" s="19"/>
      <c r="DM110" s="19"/>
      <c r="DN110" s="19"/>
      <c r="DO110" s="19"/>
      <c r="DP110" s="19"/>
      <c r="DQ110" s="19"/>
      <c r="DR110" s="19"/>
      <c r="DS110" s="19"/>
      <c r="DT110" s="19"/>
      <c r="DU110" s="19"/>
      <c r="DV110" s="19"/>
      <c r="DW110" s="19"/>
      <c r="DX110" s="19"/>
      <c r="DY110" s="19"/>
      <c r="DZ110" s="19"/>
      <c r="EA110" s="19"/>
      <c r="EB110" s="19"/>
      <c r="GC110" s="19"/>
      <c r="GD110" s="19"/>
      <c r="GE110" s="19"/>
      <c r="GF110" s="19">
        <v>0</v>
      </c>
      <c r="GG110" s="19">
        <v>1</v>
      </c>
      <c r="GH110" s="19">
        <v>2</v>
      </c>
      <c r="GI110" s="19">
        <v>3</v>
      </c>
      <c r="GJ110" s="19">
        <v>4</v>
      </c>
      <c r="GK110" s="19">
        <v>5</v>
      </c>
      <c r="GL110" s="19">
        <v>6</v>
      </c>
      <c r="GM110" s="19">
        <v>7</v>
      </c>
      <c r="GN110" s="19">
        <v>8</v>
      </c>
      <c r="GO110" s="19">
        <v>9</v>
      </c>
      <c r="GP110" s="19">
        <v>10</v>
      </c>
      <c r="GQ110" s="19">
        <v>11</v>
      </c>
      <c r="GR110" s="19">
        <v>12</v>
      </c>
      <c r="GS110" s="19">
        <v>13</v>
      </c>
      <c r="GT110" s="19">
        <v>14</v>
      </c>
      <c r="GU110" s="19">
        <v>15</v>
      </c>
      <c r="GV110" s="19">
        <v>16</v>
      </c>
      <c r="GW110" s="19">
        <v>17</v>
      </c>
      <c r="GX110" s="19">
        <v>18</v>
      </c>
      <c r="GY110" s="19">
        <v>19</v>
      </c>
      <c r="GZ110" s="19">
        <v>20</v>
      </c>
      <c r="HA110" s="19">
        <v>21</v>
      </c>
      <c r="HB110" s="19">
        <v>22</v>
      </c>
      <c r="HC110" s="19">
        <v>23</v>
      </c>
      <c r="HD110" s="19">
        <v>24</v>
      </c>
      <c r="HE110" s="19">
        <v>25</v>
      </c>
      <c r="HF110" s="19">
        <v>26</v>
      </c>
      <c r="HG110" s="19">
        <v>27</v>
      </c>
      <c r="HH110" s="19">
        <v>28</v>
      </c>
      <c r="HI110" s="19">
        <v>29</v>
      </c>
      <c r="HJ110" s="19">
        <v>30</v>
      </c>
      <c r="HK110" s="19">
        <v>31</v>
      </c>
      <c r="HL110" s="19">
        <v>32</v>
      </c>
      <c r="HM110" s="19">
        <v>33</v>
      </c>
      <c r="HN110" s="19">
        <v>34</v>
      </c>
      <c r="HO110" s="19">
        <v>35</v>
      </c>
      <c r="HP110" s="19">
        <v>36</v>
      </c>
      <c r="HQ110" s="19">
        <v>37</v>
      </c>
      <c r="HR110" s="19">
        <v>38</v>
      </c>
      <c r="HS110" s="19">
        <v>39</v>
      </c>
      <c r="HT110" s="19">
        <v>40</v>
      </c>
      <c r="HU110" s="19">
        <v>41</v>
      </c>
      <c r="HV110" s="19">
        <v>42</v>
      </c>
      <c r="HW110" s="19">
        <v>43</v>
      </c>
      <c r="HX110" s="19">
        <v>44</v>
      </c>
      <c r="HY110" s="19">
        <v>45</v>
      </c>
      <c r="HZ110" s="19">
        <v>46</v>
      </c>
      <c r="IA110" s="19">
        <v>47</v>
      </c>
      <c r="IB110" s="19">
        <v>48</v>
      </c>
      <c r="IC110" s="19">
        <v>49</v>
      </c>
      <c r="ID110" s="19">
        <v>50</v>
      </c>
    </row>
    <row r="111" spans="1:238" x14ac:dyDescent="0.25">
      <c r="A111" s="4"/>
      <c r="B111" s="6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21">
        <f>SUM(T92:T110)</f>
        <v>0</v>
      </c>
      <c r="U111" s="21">
        <f>SUM(U92:U110)</f>
        <v>0</v>
      </c>
      <c r="V111" s="19"/>
      <c r="W111" s="19"/>
      <c r="X111" s="25">
        <f t="shared" si="47"/>
        <v>0</v>
      </c>
      <c r="Y111" s="19"/>
      <c r="Z111" s="19"/>
      <c r="AA111" s="19"/>
      <c r="AB111" s="19"/>
      <c r="AC111" s="19"/>
      <c r="AD111" s="19"/>
      <c r="AE111" s="19"/>
      <c r="AF111" s="19"/>
      <c r="AG111" s="19"/>
      <c r="AH111" s="19"/>
      <c r="AI111" s="19"/>
      <c r="AJ111" s="19"/>
      <c r="AK111" s="19"/>
      <c r="AL111" s="19"/>
      <c r="AM111" s="19"/>
      <c r="AN111" s="19"/>
      <c r="AO111" s="19"/>
      <c r="AP111" s="19"/>
      <c r="AQ111" s="19"/>
      <c r="AR111" s="19"/>
      <c r="AS111" s="19"/>
      <c r="AT111" s="19"/>
      <c r="AU111" s="19"/>
      <c r="AV111" s="19"/>
      <c r="AW111" s="19"/>
      <c r="AX111" s="19"/>
      <c r="AY111" s="19"/>
      <c r="AZ111" s="19"/>
      <c r="BA111" s="20" t="s">
        <v>63</v>
      </c>
      <c r="BB111" s="20">
        <v>0</v>
      </c>
      <c r="BC111" s="20">
        <v>0</v>
      </c>
      <c r="BD111" s="20">
        <v>0</v>
      </c>
      <c r="BE111" s="20">
        <v>0</v>
      </c>
      <c r="BF111" s="20">
        <v>0</v>
      </c>
      <c r="BG111" s="20">
        <v>4</v>
      </c>
      <c r="BH111" s="20">
        <v>0</v>
      </c>
      <c r="BI111" s="20">
        <v>0</v>
      </c>
      <c r="BJ111" s="20">
        <v>0</v>
      </c>
      <c r="BK111" s="20">
        <v>0</v>
      </c>
      <c r="BL111" s="20">
        <v>6</v>
      </c>
      <c r="BM111" s="20">
        <v>0</v>
      </c>
      <c r="BN111" s="20">
        <v>0</v>
      </c>
      <c r="BO111" s="20">
        <v>2</v>
      </c>
      <c r="BP111" s="20">
        <v>0</v>
      </c>
      <c r="BQ111" s="20">
        <v>2</v>
      </c>
      <c r="BR111" s="20">
        <v>0</v>
      </c>
      <c r="BS111" s="20">
        <v>0</v>
      </c>
      <c r="BT111" s="20">
        <v>0</v>
      </c>
      <c r="BU111" s="20">
        <v>0</v>
      </c>
      <c r="BV111" s="20">
        <v>2</v>
      </c>
      <c r="BW111" s="20">
        <v>0</v>
      </c>
      <c r="BX111" s="20">
        <v>0</v>
      </c>
      <c r="BY111" s="20">
        <v>0</v>
      </c>
      <c r="BZ111" s="20">
        <v>0</v>
      </c>
      <c r="CA111" s="20">
        <v>0</v>
      </c>
      <c r="DA111" s="17"/>
      <c r="DB111" s="17"/>
      <c r="DC111" s="17"/>
      <c r="DD111" s="19" t="s">
        <v>316</v>
      </c>
      <c r="DE111" s="19">
        <v>0</v>
      </c>
      <c r="DF111" s="19">
        <v>1</v>
      </c>
      <c r="DG111" s="19">
        <v>2</v>
      </c>
      <c r="DH111" s="19">
        <v>3</v>
      </c>
      <c r="DI111" s="19">
        <v>4</v>
      </c>
      <c r="DJ111" s="19">
        <v>5</v>
      </c>
      <c r="DK111" s="19">
        <v>6</v>
      </c>
      <c r="DL111" s="19">
        <v>7</v>
      </c>
      <c r="DM111" s="19">
        <v>8</v>
      </c>
      <c r="DN111" s="19">
        <v>9</v>
      </c>
      <c r="DO111" s="19">
        <v>10</v>
      </c>
      <c r="DP111" s="19">
        <v>11</v>
      </c>
      <c r="DQ111" s="19">
        <v>12</v>
      </c>
      <c r="DR111" s="19">
        <v>13</v>
      </c>
      <c r="DS111" s="19">
        <v>14</v>
      </c>
      <c r="DT111" s="19">
        <v>15</v>
      </c>
      <c r="DU111" s="19">
        <v>16</v>
      </c>
      <c r="DV111" s="19">
        <v>17</v>
      </c>
      <c r="DW111" s="19">
        <v>18</v>
      </c>
      <c r="DX111" s="19">
        <v>19</v>
      </c>
      <c r="DY111" s="19">
        <v>20</v>
      </c>
      <c r="DZ111" s="19"/>
      <c r="EA111" s="19"/>
      <c r="EB111" s="19"/>
      <c r="GC111" s="19"/>
      <c r="GD111" s="19"/>
      <c r="GE111" s="19" t="s">
        <v>63</v>
      </c>
      <c r="GF111" s="19">
        <v>0</v>
      </c>
      <c r="GG111" s="19">
        <v>4</v>
      </c>
      <c r="GH111" s="19">
        <v>4</v>
      </c>
      <c r="GI111" s="19">
        <v>6</v>
      </c>
      <c r="GJ111" s="19">
        <v>0</v>
      </c>
      <c r="GK111" s="19">
        <v>0</v>
      </c>
      <c r="GL111" s="19">
        <v>0</v>
      </c>
      <c r="GM111" s="19">
        <v>0</v>
      </c>
      <c r="GN111" s="19">
        <v>0</v>
      </c>
      <c r="GO111" s="19">
        <v>0</v>
      </c>
      <c r="GP111" s="19">
        <v>0</v>
      </c>
      <c r="GQ111" s="19">
        <v>0</v>
      </c>
      <c r="GR111" s="19">
        <v>0</v>
      </c>
      <c r="GS111" s="19">
        <v>0</v>
      </c>
      <c r="GT111" s="19">
        <v>0</v>
      </c>
      <c r="GU111" s="19">
        <v>0</v>
      </c>
      <c r="GV111" s="19">
        <v>0</v>
      </c>
      <c r="GW111" s="19">
        <v>0</v>
      </c>
      <c r="GX111" s="19">
        <v>0</v>
      </c>
      <c r="GY111" s="19">
        <v>0</v>
      </c>
      <c r="GZ111" s="19">
        <v>0</v>
      </c>
      <c r="HA111" s="19">
        <v>0</v>
      </c>
      <c r="HB111" s="19">
        <v>0</v>
      </c>
      <c r="HC111" s="19">
        <v>0</v>
      </c>
      <c r="HD111" s="19">
        <v>0</v>
      </c>
      <c r="HE111" s="19">
        <v>0</v>
      </c>
      <c r="HF111" s="19">
        <v>0</v>
      </c>
      <c r="HG111" s="19">
        <v>0</v>
      </c>
      <c r="HH111" s="19">
        <v>0</v>
      </c>
      <c r="HI111" s="19">
        <v>0</v>
      </c>
      <c r="HJ111" s="19">
        <v>0</v>
      </c>
      <c r="HK111" s="19">
        <v>0</v>
      </c>
      <c r="HL111" s="19">
        <v>0</v>
      </c>
      <c r="HM111" s="19">
        <v>0</v>
      </c>
      <c r="HN111" s="19">
        <v>0</v>
      </c>
      <c r="HO111" s="19">
        <v>0</v>
      </c>
      <c r="HP111" s="19">
        <v>0</v>
      </c>
      <c r="HQ111" s="19">
        <v>0</v>
      </c>
      <c r="HR111" s="19">
        <v>0</v>
      </c>
      <c r="HS111" s="19">
        <v>0</v>
      </c>
      <c r="HT111" s="19">
        <v>0</v>
      </c>
      <c r="HU111" s="19">
        <v>0</v>
      </c>
      <c r="HV111" s="19">
        <v>0</v>
      </c>
      <c r="HW111" s="19">
        <v>0</v>
      </c>
      <c r="HX111" s="19">
        <v>0</v>
      </c>
      <c r="HY111" s="19">
        <v>0</v>
      </c>
      <c r="HZ111" s="19">
        <v>0</v>
      </c>
      <c r="IA111" s="19">
        <v>0</v>
      </c>
      <c r="IB111" s="19">
        <v>0</v>
      </c>
      <c r="IC111" s="19">
        <v>0</v>
      </c>
      <c r="ID111" s="19">
        <v>0</v>
      </c>
    </row>
    <row r="112" spans="1:238" ht="39" x14ac:dyDescent="0.25">
      <c r="A112" s="3" t="s">
        <v>549</v>
      </c>
      <c r="B112" s="6"/>
      <c r="C112" s="3" t="s">
        <v>550</v>
      </c>
      <c r="D112" s="4"/>
      <c r="E112" s="4"/>
      <c r="F112" s="4"/>
      <c r="G112" s="4"/>
      <c r="H112" s="4"/>
      <c r="I112" s="4"/>
      <c r="J112" s="4"/>
      <c r="K112" s="4"/>
      <c r="L112" s="221" t="str">
        <f>INDEX((Z107:AB109),MATCH(E115,Y107:Y109,0),MATCH(E116,Z106:AA106,0),1)</f>
        <v>KONŠTRUKCIA DS-V6bN</v>
      </c>
      <c r="M112" s="221"/>
      <c r="N112" s="221"/>
      <c r="O112" s="221"/>
      <c r="P112" s="221"/>
      <c r="Q112" s="221"/>
      <c r="R112" s="221"/>
      <c r="S112" s="221"/>
      <c r="T112" s="221"/>
      <c r="U112" s="221"/>
      <c r="V112" s="19"/>
      <c r="W112" s="19"/>
      <c r="X112" s="25">
        <f t="shared" si="47"/>
        <v>0</v>
      </c>
      <c r="Y112" s="19"/>
      <c r="Z112" s="19"/>
      <c r="AA112" s="19"/>
      <c r="AB112" s="19"/>
      <c r="AC112" s="19"/>
      <c r="AD112" s="19"/>
      <c r="AE112" s="19"/>
      <c r="AF112" s="19"/>
      <c r="AG112" s="19"/>
      <c r="AH112" s="19"/>
      <c r="AI112" s="19"/>
      <c r="AJ112" s="19"/>
      <c r="AK112" s="19"/>
      <c r="AL112" s="19"/>
      <c r="AM112" s="19"/>
      <c r="AN112" s="19"/>
      <c r="AO112" s="19"/>
      <c r="AP112" s="19"/>
      <c r="AQ112" s="19"/>
      <c r="AR112" s="19"/>
      <c r="AS112" s="19"/>
      <c r="AT112" s="19"/>
      <c r="AU112" s="19"/>
      <c r="AV112" s="19"/>
      <c r="AW112" s="19"/>
      <c r="AX112" s="19"/>
      <c r="AY112" s="19"/>
      <c r="AZ112" s="19"/>
      <c r="BA112" s="20" t="s">
        <v>11</v>
      </c>
      <c r="BB112" s="20">
        <v>0</v>
      </c>
      <c r="BC112" s="20">
        <v>2</v>
      </c>
      <c r="BD112" s="20">
        <v>0</v>
      </c>
      <c r="BE112" s="20">
        <v>4</v>
      </c>
      <c r="BF112" s="20">
        <v>0</v>
      </c>
      <c r="BG112" s="20">
        <v>0</v>
      </c>
      <c r="BH112" s="20">
        <v>2</v>
      </c>
      <c r="BI112" s="20">
        <v>0</v>
      </c>
      <c r="BJ112" s="20">
        <v>0</v>
      </c>
      <c r="BK112" s="20">
        <v>0</v>
      </c>
      <c r="BL112" s="20">
        <v>0</v>
      </c>
      <c r="BM112" s="20">
        <v>2</v>
      </c>
      <c r="BN112" s="20">
        <v>0</v>
      </c>
      <c r="BO112" s="20">
        <v>0</v>
      </c>
      <c r="BP112" s="20">
        <v>0</v>
      </c>
      <c r="BQ112" s="20">
        <v>0</v>
      </c>
      <c r="BR112" s="20">
        <v>0</v>
      </c>
      <c r="BS112" s="20">
        <v>0</v>
      </c>
      <c r="BT112" s="20">
        <v>0</v>
      </c>
      <c r="BU112" s="20">
        <v>0</v>
      </c>
      <c r="BV112" s="20">
        <v>0</v>
      </c>
      <c r="BW112" s="20">
        <v>0</v>
      </c>
      <c r="BX112" s="20">
        <v>0</v>
      </c>
      <c r="BY112" s="20">
        <v>0</v>
      </c>
      <c r="BZ112" s="20">
        <v>0</v>
      </c>
      <c r="CA112" s="20">
        <v>0</v>
      </c>
      <c r="DA112" s="17"/>
      <c r="DB112" s="17"/>
      <c r="DC112" s="17"/>
      <c r="DD112" s="19" t="s">
        <v>64</v>
      </c>
      <c r="DE112" s="19">
        <v>0</v>
      </c>
      <c r="DF112" s="19">
        <v>2</v>
      </c>
      <c r="DG112" s="19">
        <v>4</v>
      </c>
      <c r="DH112" s="19">
        <v>0</v>
      </c>
      <c r="DI112" s="19">
        <v>2</v>
      </c>
      <c r="DJ112" s="19">
        <v>4</v>
      </c>
      <c r="DK112" s="19">
        <v>2</v>
      </c>
      <c r="DL112" s="19">
        <v>4</v>
      </c>
      <c r="DM112" s="19">
        <v>0</v>
      </c>
      <c r="DN112" s="19">
        <v>2</v>
      </c>
      <c r="DO112" s="19">
        <v>0</v>
      </c>
      <c r="DP112" s="19">
        <v>2</v>
      </c>
      <c r="DQ112" s="19">
        <v>4</v>
      </c>
      <c r="DR112" s="19">
        <v>0</v>
      </c>
      <c r="DS112" s="19">
        <v>2</v>
      </c>
      <c r="DT112" s="19">
        <v>0</v>
      </c>
      <c r="DU112" s="19">
        <v>2</v>
      </c>
      <c r="DV112" s="19">
        <v>4</v>
      </c>
      <c r="DW112" s="19">
        <v>0</v>
      </c>
      <c r="DX112" s="19">
        <v>2</v>
      </c>
      <c r="DY112" s="19">
        <v>0</v>
      </c>
      <c r="DZ112" s="19"/>
      <c r="EA112" s="19"/>
      <c r="EB112" s="19"/>
      <c r="GC112" s="19"/>
      <c r="GD112" s="19"/>
      <c r="GE112" s="19" t="s">
        <v>11</v>
      </c>
      <c r="GF112" s="19">
        <v>0</v>
      </c>
      <c r="GG112" s="19">
        <v>0</v>
      </c>
      <c r="GH112" s="19">
        <v>0</v>
      </c>
      <c r="GI112" s="19">
        <v>0</v>
      </c>
      <c r="GJ112" s="19">
        <v>0</v>
      </c>
      <c r="GK112" s="19">
        <v>2</v>
      </c>
      <c r="GL112" s="19">
        <v>4</v>
      </c>
      <c r="GM112" s="19">
        <v>0</v>
      </c>
      <c r="GN112" s="19">
        <v>0</v>
      </c>
      <c r="GO112" s="19">
        <v>0</v>
      </c>
      <c r="GP112" s="19">
        <v>0</v>
      </c>
      <c r="GQ112" s="19">
        <v>0</v>
      </c>
      <c r="GR112" s="19">
        <v>4</v>
      </c>
      <c r="GS112" s="19">
        <v>0</v>
      </c>
      <c r="GT112" s="19">
        <v>0</v>
      </c>
      <c r="GU112" s="19">
        <v>2</v>
      </c>
      <c r="GV112" s="19">
        <v>0</v>
      </c>
      <c r="GW112" s="19">
        <v>0</v>
      </c>
      <c r="GX112" s="19">
        <v>0</v>
      </c>
      <c r="GY112" s="19">
        <v>0</v>
      </c>
      <c r="GZ112" s="19">
        <v>0</v>
      </c>
      <c r="HA112" s="19">
        <v>2</v>
      </c>
      <c r="HB112" s="19">
        <v>0</v>
      </c>
      <c r="HC112" s="19">
        <v>0</v>
      </c>
      <c r="HD112" s="19">
        <v>0</v>
      </c>
      <c r="HE112" s="19">
        <v>0</v>
      </c>
      <c r="HF112" s="19">
        <v>0</v>
      </c>
      <c r="HG112" s="19">
        <v>4</v>
      </c>
      <c r="HH112" s="19">
        <v>0</v>
      </c>
      <c r="HI112" s="19">
        <v>0</v>
      </c>
      <c r="HJ112" s="19">
        <v>0</v>
      </c>
      <c r="HK112" s="19">
        <v>0</v>
      </c>
      <c r="HL112" s="19">
        <v>0</v>
      </c>
      <c r="HM112" s="19">
        <v>0</v>
      </c>
      <c r="HN112" s="19">
        <v>0</v>
      </c>
      <c r="HO112" s="19">
        <v>0</v>
      </c>
      <c r="HP112" s="19">
        <v>0</v>
      </c>
      <c r="HQ112" s="19">
        <v>0</v>
      </c>
      <c r="HR112" s="19">
        <v>0</v>
      </c>
      <c r="HS112" s="19">
        <v>0</v>
      </c>
      <c r="HT112" s="19">
        <v>0</v>
      </c>
      <c r="HU112" s="19">
        <v>0</v>
      </c>
      <c r="HV112" s="19">
        <v>4</v>
      </c>
      <c r="HW112" s="19">
        <v>0</v>
      </c>
      <c r="HX112" s="19">
        <v>0</v>
      </c>
      <c r="HY112" s="19">
        <v>0</v>
      </c>
      <c r="HZ112" s="19">
        <v>0</v>
      </c>
      <c r="IA112" s="19">
        <v>0</v>
      </c>
      <c r="IB112" s="19">
        <v>0</v>
      </c>
      <c r="IC112" s="19">
        <v>0</v>
      </c>
      <c r="ID112" s="19">
        <v>0</v>
      </c>
    </row>
    <row r="113" spans="1:238" x14ac:dyDescent="0.25">
      <c r="A113" s="8"/>
      <c r="B113" s="6" t="s">
        <v>61</v>
      </c>
      <c r="C113" s="8"/>
      <c r="D113" s="4"/>
      <c r="E113" s="4"/>
      <c r="F113" s="4"/>
      <c r="G113" s="4"/>
      <c r="H113" s="4"/>
      <c r="I113" s="4"/>
      <c r="J113" s="4"/>
      <c r="K113" s="4"/>
      <c r="L113" s="5" t="s">
        <v>53</v>
      </c>
      <c r="M113" s="5" t="s">
        <v>559</v>
      </c>
      <c r="N113" s="5" t="s">
        <v>436</v>
      </c>
      <c r="O113" s="5" t="s">
        <v>442</v>
      </c>
      <c r="P113" s="5" t="s">
        <v>443</v>
      </c>
      <c r="Q113" s="5" t="s">
        <v>444</v>
      </c>
      <c r="R113" s="5" t="s">
        <v>445</v>
      </c>
      <c r="S113" s="5" t="s">
        <v>446</v>
      </c>
      <c r="T113" s="5" t="s">
        <v>447</v>
      </c>
      <c r="U113" s="5" t="s">
        <v>438</v>
      </c>
      <c r="V113" s="19"/>
      <c r="W113" s="19"/>
      <c r="X113" s="25">
        <f t="shared" si="47"/>
        <v>0</v>
      </c>
      <c r="Y113" s="19"/>
      <c r="Z113" s="19"/>
      <c r="AA113" s="19"/>
      <c r="AB113" s="19"/>
      <c r="AC113" s="19"/>
      <c r="AD113" s="19"/>
      <c r="AE113" s="19"/>
      <c r="AF113" s="19"/>
      <c r="AG113" s="19"/>
      <c r="AH113" s="19"/>
      <c r="AI113" s="19"/>
      <c r="AJ113" s="19"/>
      <c r="AK113" s="19"/>
      <c r="AL113" s="19"/>
      <c r="AM113" s="19"/>
      <c r="AN113" s="19"/>
      <c r="AO113" s="19"/>
      <c r="AP113" s="19"/>
      <c r="AQ113" s="19"/>
      <c r="AR113" s="19"/>
      <c r="AS113" s="19"/>
      <c r="AT113" s="19"/>
      <c r="AU113" s="19"/>
      <c r="AV113" s="19"/>
      <c r="AW113" s="19"/>
      <c r="AX113" s="19"/>
      <c r="AY113" s="19"/>
      <c r="AZ113" s="19"/>
      <c r="BA113" s="20" t="s">
        <v>64</v>
      </c>
      <c r="BB113" s="20">
        <v>0</v>
      </c>
      <c r="BC113" s="20">
        <v>0</v>
      </c>
      <c r="BD113" s="20">
        <v>0</v>
      </c>
      <c r="BE113" s="20">
        <v>0</v>
      </c>
      <c r="BF113" s="20">
        <v>2</v>
      </c>
      <c r="BG113" s="20">
        <v>4</v>
      </c>
      <c r="BH113" s="20">
        <v>0</v>
      </c>
      <c r="BI113" s="20">
        <v>0</v>
      </c>
      <c r="BJ113" s="20">
        <v>4</v>
      </c>
      <c r="BK113" s="20">
        <v>2</v>
      </c>
      <c r="BL113" s="20">
        <v>0</v>
      </c>
      <c r="BM113" s="20">
        <v>0</v>
      </c>
      <c r="BN113" s="20">
        <v>0</v>
      </c>
      <c r="BO113" s="20">
        <v>0</v>
      </c>
      <c r="BP113" s="20">
        <v>2</v>
      </c>
      <c r="BQ113" s="20">
        <v>0</v>
      </c>
      <c r="BR113" s="20">
        <v>2</v>
      </c>
      <c r="BS113" s="20">
        <v>0</v>
      </c>
      <c r="BT113" s="20">
        <v>4</v>
      </c>
      <c r="BU113" s="20">
        <v>0</v>
      </c>
      <c r="BV113" s="20">
        <v>0</v>
      </c>
      <c r="BW113" s="20">
        <v>2</v>
      </c>
      <c r="BX113" s="20">
        <v>0</v>
      </c>
      <c r="BY113" s="20">
        <v>2</v>
      </c>
      <c r="BZ113" s="20">
        <v>0</v>
      </c>
      <c r="CA113" s="20">
        <v>4</v>
      </c>
      <c r="DA113" s="17"/>
      <c r="DB113" s="17"/>
      <c r="DC113" s="17"/>
      <c r="DD113" s="19" t="s">
        <v>18</v>
      </c>
      <c r="DE113" s="19">
        <v>0</v>
      </c>
      <c r="DF113" s="19">
        <v>0</v>
      </c>
      <c r="DG113" s="19">
        <v>0</v>
      </c>
      <c r="DH113" s="19">
        <v>4</v>
      </c>
      <c r="DI113" s="19">
        <v>4</v>
      </c>
      <c r="DJ113" s="19">
        <v>4</v>
      </c>
      <c r="DK113" s="19">
        <v>6</v>
      </c>
      <c r="DL113" s="19">
        <v>6</v>
      </c>
      <c r="DM113" s="19">
        <v>10</v>
      </c>
      <c r="DN113" s="19">
        <v>10</v>
      </c>
      <c r="DO113" s="19">
        <v>12</v>
      </c>
      <c r="DP113" s="19">
        <v>12</v>
      </c>
      <c r="DQ113" s="19">
        <v>12</v>
      </c>
      <c r="DR113" s="19">
        <v>16</v>
      </c>
      <c r="DS113" s="19">
        <v>16</v>
      </c>
      <c r="DT113" s="19">
        <v>18</v>
      </c>
      <c r="DU113" s="19">
        <v>18</v>
      </c>
      <c r="DV113" s="19">
        <v>18</v>
      </c>
      <c r="DW113" s="19">
        <v>22</v>
      </c>
      <c r="DX113" s="19">
        <v>22</v>
      </c>
      <c r="DY113" s="19">
        <v>24</v>
      </c>
      <c r="DZ113" s="19"/>
      <c r="EA113" s="19"/>
      <c r="EB113" s="19"/>
      <c r="GC113" s="19"/>
      <c r="GD113" s="19"/>
      <c r="GE113" s="19" t="s">
        <v>64</v>
      </c>
      <c r="GF113" s="19">
        <v>0</v>
      </c>
      <c r="GG113" s="19">
        <v>0</v>
      </c>
      <c r="GH113" s="19">
        <v>2</v>
      </c>
      <c r="GI113" s="19">
        <v>0</v>
      </c>
      <c r="GJ113" s="19">
        <v>0</v>
      </c>
      <c r="GK113" s="19">
        <v>0</v>
      </c>
      <c r="GL113" s="19">
        <v>0</v>
      </c>
      <c r="GM113" s="19">
        <v>0</v>
      </c>
      <c r="GN113" s="19">
        <v>2</v>
      </c>
      <c r="GO113" s="19">
        <v>4</v>
      </c>
      <c r="GP113" s="19">
        <v>0</v>
      </c>
      <c r="GQ113" s="19">
        <v>2</v>
      </c>
      <c r="GR113" s="19">
        <v>0</v>
      </c>
      <c r="GS113" s="19">
        <v>0</v>
      </c>
      <c r="GT113" s="19">
        <v>2</v>
      </c>
      <c r="GU113" s="19">
        <v>0</v>
      </c>
      <c r="GV113" s="19">
        <v>0</v>
      </c>
      <c r="GW113" s="19">
        <v>0</v>
      </c>
      <c r="GX113" s="19">
        <v>4</v>
      </c>
      <c r="GY113" s="19">
        <v>0</v>
      </c>
      <c r="GZ113" s="19">
        <v>0</v>
      </c>
      <c r="HA113" s="19">
        <v>0</v>
      </c>
      <c r="HB113" s="19">
        <v>0</v>
      </c>
      <c r="HC113" s="19">
        <v>0</v>
      </c>
      <c r="HD113" s="19">
        <v>0</v>
      </c>
      <c r="HE113" s="19">
        <v>0</v>
      </c>
      <c r="HF113" s="19">
        <v>0</v>
      </c>
      <c r="HG113" s="19">
        <v>0</v>
      </c>
      <c r="HH113" s="19">
        <v>0</v>
      </c>
      <c r="HI113" s="19">
        <v>0</v>
      </c>
      <c r="HJ113" s="19">
        <v>2</v>
      </c>
      <c r="HK113" s="19">
        <v>0</v>
      </c>
      <c r="HL113" s="19">
        <v>0</v>
      </c>
      <c r="HM113" s="19">
        <v>2</v>
      </c>
      <c r="HN113" s="19">
        <v>0</v>
      </c>
      <c r="HO113" s="19">
        <v>0</v>
      </c>
      <c r="HP113" s="19">
        <v>0</v>
      </c>
      <c r="HQ113" s="19">
        <v>0</v>
      </c>
      <c r="HR113" s="19">
        <v>0</v>
      </c>
      <c r="HS113" s="19">
        <v>0</v>
      </c>
      <c r="HT113" s="19">
        <v>0</v>
      </c>
      <c r="HU113" s="19">
        <v>0</v>
      </c>
      <c r="HV113" s="19">
        <v>0</v>
      </c>
      <c r="HW113" s="19">
        <v>0</v>
      </c>
      <c r="HX113" s="19">
        <v>0</v>
      </c>
      <c r="HY113" s="19">
        <v>0</v>
      </c>
      <c r="HZ113" s="19">
        <v>0</v>
      </c>
      <c r="IA113" s="19">
        <v>0</v>
      </c>
      <c r="IB113" s="19">
        <v>2</v>
      </c>
      <c r="IC113" s="19">
        <v>0</v>
      </c>
      <c r="ID113" s="19">
        <v>0</v>
      </c>
    </row>
    <row r="114" spans="1:238" x14ac:dyDescent="0.25">
      <c r="A114" s="8"/>
      <c r="B114" s="6" t="s">
        <v>61</v>
      </c>
      <c r="C114" s="8"/>
      <c r="D114" s="6" t="s">
        <v>452</v>
      </c>
      <c r="E114" s="8" t="s">
        <v>56</v>
      </c>
      <c r="F114" s="5" t="s">
        <v>61</v>
      </c>
      <c r="G114" s="8" t="s">
        <v>60</v>
      </c>
      <c r="H114" s="5" t="s">
        <v>61</v>
      </c>
      <c r="I114" s="8">
        <v>35</v>
      </c>
      <c r="J114" s="5" t="s">
        <v>62</v>
      </c>
      <c r="K114" s="4"/>
      <c r="L114" s="6" t="str">
        <f>E115</f>
        <v>SM400</v>
      </c>
      <c r="M114" s="14">
        <f>INDEX(cenník!$C$2:$I$568,MATCH($L114,cenník!$B$2:$B$557,0),MATCH(M$24,cenník!$C$1:$I$1,0))</f>
        <v>890040</v>
      </c>
      <c r="N114" s="14" t="str">
        <f>INDEX(cenník!$C$2:$I$568,MATCH($L114,cenník!$B$2:$B$557,0),MATCH(N$24,cenník!$C$1:$I$1,0))</f>
        <v>ks</v>
      </c>
      <c r="O114" s="14">
        <f>SUM(X106:X121)</f>
        <v>0</v>
      </c>
      <c r="P114" s="21">
        <f>INDEX(cenník!$C$2:$I$568,MATCH($L114,cenník!$B$2:$B$557,0),MATCH(P$24,cenník!$C$1:$I$1,0))</f>
        <v>4</v>
      </c>
      <c r="Q114" s="21">
        <f>O114*P114</f>
        <v>0</v>
      </c>
      <c r="R114" s="22">
        <f t="shared" ref="R114:R123" si="48">$E$119</f>
        <v>0</v>
      </c>
      <c r="S114" s="21">
        <f t="shared" ref="S114:S123" si="49">P114*((100-$E$119)/100)</f>
        <v>4</v>
      </c>
      <c r="T114" s="21">
        <f>O114*S114</f>
        <v>0</v>
      </c>
      <c r="U114" s="21">
        <f>INDEX(cenník!$C$2:$I$568,MATCH($L114,cenník!$B$2:$B$557,0),MATCH(U$24,cenník!$C$1:$I$1,0))*O114</f>
        <v>0</v>
      </c>
      <c r="V114" s="19"/>
      <c r="W114" s="19"/>
      <c r="X114" s="25">
        <f t="shared" si="47"/>
        <v>0</v>
      </c>
      <c r="Y114" s="19"/>
      <c r="Z114" s="19"/>
      <c r="AA114" s="19"/>
      <c r="AB114" s="19"/>
      <c r="AC114" s="19"/>
      <c r="AD114" s="19"/>
      <c r="AE114" s="19"/>
      <c r="AF114" s="19"/>
      <c r="AG114" s="19"/>
      <c r="AH114" s="19"/>
      <c r="AI114" s="19"/>
      <c r="AJ114" s="19"/>
      <c r="AK114" s="19"/>
      <c r="AL114" s="19"/>
      <c r="AM114" s="19"/>
      <c r="AN114" s="19"/>
      <c r="AO114" s="19"/>
      <c r="AP114" s="19"/>
      <c r="AQ114" s="19"/>
      <c r="AR114" s="19"/>
      <c r="AS114" s="19"/>
      <c r="AT114" s="19"/>
      <c r="AU114" s="19"/>
      <c r="AV114" s="19"/>
      <c r="AW114" s="19"/>
      <c r="AX114" s="19"/>
      <c r="AY114" s="19"/>
      <c r="AZ114" s="19"/>
      <c r="BA114" s="20" t="s">
        <v>14</v>
      </c>
      <c r="BB114" s="20">
        <v>0</v>
      </c>
      <c r="BC114" s="20">
        <v>0</v>
      </c>
      <c r="BD114" s="20">
        <v>2</v>
      </c>
      <c r="BE114" s="20">
        <v>0</v>
      </c>
      <c r="BF114" s="20">
        <v>2</v>
      </c>
      <c r="BG114" s="20">
        <v>0</v>
      </c>
      <c r="BH114" s="20">
        <v>4</v>
      </c>
      <c r="BI114" s="20">
        <v>6</v>
      </c>
      <c r="BJ114" s="20">
        <v>4</v>
      </c>
      <c r="BK114" s="20">
        <v>2</v>
      </c>
      <c r="BL114" s="20">
        <v>0</v>
      </c>
      <c r="BM114" s="20">
        <v>8</v>
      </c>
      <c r="BN114" s="20">
        <v>8</v>
      </c>
      <c r="BO114" s="20">
        <v>4</v>
      </c>
      <c r="BP114" s="20">
        <v>0</v>
      </c>
      <c r="BQ114" s="20">
        <v>12</v>
      </c>
      <c r="BR114" s="20">
        <v>8</v>
      </c>
      <c r="BS114" s="20">
        <v>8</v>
      </c>
      <c r="BT114" s="20">
        <v>2</v>
      </c>
      <c r="BU114" s="20">
        <v>14</v>
      </c>
      <c r="BV114" s="20">
        <v>12</v>
      </c>
      <c r="BW114" s="20">
        <v>8</v>
      </c>
      <c r="BX114" s="20">
        <v>8</v>
      </c>
      <c r="BY114" s="20">
        <v>16</v>
      </c>
      <c r="BZ114" s="20">
        <v>14</v>
      </c>
      <c r="CA114" s="20">
        <v>10</v>
      </c>
      <c r="DA114" s="17"/>
      <c r="DB114" s="17"/>
      <c r="DC114" s="17"/>
      <c r="DD114" s="19" t="s">
        <v>179</v>
      </c>
      <c r="DE114" s="19">
        <v>0</v>
      </c>
      <c r="DF114" s="19">
        <v>0</v>
      </c>
      <c r="DG114" s="19">
        <v>4</v>
      </c>
      <c r="DH114" s="19">
        <v>4</v>
      </c>
      <c r="DI114" s="19">
        <v>8</v>
      </c>
      <c r="DJ114" s="19">
        <v>12</v>
      </c>
      <c r="DK114" s="19">
        <v>12</v>
      </c>
      <c r="DL114" s="19">
        <v>16</v>
      </c>
      <c r="DM114" s="19">
        <v>16</v>
      </c>
      <c r="DN114" s="19">
        <v>20</v>
      </c>
      <c r="DO114" s="19">
        <v>20</v>
      </c>
      <c r="DP114" s="19">
        <v>24</v>
      </c>
      <c r="DQ114" s="19">
        <v>28</v>
      </c>
      <c r="DR114" s="19">
        <v>28</v>
      </c>
      <c r="DS114" s="19">
        <v>32</v>
      </c>
      <c r="DT114" s="19">
        <v>32</v>
      </c>
      <c r="DU114" s="19">
        <v>36</v>
      </c>
      <c r="DV114" s="19">
        <v>40</v>
      </c>
      <c r="DW114" s="19">
        <v>40</v>
      </c>
      <c r="DX114" s="19">
        <v>44</v>
      </c>
      <c r="DY114" s="19">
        <v>44</v>
      </c>
      <c r="DZ114" s="19"/>
      <c r="EA114" s="19"/>
      <c r="EB114" s="19"/>
      <c r="GC114" s="19"/>
      <c r="GD114" s="19"/>
      <c r="GE114" s="19" t="s">
        <v>14</v>
      </c>
      <c r="GF114" s="19">
        <v>0</v>
      </c>
      <c r="GG114" s="19">
        <v>0</v>
      </c>
      <c r="GH114" s="19">
        <v>0</v>
      </c>
      <c r="GI114" s="19">
        <v>0</v>
      </c>
      <c r="GJ114" s="19">
        <v>6</v>
      </c>
      <c r="GK114" s="19">
        <v>6</v>
      </c>
      <c r="GL114" s="19">
        <v>6</v>
      </c>
      <c r="GM114" s="19">
        <v>10</v>
      </c>
      <c r="GN114" s="19">
        <v>10</v>
      </c>
      <c r="GO114" s="19">
        <v>10</v>
      </c>
      <c r="GP114" s="19">
        <v>10</v>
      </c>
      <c r="GQ114" s="19">
        <v>8</v>
      </c>
      <c r="GR114" s="19">
        <v>8</v>
      </c>
      <c r="GS114" s="19">
        <v>8</v>
      </c>
      <c r="GT114" s="19">
        <v>6</v>
      </c>
      <c r="GU114" s="19">
        <v>20</v>
      </c>
      <c r="GV114" s="19">
        <v>6</v>
      </c>
      <c r="GW114" s="19">
        <v>20</v>
      </c>
      <c r="GX114" s="19">
        <v>4</v>
      </c>
      <c r="GY114" s="19">
        <v>4</v>
      </c>
      <c r="GZ114" s="19">
        <v>18</v>
      </c>
      <c r="HA114" s="19">
        <v>16</v>
      </c>
      <c r="HB114" s="19">
        <v>2</v>
      </c>
      <c r="HC114" s="19">
        <v>16</v>
      </c>
      <c r="HD114" s="19">
        <v>30</v>
      </c>
      <c r="HE114" s="19">
        <v>0</v>
      </c>
      <c r="HF114" s="19">
        <v>14</v>
      </c>
      <c r="HG114" s="19">
        <v>4</v>
      </c>
      <c r="HH114" s="19">
        <v>0</v>
      </c>
      <c r="HI114" s="19">
        <v>14</v>
      </c>
      <c r="HJ114" s="19">
        <v>12</v>
      </c>
      <c r="HK114" s="19">
        <v>0</v>
      </c>
      <c r="HL114" s="19">
        <v>12</v>
      </c>
      <c r="HM114" s="19">
        <v>10</v>
      </c>
      <c r="HN114" s="19">
        <v>0</v>
      </c>
      <c r="HO114" s="19">
        <v>10</v>
      </c>
      <c r="HP114" s="19">
        <v>24</v>
      </c>
      <c r="HQ114" s="19">
        <v>0</v>
      </c>
      <c r="HR114" s="19">
        <v>8</v>
      </c>
      <c r="HS114" s="19">
        <v>22</v>
      </c>
      <c r="HT114" s="19">
        <v>0</v>
      </c>
      <c r="HU114" s="19">
        <v>6</v>
      </c>
      <c r="HV114" s="19">
        <v>0</v>
      </c>
      <c r="HW114" s="19">
        <v>0</v>
      </c>
      <c r="HX114" s="19">
        <v>4</v>
      </c>
      <c r="HY114" s="19">
        <v>18</v>
      </c>
      <c r="HZ114" s="19">
        <v>0</v>
      </c>
      <c r="IA114" s="19">
        <v>2</v>
      </c>
      <c r="IB114" s="19">
        <v>2</v>
      </c>
      <c r="IC114" s="19">
        <v>0</v>
      </c>
      <c r="ID114" s="19">
        <v>2</v>
      </c>
    </row>
    <row r="115" spans="1:238" x14ac:dyDescent="0.25">
      <c r="A115" s="8"/>
      <c r="B115" s="6" t="s">
        <v>61</v>
      </c>
      <c r="C115" s="8"/>
      <c r="D115" s="6" t="s">
        <v>117</v>
      </c>
      <c r="E115" s="8" t="s">
        <v>7</v>
      </c>
      <c r="F115" s="5"/>
      <c r="G115" s="5"/>
      <c r="H115" s="5"/>
      <c r="I115" s="5"/>
      <c r="J115" s="5"/>
      <c r="K115" s="4"/>
      <c r="L115" s="6" t="str">
        <f>INDEX(($AC$5:$AD$14,$AH$5:$AI$14),MATCH(I114,$AB$5:$AB$14,0),MATCH(E118,$AC$4:$AD$4,0),MATCH(E117,$AC$1:$AC$2,0))</f>
        <v>BUF35</v>
      </c>
      <c r="M115" s="14">
        <f>INDEX(cenník!$C$2:$I$568,MATCH($L115,cenník!$B$2:$B$557,0),MATCH(M$24,cenník!$C$1:$I$1,0))</f>
        <v>897335</v>
      </c>
      <c r="N115" s="14" t="str">
        <f>INDEX(cenník!$C$2:$I$568,MATCH($L115,cenník!$B$2:$B$557,0),MATCH(N$24,cenník!$C$1:$I$1,0))</f>
        <v>ks</v>
      </c>
      <c r="O115" s="14">
        <f>SUM(IF(A113=0,0,IF((A113&gt;0),C113*4)),IF(A114=0,0,IF((A114&gt;0),C114*4)),IF(A115=0,0,IF((A115&gt;0),C115*4)),IF(A116=0,0,IF((A116&gt;0),C116*4)),IF(A117=0,0,IF((A117&gt;0),C117*4)),IF(A118=0,0,IF((A118&gt;0),C118*4)),IF(A119=0,0,IF((A119&gt;0),C119*4)),IF(A120=0,0,IF((A120&gt;0),C120*4)),IF(A121=0,0,IF((A121&gt;0),C121*4)),IF(A122=0,0,IF((A122&gt;0),C122*4)),IF(A123=0,0,IF((A123&gt;0),C123*4)),IF(A124=0,0,IF((A124&gt;0),C124*4)),IF(A125=0,0,IF((A125&gt;0),C125*4)),IF(A126=0,0,IF((A126&gt;0),C126*4)),IF(A127=0,0,IF((A127&gt;0),C127*4)),,IF(A128=0,0,IF((A128&gt;0),C128*4)))</f>
        <v>0</v>
      </c>
      <c r="P115" s="21">
        <f>INDEX(cenník!$C$2:$I$568,MATCH($L115,cenník!$B$2:$B$557,0),MATCH(P$24,cenník!$C$1:$I$1,0))</f>
        <v>0.62</v>
      </c>
      <c r="Q115" s="21">
        <f t="shared" ref="Q115:Q122" si="50">O115*P115</f>
        <v>0</v>
      </c>
      <c r="R115" s="22">
        <f t="shared" si="48"/>
        <v>0</v>
      </c>
      <c r="S115" s="21">
        <f t="shared" si="49"/>
        <v>0.62</v>
      </c>
      <c r="T115" s="21">
        <f t="shared" ref="T115:T120" si="51">O115*S115</f>
        <v>0</v>
      </c>
      <c r="U115" s="21">
        <f>INDEX(cenník!$C$2:$I$568,MATCH($L115,cenník!$B$2:$B$557,0),MATCH(U$24,cenník!$C$1:$I$1,0))*O115</f>
        <v>0</v>
      </c>
      <c r="V115" s="19"/>
      <c r="W115" s="19"/>
      <c r="X115" s="25">
        <f t="shared" si="47"/>
        <v>0</v>
      </c>
      <c r="Y115" s="19"/>
      <c r="Z115" s="19"/>
      <c r="AA115" s="19"/>
      <c r="AB115" s="19"/>
      <c r="AC115" s="19"/>
      <c r="AD115" s="19"/>
      <c r="AE115" s="19"/>
      <c r="AF115" s="19"/>
      <c r="AG115" s="19"/>
      <c r="AH115" s="19"/>
      <c r="AI115" s="19"/>
      <c r="AJ115" s="19"/>
      <c r="AK115" s="19"/>
      <c r="AL115" s="19"/>
      <c r="AM115" s="19"/>
      <c r="AN115" s="19"/>
      <c r="AO115" s="19"/>
      <c r="AP115" s="19"/>
      <c r="AQ115" s="19"/>
      <c r="AR115" s="19"/>
      <c r="AS115" s="19"/>
      <c r="AT115" s="19"/>
      <c r="AU115" s="19"/>
      <c r="AV115" s="19"/>
      <c r="AW115" s="19"/>
      <c r="AX115" s="19"/>
      <c r="AY115" s="19"/>
      <c r="AZ115" s="19"/>
      <c r="BA115" s="20" t="s">
        <v>18</v>
      </c>
      <c r="BB115" s="20">
        <v>0</v>
      </c>
      <c r="BC115" s="20">
        <v>0</v>
      </c>
      <c r="BD115" s="20">
        <v>0</v>
      </c>
      <c r="BE115" s="20">
        <v>0</v>
      </c>
      <c r="BF115" s="20">
        <v>0</v>
      </c>
      <c r="BG115" s="20">
        <v>0</v>
      </c>
      <c r="BH115" s="20">
        <v>0</v>
      </c>
      <c r="BI115" s="20">
        <v>0</v>
      </c>
      <c r="BJ115" s="20">
        <v>0</v>
      </c>
      <c r="BK115" s="20">
        <v>4</v>
      </c>
      <c r="BL115" s="20">
        <v>6</v>
      </c>
      <c r="BM115" s="20">
        <v>0</v>
      </c>
      <c r="BN115" s="20">
        <v>2</v>
      </c>
      <c r="BO115" s="20">
        <v>6</v>
      </c>
      <c r="BP115" s="20">
        <v>10</v>
      </c>
      <c r="BQ115" s="20">
        <v>0</v>
      </c>
      <c r="BR115" s="20">
        <v>4</v>
      </c>
      <c r="BS115" s="20">
        <v>6</v>
      </c>
      <c r="BT115" s="20">
        <v>10</v>
      </c>
      <c r="BU115" s="20">
        <v>2</v>
      </c>
      <c r="BV115" s="20">
        <v>4</v>
      </c>
      <c r="BW115" s="20">
        <v>8</v>
      </c>
      <c r="BX115" s="20">
        <v>10</v>
      </c>
      <c r="BY115" s="20">
        <v>2</v>
      </c>
      <c r="BZ115" s="20">
        <v>6</v>
      </c>
      <c r="CA115" s="20">
        <v>8</v>
      </c>
      <c r="DA115" s="17"/>
      <c r="DB115" s="17"/>
      <c r="DC115" s="17"/>
      <c r="DD115" s="19" t="s">
        <v>236</v>
      </c>
      <c r="DE115" s="19">
        <v>0</v>
      </c>
      <c r="DF115" s="19">
        <v>2</v>
      </c>
      <c r="DG115" s="19">
        <v>4</v>
      </c>
      <c r="DH115" s="19">
        <v>0</v>
      </c>
      <c r="DI115" s="19">
        <v>2</v>
      </c>
      <c r="DJ115" s="19">
        <v>4</v>
      </c>
      <c r="DK115" s="19">
        <v>2</v>
      </c>
      <c r="DL115" s="19">
        <v>4</v>
      </c>
      <c r="DM115" s="19">
        <v>0</v>
      </c>
      <c r="DN115" s="19">
        <v>2</v>
      </c>
      <c r="DO115" s="19">
        <v>0</v>
      </c>
      <c r="DP115" s="19">
        <v>2</v>
      </c>
      <c r="DQ115" s="19">
        <v>4</v>
      </c>
      <c r="DR115" s="19">
        <v>0</v>
      </c>
      <c r="DS115" s="19">
        <v>2</v>
      </c>
      <c r="DT115" s="19">
        <v>0</v>
      </c>
      <c r="DU115" s="19">
        <v>2</v>
      </c>
      <c r="DV115" s="19">
        <v>4</v>
      </c>
      <c r="DW115" s="19">
        <v>0</v>
      </c>
      <c r="DX115" s="19">
        <v>2</v>
      </c>
      <c r="DY115" s="19">
        <v>0</v>
      </c>
      <c r="DZ115" s="19"/>
      <c r="EA115" s="19"/>
      <c r="EB115" s="19"/>
      <c r="GC115" s="19"/>
      <c r="GD115" s="19"/>
      <c r="GE115" s="19" t="s">
        <v>18</v>
      </c>
      <c r="GF115" s="19">
        <v>0</v>
      </c>
      <c r="GG115" s="19">
        <v>0</v>
      </c>
      <c r="GH115" s="19">
        <v>0</v>
      </c>
      <c r="GI115" s="19">
        <v>2</v>
      </c>
      <c r="GJ115" s="19">
        <v>0</v>
      </c>
      <c r="GK115" s="19">
        <v>0</v>
      </c>
      <c r="GL115" s="19">
        <v>0</v>
      </c>
      <c r="GM115" s="19">
        <v>0</v>
      </c>
      <c r="GN115" s="19">
        <v>0</v>
      </c>
      <c r="GO115" s="19">
        <v>0</v>
      </c>
      <c r="GP115" s="19">
        <v>4</v>
      </c>
      <c r="GQ115" s="19">
        <v>6</v>
      </c>
      <c r="GR115" s="19">
        <v>6</v>
      </c>
      <c r="GS115" s="19">
        <v>10</v>
      </c>
      <c r="GT115" s="19">
        <v>12</v>
      </c>
      <c r="GU115" s="19">
        <v>0</v>
      </c>
      <c r="GV115" s="19">
        <v>16</v>
      </c>
      <c r="GW115" s="19">
        <v>4</v>
      </c>
      <c r="GX115" s="19">
        <v>18</v>
      </c>
      <c r="GY115" s="19">
        <v>22</v>
      </c>
      <c r="GZ115" s="19">
        <v>10</v>
      </c>
      <c r="HA115" s="19">
        <v>12</v>
      </c>
      <c r="HB115" s="19">
        <v>28</v>
      </c>
      <c r="HC115" s="19">
        <v>16</v>
      </c>
      <c r="HD115" s="19">
        <v>4</v>
      </c>
      <c r="HE115" s="19">
        <v>34</v>
      </c>
      <c r="HF115" s="19">
        <v>22</v>
      </c>
      <c r="HG115" s="19">
        <v>30</v>
      </c>
      <c r="HH115" s="19">
        <v>38</v>
      </c>
      <c r="HI115" s="19">
        <v>26</v>
      </c>
      <c r="HJ115" s="19">
        <v>28</v>
      </c>
      <c r="HK115" s="19">
        <v>42</v>
      </c>
      <c r="HL115" s="19">
        <v>32</v>
      </c>
      <c r="HM115" s="19">
        <v>34</v>
      </c>
      <c r="HN115" s="19">
        <v>46</v>
      </c>
      <c r="HO115" s="19">
        <v>38</v>
      </c>
      <c r="HP115" s="19">
        <v>26</v>
      </c>
      <c r="HQ115" s="19">
        <v>50</v>
      </c>
      <c r="HR115" s="19">
        <v>44</v>
      </c>
      <c r="HS115" s="19">
        <v>32</v>
      </c>
      <c r="HT115" s="19">
        <v>54</v>
      </c>
      <c r="HU115" s="19">
        <v>50</v>
      </c>
      <c r="HV115" s="19">
        <v>54</v>
      </c>
      <c r="HW115" s="19">
        <v>58</v>
      </c>
      <c r="HX115" s="19">
        <v>56</v>
      </c>
      <c r="HY115" s="19">
        <v>44</v>
      </c>
      <c r="HZ115" s="19">
        <v>62</v>
      </c>
      <c r="IA115" s="19">
        <v>62</v>
      </c>
      <c r="IB115" s="19">
        <v>62</v>
      </c>
      <c r="IC115" s="19">
        <v>66</v>
      </c>
      <c r="ID115" s="19">
        <v>66</v>
      </c>
    </row>
    <row r="116" spans="1:238" x14ac:dyDescent="0.25">
      <c r="A116" s="8"/>
      <c r="B116" s="6" t="s">
        <v>61</v>
      </c>
      <c r="C116" s="8"/>
      <c r="D116" s="6" t="s">
        <v>454</v>
      </c>
      <c r="E116" s="8" t="s">
        <v>462</v>
      </c>
      <c r="F116" s="5"/>
      <c r="G116" s="5"/>
      <c r="H116" s="5"/>
      <c r="I116" s="5"/>
      <c r="J116" s="5"/>
      <c r="K116" s="4"/>
      <c r="L116" s="6" t="str">
        <f>INDEX(($AC$15:$AD$15,$AH$15:$AI$15),1,MATCH(E118,$AC$4:$AD$4,0),MATCH(E117,$AC$1:$AC$2,0))</f>
        <v>PUF</v>
      </c>
      <c r="M116" s="14">
        <f>INDEX(cenník!$C$2:$I$568,MATCH($L116,cenník!$B$2:$B$557,0),MATCH(M$24,cenník!$C$1:$I$1,0))</f>
        <v>897300</v>
      </c>
      <c r="N116" s="14" t="str">
        <f>INDEX(cenník!$C$2:$I$568,MATCH($L116,cenník!$B$2:$B$557,0),MATCH(N$24,cenník!$C$1:$I$1,0))</f>
        <v>ks</v>
      </c>
      <c r="O116" s="14">
        <f>SUM(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,IF(A120=0,0,IF(A120&gt;0,(A120-1)*2*C120)),IF(A121=0,0,IF(A121&gt;0,(A121-1)*2*C121)),IF(A122=0,0,IF(A122&gt;0,(A122-1)*2*C122)),IF(A123=0,0,IF(A123&gt;0,(A123-1)*2*C123)),IF(A124=0,0,IF(A124&gt;0,(A124-1)*2*C124)),IF(A125=0,0,IF(A125&gt;0,(A125-1)*2*C125)),IF(A126=0,0,IF(A126&gt;0,(A126-1)*2*C126)),IF(A127=0,0,IF(A127&gt;0,(A127-1)*2*C127)),IF(A128=0,0,IF(A128&gt;0,(A128-1)*2*C128)))</f>
        <v>0</v>
      </c>
      <c r="P116" s="21">
        <f>INDEX(cenník!$C$2:$I$568,MATCH($L116,cenník!$B$2:$B$557,0),MATCH(P$24,cenník!$C$1:$I$1,0))</f>
        <v>0.56999999999999995</v>
      </c>
      <c r="Q116" s="21">
        <f t="shared" si="50"/>
        <v>0</v>
      </c>
      <c r="R116" s="22">
        <f t="shared" si="48"/>
        <v>0</v>
      </c>
      <c r="S116" s="21">
        <f t="shared" si="49"/>
        <v>0.56999999999999995</v>
      </c>
      <c r="T116" s="21">
        <f t="shared" si="51"/>
        <v>0</v>
      </c>
      <c r="U116" s="21">
        <f>INDEX(cenník!$C$2:$I$568,MATCH($L116,cenník!$B$2:$B$557,0),MATCH(U$24,cenník!$C$1:$I$1,0))*O116</f>
        <v>0</v>
      </c>
      <c r="V116" s="19"/>
      <c r="W116" s="19"/>
      <c r="X116" s="25">
        <f t="shared" si="47"/>
        <v>0</v>
      </c>
      <c r="Y116" s="19"/>
      <c r="Z116" s="19"/>
      <c r="AA116" s="19"/>
      <c r="AB116" s="19"/>
      <c r="AC116" s="19"/>
      <c r="AD116" s="19"/>
      <c r="AE116" s="19"/>
      <c r="AF116" s="19"/>
      <c r="AG116" s="19"/>
      <c r="AH116" s="19"/>
      <c r="AI116" s="19"/>
      <c r="AJ116" s="19"/>
      <c r="AK116" s="19"/>
      <c r="AL116" s="19"/>
      <c r="AM116" s="19"/>
      <c r="AN116" s="19"/>
      <c r="AO116" s="19"/>
      <c r="AP116" s="19"/>
      <c r="AQ116" s="19"/>
      <c r="AR116" s="19"/>
      <c r="AS116" s="19"/>
      <c r="AT116" s="19"/>
      <c r="AU116" s="19"/>
      <c r="AV116" s="19"/>
      <c r="AW116" s="19"/>
      <c r="AX116" s="19"/>
      <c r="AY116" s="19"/>
      <c r="AZ116" s="19"/>
      <c r="BA116" s="20" t="s">
        <v>179</v>
      </c>
      <c r="BB116" s="20">
        <v>0</v>
      </c>
      <c r="BC116" s="20">
        <v>0</v>
      </c>
      <c r="BD116" s="20">
        <v>0</v>
      </c>
      <c r="BE116" s="20">
        <v>4</v>
      </c>
      <c r="BF116" s="20">
        <v>4</v>
      </c>
      <c r="BG116" s="20">
        <v>12</v>
      </c>
      <c r="BH116" s="20">
        <v>8</v>
      </c>
      <c r="BI116" s="20">
        <v>8</v>
      </c>
      <c r="BJ116" s="20">
        <v>12</v>
      </c>
      <c r="BK116" s="20">
        <v>12</v>
      </c>
      <c r="BL116" s="20">
        <v>20</v>
      </c>
      <c r="BM116" s="20">
        <v>16</v>
      </c>
      <c r="BN116" s="20">
        <v>16</v>
      </c>
      <c r="BO116" s="20">
        <v>20</v>
      </c>
      <c r="BP116" s="20">
        <v>20</v>
      </c>
      <c r="BQ116" s="20">
        <v>24</v>
      </c>
      <c r="BR116" s="20">
        <v>24</v>
      </c>
      <c r="BS116" s="20">
        <v>24</v>
      </c>
      <c r="BT116" s="20">
        <v>28</v>
      </c>
      <c r="BU116" s="20">
        <v>28</v>
      </c>
      <c r="BV116" s="20">
        <v>32</v>
      </c>
      <c r="BW116" s="20">
        <v>32</v>
      </c>
      <c r="BX116" s="20">
        <v>32</v>
      </c>
      <c r="BY116" s="20">
        <v>36</v>
      </c>
      <c r="BZ116" s="20">
        <v>36</v>
      </c>
      <c r="CA116" s="20">
        <v>40</v>
      </c>
      <c r="DA116" s="17"/>
      <c r="DB116" s="17"/>
      <c r="DC116" s="17"/>
      <c r="DD116" s="19" t="s">
        <v>238</v>
      </c>
      <c r="DE116" s="19">
        <v>0</v>
      </c>
      <c r="DF116" s="19">
        <v>0</v>
      </c>
      <c r="DG116" s="19">
        <v>0</v>
      </c>
      <c r="DH116" s="19">
        <v>4</v>
      </c>
      <c r="DI116" s="19">
        <v>4</v>
      </c>
      <c r="DJ116" s="19">
        <v>4</v>
      </c>
      <c r="DK116" s="19">
        <v>6</v>
      </c>
      <c r="DL116" s="19">
        <v>6</v>
      </c>
      <c r="DM116" s="19">
        <v>10</v>
      </c>
      <c r="DN116" s="19">
        <v>10</v>
      </c>
      <c r="DO116" s="19">
        <v>12</v>
      </c>
      <c r="DP116" s="19">
        <v>12</v>
      </c>
      <c r="DQ116" s="19">
        <v>12</v>
      </c>
      <c r="DR116" s="19">
        <v>16</v>
      </c>
      <c r="DS116" s="19">
        <v>16</v>
      </c>
      <c r="DT116" s="19">
        <v>18</v>
      </c>
      <c r="DU116" s="19">
        <v>18</v>
      </c>
      <c r="DV116" s="19">
        <v>18</v>
      </c>
      <c r="DW116" s="19">
        <v>22</v>
      </c>
      <c r="DX116" s="19">
        <v>22</v>
      </c>
      <c r="DY116" s="19">
        <v>24</v>
      </c>
      <c r="DZ116" s="19"/>
      <c r="EA116" s="19"/>
      <c r="EB116" s="19"/>
      <c r="GC116" s="19"/>
      <c r="GD116" s="19"/>
      <c r="GE116" s="19" t="s">
        <v>179</v>
      </c>
      <c r="GF116" s="19">
        <v>0</v>
      </c>
      <c r="GG116" s="19">
        <f t="shared" ref="GG116:GP116" si="52">((((SUM(GG93:GG97))/2)-1))*4</f>
        <v>4</v>
      </c>
      <c r="GH116" s="19">
        <f t="shared" si="52"/>
        <v>4</v>
      </c>
      <c r="GI116" s="19">
        <f t="shared" si="52"/>
        <v>4</v>
      </c>
      <c r="GJ116" s="19">
        <f t="shared" si="52"/>
        <v>8</v>
      </c>
      <c r="GK116" s="19">
        <f t="shared" si="52"/>
        <v>12</v>
      </c>
      <c r="GL116" s="19">
        <f t="shared" si="52"/>
        <v>12</v>
      </c>
      <c r="GM116" s="19">
        <f t="shared" si="52"/>
        <v>16</v>
      </c>
      <c r="GN116" s="19">
        <f t="shared" si="52"/>
        <v>20</v>
      </c>
      <c r="GO116" s="19">
        <f t="shared" si="52"/>
        <v>20</v>
      </c>
      <c r="GP116" s="19">
        <f t="shared" si="52"/>
        <v>24</v>
      </c>
      <c r="GQ116" s="19">
        <f t="shared" ref="GQ116:ID116" si="53">((((SUM(GQ111:GQ115))/2)-1))*4</f>
        <v>28</v>
      </c>
      <c r="GR116" s="19">
        <f t="shared" si="53"/>
        <v>32</v>
      </c>
      <c r="GS116" s="19">
        <f t="shared" si="53"/>
        <v>32</v>
      </c>
      <c r="GT116" s="19">
        <f t="shared" si="53"/>
        <v>36</v>
      </c>
      <c r="GU116" s="19">
        <f t="shared" si="53"/>
        <v>40</v>
      </c>
      <c r="GV116" s="19">
        <f t="shared" si="53"/>
        <v>40</v>
      </c>
      <c r="GW116" s="19">
        <f t="shared" si="53"/>
        <v>44</v>
      </c>
      <c r="GX116" s="19">
        <f t="shared" si="53"/>
        <v>48</v>
      </c>
      <c r="GY116" s="19">
        <f t="shared" si="53"/>
        <v>48</v>
      </c>
      <c r="GZ116" s="19">
        <f t="shared" si="53"/>
        <v>52</v>
      </c>
      <c r="HA116" s="19">
        <f t="shared" si="53"/>
        <v>56</v>
      </c>
      <c r="HB116" s="19">
        <f t="shared" si="53"/>
        <v>56</v>
      </c>
      <c r="HC116" s="19">
        <f t="shared" si="53"/>
        <v>60</v>
      </c>
      <c r="HD116" s="19">
        <f t="shared" si="53"/>
        <v>64</v>
      </c>
      <c r="HE116" s="19">
        <f t="shared" si="53"/>
        <v>64</v>
      </c>
      <c r="HF116" s="19">
        <f t="shared" si="53"/>
        <v>68</v>
      </c>
      <c r="HG116" s="19">
        <f t="shared" si="53"/>
        <v>72</v>
      </c>
      <c r="HH116" s="19">
        <f t="shared" si="53"/>
        <v>72</v>
      </c>
      <c r="HI116" s="19">
        <f t="shared" si="53"/>
        <v>76</v>
      </c>
      <c r="HJ116" s="19">
        <f t="shared" si="53"/>
        <v>80</v>
      </c>
      <c r="HK116" s="19">
        <f t="shared" si="53"/>
        <v>80</v>
      </c>
      <c r="HL116" s="19">
        <f t="shared" si="53"/>
        <v>84</v>
      </c>
      <c r="HM116" s="19">
        <f t="shared" si="53"/>
        <v>88</v>
      </c>
      <c r="HN116" s="19">
        <f t="shared" si="53"/>
        <v>88</v>
      </c>
      <c r="HO116" s="19">
        <f t="shared" si="53"/>
        <v>92</v>
      </c>
      <c r="HP116" s="19">
        <f t="shared" si="53"/>
        <v>96</v>
      </c>
      <c r="HQ116" s="19">
        <f t="shared" si="53"/>
        <v>96</v>
      </c>
      <c r="HR116" s="19">
        <f t="shared" si="53"/>
        <v>100</v>
      </c>
      <c r="HS116" s="19">
        <f t="shared" si="53"/>
        <v>104</v>
      </c>
      <c r="HT116" s="19">
        <f t="shared" si="53"/>
        <v>104</v>
      </c>
      <c r="HU116" s="19">
        <f t="shared" si="53"/>
        <v>108</v>
      </c>
      <c r="HV116" s="19">
        <f t="shared" si="53"/>
        <v>112</v>
      </c>
      <c r="HW116" s="19">
        <f t="shared" si="53"/>
        <v>112</v>
      </c>
      <c r="HX116" s="19">
        <f t="shared" si="53"/>
        <v>116</v>
      </c>
      <c r="HY116" s="19">
        <f t="shared" si="53"/>
        <v>120</v>
      </c>
      <c r="HZ116" s="19">
        <f t="shared" si="53"/>
        <v>120</v>
      </c>
      <c r="IA116" s="19">
        <f t="shared" si="53"/>
        <v>124</v>
      </c>
      <c r="IB116" s="19">
        <f t="shared" si="53"/>
        <v>128</v>
      </c>
      <c r="IC116" s="19">
        <f t="shared" si="53"/>
        <v>128</v>
      </c>
      <c r="ID116" s="19">
        <f t="shared" si="53"/>
        <v>132</v>
      </c>
    </row>
    <row r="117" spans="1:238" x14ac:dyDescent="0.25">
      <c r="A117" s="8"/>
      <c r="B117" s="6" t="s">
        <v>61</v>
      </c>
      <c r="C117" s="8"/>
      <c r="D117" s="6" t="s">
        <v>455</v>
      </c>
      <c r="E117" s="8" t="s">
        <v>464</v>
      </c>
      <c r="F117" s="5"/>
      <c r="G117" s="5"/>
      <c r="H117" s="5"/>
      <c r="I117" s="5"/>
      <c r="J117" s="5"/>
      <c r="K117" s="4"/>
      <c r="L117" s="6" t="str">
        <f>INDEX(($AE$5:$AE$14,$AJ$5:$AJ$14),MATCH(I114,$AB$5:$AB$14,0),1,MATCH(E117,$AC$1:$AC$2,0))</f>
        <v>SAM8X30E</v>
      </c>
      <c r="M117" s="14">
        <f>INDEX(cenník!$C$2:$I$568,MATCH($L117,cenník!$B$2:$B$557,0),MATCH(M$24,cenník!$C$1:$I$1,0))</f>
        <v>898530</v>
      </c>
      <c r="N117" s="14" t="str">
        <f>INDEX(cenník!$C$2:$I$568,MATCH($L117,cenník!$B$2:$B$557,0),MATCH(N$24,cenník!$C$1:$I$1,0))</f>
        <v>ks</v>
      </c>
      <c r="O117" s="14">
        <f>IF(L117="-------",0,SUM(O115:O116))</f>
        <v>0</v>
      </c>
      <c r="P117" s="21">
        <f>INDEX(cenník!$C$2:$I$568,MATCH($L117,cenník!$B$2:$B$557,0),MATCH(P$24,cenník!$C$1:$I$1,0))</f>
        <v>0.18</v>
      </c>
      <c r="Q117" s="21">
        <f t="shared" si="50"/>
        <v>0</v>
      </c>
      <c r="R117" s="22">
        <f t="shared" si="48"/>
        <v>0</v>
      </c>
      <c r="S117" s="21">
        <f t="shared" si="49"/>
        <v>0.18</v>
      </c>
      <c r="T117" s="21">
        <f t="shared" si="51"/>
        <v>0</v>
      </c>
      <c r="U117" s="21">
        <f>INDEX(cenník!$C$2:$I$568,MATCH($L117,cenník!$B$2:$B$557,0),MATCH(U$24,cenník!$C$1:$I$1,0))*O117</f>
        <v>0</v>
      </c>
      <c r="V117" s="19"/>
      <c r="W117" s="19"/>
      <c r="X117" s="25">
        <f t="shared" si="47"/>
        <v>0</v>
      </c>
      <c r="Y117" s="19"/>
      <c r="Z117" s="19"/>
      <c r="AA117" s="19"/>
      <c r="AB117" s="19"/>
      <c r="AC117" s="19"/>
      <c r="AD117" s="19"/>
      <c r="AE117" s="19"/>
      <c r="AF117" s="19"/>
      <c r="AG117" s="19"/>
      <c r="AH117" s="19"/>
      <c r="AI117" s="19"/>
      <c r="AJ117" s="19"/>
      <c r="AK117" s="19"/>
      <c r="AL117" s="19"/>
      <c r="AM117" s="19"/>
      <c r="AN117" s="19"/>
      <c r="AO117" s="19"/>
      <c r="AP117" s="19"/>
      <c r="AQ117" s="19"/>
      <c r="AR117" s="19"/>
      <c r="AS117" s="19"/>
      <c r="AT117" s="19"/>
      <c r="AU117" s="19"/>
      <c r="AV117" s="19"/>
      <c r="AW117" s="19"/>
      <c r="AX117" s="19"/>
      <c r="AY117" s="19"/>
      <c r="AZ117" s="19"/>
      <c r="BA117" s="20" t="s">
        <v>234</v>
      </c>
      <c r="BB117" s="20">
        <v>0</v>
      </c>
      <c r="BC117" s="20">
        <v>0</v>
      </c>
      <c r="BD117" s="20">
        <v>0</v>
      </c>
      <c r="BE117" s="20">
        <v>0</v>
      </c>
      <c r="BF117" s="20">
        <v>0</v>
      </c>
      <c r="BG117" s="20">
        <v>4</v>
      </c>
      <c r="BH117" s="20">
        <v>0</v>
      </c>
      <c r="BI117" s="20">
        <v>0</v>
      </c>
      <c r="BJ117" s="20">
        <v>0</v>
      </c>
      <c r="BK117" s="20">
        <v>0</v>
      </c>
      <c r="BL117" s="20">
        <v>6</v>
      </c>
      <c r="BM117" s="20">
        <v>0</v>
      </c>
      <c r="BN117" s="20">
        <v>0</v>
      </c>
      <c r="BO117" s="20">
        <v>2</v>
      </c>
      <c r="BP117" s="20">
        <v>0</v>
      </c>
      <c r="BQ117" s="20">
        <v>2</v>
      </c>
      <c r="BR117" s="20">
        <v>0</v>
      </c>
      <c r="BS117" s="20">
        <v>0</v>
      </c>
      <c r="BT117" s="20">
        <v>0</v>
      </c>
      <c r="BU117" s="20">
        <v>0</v>
      </c>
      <c r="BV117" s="20">
        <v>2</v>
      </c>
      <c r="BW117" s="20">
        <v>0</v>
      </c>
      <c r="BX117" s="20">
        <v>0</v>
      </c>
      <c r="BY117" s="20">
        <v>0</v>
      </c>
      <c r="BZ117" s="20">
        <v>0</v>
      </c>
      <c r="CA117" s="20">
        <v>0</v>
      </c>
      <c r="DA117" s="17"/>
      <c r="DB117" s="17"/>
      <c r="DC117" s="17"/>
      <c r="DD117" s="19" t="s">
        <v>239</v>
      </c>
      <c r="DE117" s="19">
        <v>0</v>
      </c>
      <c r="DF117" s="19">
        <v>0</v>
      </c>
      <c r="DG117" s="19">
        <v>4</v>
      </c>
      <c r="DH117" s="19">
        <v>4</v>
      </c>
      <c r="DI117" s="19">
        <v>8</v>
      </c>
      <c r="DJ117" s="19">
        <v>12</v>
      </c>
      <c r="DK117" s="19">
        <v>12</v>
      </c>
      <c r="DL117" s="19">
        <v>16</v>
      </c>
      <c r="DM117" s="19">
        <v>16</v>
      </c>
      <c r="DN117" s="19">
        <v>20</v>
      </c>
      <c r="DO117" s="19">
        <v>20</v>
      </c>
      <c r="DP117" s="19">
        <v>24</v>
      </c>
      <c r="DQ117" s="19">
        <v>28</v>
      </c>
      <c r="DR117" s="19">
        <v>28</v>
      </c>
      <c r="DS117" s="19">
        <v>32</v>
      </c>
      <c r="DT117" s="19">
        <v>32</v>
      </c>
      <c r="DU117" s="19">
        <v>36</v>
      </c>
      <c r="DV117" s="19">
        <v>40</v>
      </c>
      <c r="DW117" s="19">
        <v>40</v>
      </c>
      <c r="DX117" s="19">
        <v>44</v>
      </c>
      <c r="DY117" s="19">
        <v>44</v>
      </c>
      <c r="DZ117" s="19"/>
      <c r="EA117" s="19"/>
      <c r="EB117" s="19"/>
      <c r="GC117" s="19"/>
      <c r="GD117" s="19"/>
      <c r="GE117" s="26" t="s">
        <v>234</v>
      </c>
      <c r="GF117" s="19">
        <v>0</v>
      </c>
      <c r="GG117" s="19">
        <v>4</v>
      </c>
      <c r="GH117" s="19">
        <v>4</v>
      </c>
      <c r="GI117" s="19">
        <v>6</v>
      </c>
      <c r="GJ117" s="19">
        <v>0</v>
      </c>
      <c r="GK117" s="19">
        <v>0</v>
      </c>
      <c r="GL117" s="19">
        <v>0</v>
      </c>
      <c r="GM117" s="19">
        <v>0</v>
      </c>
      <c r="GN117" s="19">
        <v>0</v>
      </c>
      <c r="GO117" s="19">
        <v>0</v>
      </c>
      <c r="GP117" s="19">
        <v>0</v>
      </c>
      <c r="GQ117" s="19">
        <v>0</v>
      </c>
      <c r="GR117" s="19">
        <v>0</v>
      </c>
      <c r="GS117" s="19">
        <v>0</v>
      </c>
      <c r="GT117" s="19">
        <v>0</v>
      </c>
      <c r="GU117" s="19">
        <v>0</v>
      </c>
      <c r="GV117" s="19">
        <v>0</v>
      </c>
      <c r="GW117" s="19">
        <v>0</v>
      </c>
      <c r="GX117" s="19">
        <v>0</v>
      </c>
      <c r="GY117" s="19">
        <v>0</v>
      </c>
      <c r="GZ117" s="19">
        <v>0</v>
      </c>
      <c r="HA117" s="19">
        <v>0</v>
      </c>
      <c r="HB117" s="19">
        <v>0</v>
      </c>
      <c r="HC117" s="19">
        <v>0</v>
      </c>
      <c r="HD117" s="19">
        <v>0</v>
      </c>
      <c r="HE117" s="19">
        <v>0</v>
      </c>
      <c r="HF117" s="19">
        <v>0</v>
      </c>
      <c r="HG117" s="19">
        <v>0</v>
      </c>
      <c r="HH117" s="19">
        <v>0</v>
      </c>
      <c r="HI117" s="19">
        <v>0</v>
      </c>
      <c r="HJ117" s="19">
        <v>0</v>
      </c>
      <c r="HK117" s="19">
        <v>0</v>
      </c>
      <c r="HL117" s="19">
        <v>0</v>
      </c>
      <c r="HM117" s="19">
        <v>0</v>
      </c>
      <c r="HN117" s="19">
        <v>0</v>
      </c>
      <c r="HO117" s="19">
        <v>0</v>
      </c>
      <c r="HP117" s="19">
        <v>0</v>
      </c>
      <c r="HQ117" s="19">
        <v>0</v>
      </c>
      <c r="HR117" s="19">
        <v>0</v>
      </c>
      <c r="HS117" s="19">
        <v>0</v>
      </c>
      <c r="HT117" s="19">
        <v>0</v>
      </c>
      <c r="HU117" s="19">
        <v>0</v>
      </c>
      <c r="HV117" s="19">
        <v>0</v>
      </c>
      <c r="HW117" s="19">
        <v>0</v>
      </c>
      <c r="HX117" s="19">
        <v>0</v>
      </c>
      <c r="HY117" s="19">
        <v>0</v>
      </c>
      <c r="HZ117" s="19">
        <v>0</v>
      </c>
      <c r="IA117" s="19">
        <v>0</v>
      </c>
      <c r="IB117" s="19">
        <v>0</v>
      </c>
      <c r="IC117" s="19">
        <v>0</v>
      </c>
      <c r="ID117" s="19">
        <v>0</v>
      </c>
    </row>
    <row r="118" spans="1:238" x14ac:dyDescent="0.25">
      <c r="A118" s="8"/>
      <c r="B118" s="6" t="s">
        <v>61</v>
      </c>
      <c r="C118" s="8"/>
      <c r="D118" s="6" t="s">
        <v>456</v>
      </c>
      <c r="E118" s="8" t="s">
        <v>466</v>
      </c>
      <c r="F118" s="5"/>
      <c r="G118" s="5"/>
      <c r="H118" s="5"/>
      <c r="I118" s="5"/>
      <c r="J118" s="5"/>
      <c r="K118" s="4"/>
      <c r="L118" s="6" t="str">
        <f>INDEX(($AF$5:$AF$14,$AK$5:$AK$14),MATCH(I114,$AB$5:$AB$14,0),1,MATCH(E117,$AC$1:$AC$2,0))</f>
        <v>NKWSM8A</v>
      </c>
      <c r="M118" s="14">
        <f>INDEX(cenník!$C$2:$I$568,MATCH($L118,cenník!$B$2:$B$557,0),MATCH(M$24,cenník!$C$1:$I$1,0))</f>
        <v>600909</v>
      </c>
      <c r="N118" s="14" t="str">
        <f>INDEX(cenník!$C$2:$I$568,MATCH($L118,cenník!$B$2:$B$557,0),MATCH(N$24,cenník!$C$1:$I$1,0))</f>
        <v>ks</v>
      </c>
      <c r="O118" s="14">
        <f>IF(L118="-------",0,SUM(O115:O116))</f>
        <v>0</v>
      </c>
      <c r="P118" s="21">
        <f>INDEX(cenník!$C$2:$I$568,MATCH($L118,cenník!$B$2:$B$557,0),MATCH(P$24,cenník!$C$1:$I$1,0))</f>
        <v>0.21</v>
      </c>
      <c r="Q118" s="21">
        <f t="shared" si="50"/>
        <v>0</v>
      </c>
      <c r="R118" s="22">
        <f t="shared" si="48"/>
        <v>0</v>
      </c>
      <c r="S118" s="21">
        <f t="shared" si="49"/>
        <v>0.21</v>
      </c>
      <c r="T118" s="21">
        <f t="shared" si="51"/>
        <v>0</v>
      </c>
      <c r="U118" s="21">
        <f>INDEX(cenník!$C$2:$I$568,MATCH($L118,cenník!$B$2:$B$557,0),MATCH(U$24,cenník!$C$1:$I$1,0))*O118</f>
        <v>0</v>
      </c>
      <c r="V118" s="19"/>
      <c r="W118" s="19"/>
      <c r="X118" s="25">
        <f t="shared" si="47"/>
        <v>0</v>
      </c>
      <c r="Y118" s="19"/>
      <c r="Z118" s="19"/>
      <c r="AA118" s="19"/>
      <c r="AB118" s="19"/>
      <c r="AC118" s="19"/>
      <c r="AD118" s="19"/>
      <c r="AE118" s="19"/>
      <c r="AF118" s="19"/>
      <c r="AG118" s="19"/>
      <c r="AH118" s="19"/>
      <c r="AI118" s="19"/>
      <c r="AJ118" s="19"/>
      <c r="AK118" s="19"/>
      <c r="AL118" s="19"/>
      <c r="AM118" s="19"/>
      <c r="AN118" s="19"/>
      <c r="AO118" s="19"/>
      <c r="AP118" s="19"/>
      <c r="AQ118" s="19"/>
      <c r="AR118" s="19"/>
      <c r="AS118" s="19"/>
      <c r="AT118" s="19"/>
      <c r="AU118" s="19"/>
      <c r="AV118" s="19"/>
      <c r="AW118" s="19"/>
      <c r="AX118" s="19"/>
      <c r="AY118" s="19"/>
      <c r="AZ118" s="19"/>
      <c r="BA118" s="20" t="s">
        <v>235</v>
      </c>
      <c r="BB118" s="20">
        <v>0</v>
      </c>
      <c r="BC118" s="20">
        <v>2</v>
      </c>
      <c r="BD118" s="20">
        <v>0</v>
      </c>
      <c r="BE118" s="20">
        <v>4</v>
      </c>
      <c r="BF118" s="20">
        <v>0</v>
      </c>
      <c r="BG118" s="20">
        <v>0</v>
      </c>
      <c r="BH118" s="20">
        <v>2</v>
      </c>
      <c r="BI118" s="20">
        <v>0</v>
      </c>
      <c r="BJ118" s="20">
        <v>0</v>
      </c>
      <c r="BK118" s="20">
        <v>0</v>
      </c>
      <c r="BL118" s="20">
        <v>0</v>
      </c>
      <c r="BM118" s="20">
        <v>2</v>
      </c>
      <c r="BN118" s="20">
        <v>0</v>
      </c>
      <c r="BO118" s="20">
        <v>0</v>
      </c>
      <c r="BP118" s="20">
        <v>0</v>
      </c>
      <c r="BQ118" s="20">
        <v>0</v>
      </c>
      <c r="BR118" s="20">
        <v>0</v>
      </c>
      <c r="BS118" s="20">
        <v>0</v>
      </c>
      <c r="BT118" s="20">
        <v>0</v>
      </c>
      <c r="BU118" s="20">
        <v>0</v>
      </c>
      <c r="BV118" s="20">
        <v>0</v>
      </c>
      <c r="BW118" s="20">
        <v>0</v>
      </c>
      <c r="BX118" s="20">
        <v>0</v>
      </c>
      <c r="BY118" s="20">
        <v>0</v>
      </c>
      <c r="BZ118" s="20">
        <v>0</v>
      </c>
      <c r="CA118" s="20">
        <v>0</v>
      </c>
      <c r="DA118" s="17"/>
      <c r="DB118" s="17"/>
      <c r="DC118" s="17"/>
      <c r="DD118" s="26" t="s">
        <v>326</v>
      </c>
      <c r="DE118" s="19">
        <v>0</v>
      </c>
      <c r="DF118" s="19"/>
      <c r="DG118" s="19"/>
      <c r="DH118" s="19"/>
      <c r="DI118" s="19"/>
      <c r="DJ118" s="19"/>
      <c r="DK118" s="19"/>
      <c r="DL118" s="19"/>
      <c r="DM118" s="19"/>
      <c r="DN118" s="19"/>
      <c r="DO118" s="19"/>
      <c r="DP118" s="19"/>
      <c r="DQ118" s="19"/>
      <c r="DR118" s="19"/>
      <c r="DS118" s="19"/>
      <c r="DT118" s="19"/>
      <c r="DU118" s="19"/>
      <c r="DV118" s="19"/>
      <c r="DW118" s="19"/>
      <c r="DX118" s="19"/>
      <c r="DY118" s="19"/>
      <c r="DZ118" s="19"/>
      <c r="EA118" s="19"/>
      <c r="EB118" s="19"/>
      <c r="GC118" s="19"/>
      <c r="GD118" s="19"/>
      <c r="GE118" s="26" t="s">
        <v>235</v>
      </c>
      <c r="GF118" s="19">
        <v>0</v>
      </c>
      <c r="GG118" s="19">
        <v>0</v>
      </c>
      <c r="GH118" s="19">
        <v>0</v>
      </c>
      <c r="GI118" s="19">
        <v>0</v>
      </c>
      <c r="GJ118" s="19">
        <v>0</v>
      </c>
      <c r="GK118" s="19">
        <v>2</v>
      </c>
      <c r="GL118" s="19">
        <v>4</v>
      </c>
      <c r="GM118" s="19">
        <v>0</v>
      </c>
      <c r="GN118" s="19">
        <v>0</v>
      </c>
      <c r="GO118" s="19">
        <v>0</v>
      </c>
      <c r="GP118" s="19">
        <v>0</v>
      </c>
      <c r="GQ118" s="19">
        <v>0</v>
      </c>
      <c r="GR118" s="19">
        <v>4</v>
      </c>
      <c r="GS118" s="19">
        <v>0</v>
      </c>
      <c r="GT118" s="19">
        <v>0</v>
      </c>
      <c r="GU118" s="19">
        <v>2</v>
      </c>
      <c r="GV118" s="19">
        <v>0</v>
      </c>
      <c r="GW118" s="19">
        <v>0</v>
      </c>
      <c r="GX118" s="19">
        <v>0</v>
      </c>
      <c r="GY118" s="19">
        <v>0</v>
      </c>
      <c r="GZ118" s="19">
        <v>0</v>
      </c>
      <c r="HA118" s="19">
        <v>2</v>
      </c>
      <c r="HB118" s="19">
        <v>0</v>
      </c>
      <c r="HC118" s="19">
        <v>0</v>
      </c>
      <c r="HD118" s="19">
        <v>0</v>
      </c>
      <c r="HE118" s="19">
        <v>0</v>
      </c>
      <c r="HF118" s="19">
        <v>0</v>
      </c>
      <c r="HG118" s="19">
        <v>4</v>
      </c>
      <c r="HH118" s="19">
        <v>0</v>
      </c>
      <c r="HI118" s="19">
        <v>0</v>
      </c>
      <c r="HJ118" s="19">
        <v>0</v>
      </c>
      <c r="HK118" s="19">
        <v>0</v>
      </c>
      <c r="HL118" s="19">
        <v>0</v>
      </c>
      <c r="HM118" s="19">
        <v>0</v>
      </c>
      <c r="HN118" s="19">
        <v>0</v>
      </c>
      <c r="HO118" s="19">
        <v>0</v>
      </c>
      <c r="HP118" s="19">
        <v>0</v>
      </c>
      <c r="HQ118" s="19">
        <v>0</v>
      </c>
      <c r="HR118" s="19">
        <v>0</v>
      </c>
      <c r="HS118" s="19">
        <v>0</v>
      </c>
      <c r="HT118" s="19">
        <v>0</v>
      </c>
      <c r="HU118" s="19">
        <v>0</v>
      </c>
      <c r="HV118" s="19">
        <v>4</v>
      </c>
      <c r="HW118" s="19">
        <v>0</v>
      </c>
      <c r="HX118" s="19">
        <v>0</v>
      </c>
      <c r="HY118" s="19">
        <v>0</v>
      </c>
      <c r="HZ118" s="19">
        <v>0</v>
      </c>
      <c r="IA118" s="19">
        <v>0</v>
      </c>
      <c r="IB118" s="19">
        <v>0</v>
      </c>
      <c r="IC118" s="19">
        <v>0</v>
      </c>
      <c r="ID118" s="19">
        <v>0</v>
      </c>
    </row>
    <row r="119" spans="1:238" x14ac:dyDescent="0.25">
      <c r="A119" s="8"/>
      <c r="B119" s="6" t="s">
        <v>61</v>
      </c>
      <c r="C119" s="8"/>
      <c r="D119" s="6" t="s">
        <v>458</v>
      </c>
      <c r="E119" s="8">
        <v>0</v>
      </c>
      <c r="F119" s="5"/>
      <c r="G119" s="5"/>
      <c r="H119" s="5"/>
      <c r="I119" s="5"/>
      <c r="J119" s="5" t="s">
        <v>95</v>
      </c>
      <c r="K119" s="4"/>
      <c r="L119" s="6" t="s">
        <v>118</v>
      </c>
      <c r="M119" s="14">
        <f>INDEX(cenník!$C$2:$I$568,MATCH($L119,cenník!$B$2:$B$557,0),MATCH(M$24,cenník!$C$1:$I$1,0))</f>
        <v>894824</v>
      </c>
      <c r="N119" s="14" t="str">
        <f>INDEX(cenník!$C$2:$I$568,MATCH($L119,cenník!$B$2:$B$557,0),MATCH(N$24,cenník!$C$1:$I$1,0))</f>
        <v>ks</v>
      </c>
      <c r="O119" s="14">
        <f>O114*4</f>
        <v>0</v>
      </c>
      <c r="P119" s="21">
        <f>INDEX(cenník!$C$2:$I$568,MATCH($L119,cenník!$B$2:$B$557,0),MATCH(P$24,cenník!$C$1:$I$1,0))</f>
        <v>0.65</v>
      </c>
      <c r="Q119" s="21">
        <f t="shared" si="50"/>
        <v>0</v>
      </c>
      <c r="R119" s="22">
        <f t="shared" si="48"/>
        <v>0</v>
      </c>
      <c r="S119" s="21">
        <f t="shared" si="49"/>
        <v>0.65</v>
      </c>
      <c r="T119" s="21">
        <f t="shared" si="51"/>
        <v>0</v>
      </c>
      <c r="U119" s="21">
        <f>INDEX(cenník!$C$2:$I$568,MATCH($L119,cenník!$B$2:$B$557,0),MATCH(U$24,cenník!$C$1:$I$1,0))*O119</f>
        <v>0</v>
      </c>
      <c r="V119" s="19"/>
      <c r="X119" s="25">
        <f t="shared" si="47"/>
        <v>0</v>
      </c>
      <c r="Y119" s="19"/>
      <c r="Z119" s="19"/>
      <c r="AA119" s="19"/>
      <c r="AB119" s="19"/>
      <c r="AC119" s="19"/>
      <c r="AD119" s="19"/>
      <c r="AE119" s="19"/>
      <c r="AF119" s="19"/>
      <c r="AG119" s="19"/>
      <c r="AH119" s="19"/>
      <c r="AI119" s="19"/>
      <c r="AJ119" s="19"/>
      <c r="AK119" s="19"/>
      <c r="AL119" s="19"/>
      <c r="AM119" s="19"/>
      <c r="AN119" s="19"/>
      <c r="AO119" s="19"/>
      <c r="AP119" s="19"/>
      <c r="AQ119" s="19"/>
      <c r="AR119" s="19"/>
      <c r="AS119" s="19"/>
      <c r="AT119" s="19"/>
      <c r="AU119" s="19"/>
      <c r="AV119" s="19"/>
      <c r="AW119" s="19"/>
      <c r="AX119" s="19"/>
      <c r="AY119" s="19"/>
      <c r="AZ119" s="19"/>
      <c r="BA119" s="20" t="s">
        <v>236</v>
      </c>
      <c r="BB119" s="20">
        <v>0</v>
      </c>
      <c r="BC119" s="20">
        <v>0</v>
      </c>
      <c r="BD119" s="20">
        <v>0</v>
      </c>
      <c r="BE119" s="20">
        <v>0</v>
      </c>
      <c r="BF119" s="20">
        <v>2</v>
      </c>
      <c r="BG119" s="20">
        <v>4</v>
      </c>
      <c r="BH119" s="20">
        <v>0</v>
      </c>
      <c r="BI119" s="20">
        <v>0</v>
      </c>
      <c r="BJ119" s="20">
        <v>4</v>
      </c>
      <c r="BK119" s="20">
        <v>2</v>
      </c>
      <c r="BL119" s="20">
        <v>0</v>
      </c>
      <c r="BM119" s="20">
        <v>0</v>
      </c>
      <c r="BN119" s="20">
        <v>0</v>
      </c>
      <c r="BO119" s="20">
        <v>0</v>
      </c>
      <c r="BP119" s="20">
        <v>2</v>
      </c>
      <c r="BQ119" s="20">
        <v>0</v>
      </c>
      <c r="BR119" s="20">
        <v>2</v>
      </c>
      <c r="BS119" s="20">
        <v>0</v>
      </c>
      <c r="BT119" s="20">
        <v>4</v>
      </c>
      <c r="BU119" s="20">
        <v>0</v>
      </c>
      <c r="BV119" s="20">
        <v>0</v>
      </c>
      <c r="BW119" s="20">
        <v>2</v>
      </c>
      <c r="BX119" s="20">
        <v>0</v>
      </c>
      <c r="BY119" s="20">
        <v>2</v>
      </c>
      <c r="BZ119" s="20">
        <v>0</v>
      </c>
      <c r="CA119" s="20">
        <v>4</v>
      </c>
      <c r="DA119" s="17"/>
      <c r="DB119" s="17"/>
      <c r="DC119" s="17"/>
      <c r="DD119" s="26" t="s">
        <v>327</v>
      </c>
      <c r="DE119" s="19">
        <v>0</v>
      </c>
      <c r="DF119" s="19"/>
      <c r="DG119" s="19"/>
      <c r="DH119" s="19"/>
      <c r="DI119" s="19"/>
      <c r="DJ119" s="19"/>
      <c r="DK119" s="19"/>
      <c r="DL119" s="19"/>
      <c r="DM119" s="19"/>
      <c r="DN119" s="19"/>
      <c r="DO119" s="19"/>
      <c r="DP119" s="19"/>
      <c r="DQ119" s="19"/>
      <c r="DR119" s="19"/>
      <c r="DS119" s="19"/>
      <c r="DT119" s="19"/>
      <c r="DU119" s="19"/>
      <c r="DV119" s="19"/>
      <c r="DW119" s="19"/>
      <c r="DX119" s="19"/>
      <c r="DY119" s="19"/>
      <c r="DZ119" s="19"/>
      <c r="EA119" s="19"/>
      <c r="EB119" s="19"/>
      <c r="GC119" s="19"/>
      <c r="GD119" s="19"/>
      <c r="GE119" s="26" t="s">
        <v>236</v>
      </c>
      <c r="GF119" s="19">
        <v>0</v>
      </c>
      <c r="GG119" s="19">
        <v>0</v>
      </c>
      <c r="GH119" s="19">
        <v>2</v>
      </c>
      <c r="GI119" s="19">
        <v>0</v>
      </c>
      <c r="GJ119" s="19">
        <v>0</v>
      </c>
      <c r="GK119" s="19">
        <v>0</v>
      </c>
      <c r="GL119" s="19">
        <v>0</v>
      </c>
      <c r="GM119" s="19">
        <v>0</v>
      </c>
      <c r="GN119" s="19">
        <v>2</v>
      </c>
      <c r="GO119" s="19">
        <v>4</v>
      </c>
      <c r="GP119" s="19">
        <v>0</v>
      </c>
      <c r="GQ119" s="19">
        <v>2</v>
      </c>
      <c r="GR119" s="19">
        <v>0</v>
      </c>
      <c r="GS119" s="19">
        <v>0</v>
      </c>
      <c r="GT119" s="19">
        <v>2</v>
      </c>
      <c r="GU119" s="19">
        <v>0</v>
      </c>
      <c r="GV119" s="19">
        <v>0</v>
      </c>
      <c r="GW119" s="19">
        <v>0</v>
      </c>
      <c r="GX119" s="19">
        <v>4</v>
      </c>
      <c r="GY119" s="19">
        <v>0</v>
      </c>
      <c r="GZ119" s="19">
        <v>0</v>
      </c>
      <c r="HA119" s="19">
        <v>0</v>
      </c>
      <c r="HB119" s="19">
        <v>0</v>
      </c>
      <c r="HC119" s="19">
        <v>0</v>
      </c>
      <c r="HD119" s="19">
        <v>0</v>
      </c>
      <c r="HE119" s="19">
        <v>0</v>
      </c>
      <c r="HF119" s="19">
        <v>0</v>
      </c>
      <c r="HG119" s="19">
        <v>0</v>
      </c>
      <c r="HH119" s="19">
        <v>0</v>
      </c>
      <c r="HI119" s="19">
        <v>0</v>
      </c>
      <c r="HJ119" s="19">
        <v>2</v>
      </c>
      <c r="HK119" s="19">
        <v>0</v>
      </c>
      <c r="HL119" s="19">
        <v>0</v>
      </c>
      <c r="HM119" s="19">
        <v>2</v>
      </c>
      <c r="HN119" s="19">
        <v>0</v>
      </c>
      <c r="HO119" s="19">
        <v>0</v>
      </c>
      <c r="HP119" s="19">
        <v>0</v>
      </c>
      <c r="HQ119" s="19">
        <v>0</v>
      </c>
      <c r="HR119" s="19">
        <v>0</v>
      </c>
      <c r="HS119" s="19">
        <v>0</v>
      </c>
      <c r="HT119" s="19">
        <v>0</v>
      </c>
      <c r="HU119" s="19">
        <v>0</v>
      </c>
      <c r="HV119" s="19">
        <v>0</v>
      </c>
      <c r="HW119" s="19">
        <v>0</v>
      </c>
      <c r="HX119" s="19">
        <v>0</v>
      </c>
      <c r="HY119" s="19">
        <v>0</v>
      </c>
      <c r="HZ119" s="19">
        <v>0</v>
      </c>
      <c r="IA119" s="19">
        <v>0</v>
      </c>
      <c r="IB119" s="19">
        <v>2</v>
      </c>
      <c r="IC119" s="19">
        <v>0</v>
      </c>
      <c r="ID119" s="19">
        <v>0</v>
      </c>
    </row>
    <row r="120" spans="1:238" x14ac:dyDescent="0.25">
      <c r="A120" s="8"/>
      <c r="B120" s="6" t="s">
        <v>61</v>
      </c>
      <c r="C120" s="8"/>
      <c r="D120" s="6" t="s">
        <v>460</v>
      </c>
      <c r="E120" s="8">
        <v>0</v>
      </c>
      <c r="F120" s="4"/>
      <c r="G120" s="4"/>
      <c r="H120" s="4"/>
      <c r="I120" s="4"/>
      <c r="J120" s="5" t="s">
        <v>461</v>
      </c>
      <c r="K120" s="4"/>
      <c r="L120" s="6" t="str">
        <f>IF(L116="PUFK","PUPK",IF(L116="PUFKL","PUPK","PUP"))</f>
        <v>PUP</v>
      </c>
      <c r="M120" s="14">
        <f>INDEX(cenník!$C$2:$I$568,MATCH($L120,cenník!$B$2:$B$557,0),MATCH(M$24,cenník!$C$1:$I$1,0))</f>
        <v>897303</v>
      </c>
      <c r="N120" s="14" t="str">
        <f>INDEX(cenník!$C$2:$I$568,MATCH($L120,cenník!$B$2:$B$557,0),MATCH(N$24,cenník!$C$1:$I$1,0))</f>
        <v>ks</v>
      </c>
      <c r="O120" s="14">
        <f>O116/2</f>
        <v>0</v>
      </c>
      <c r="P120" s="21">
        <f>INDEX(cenník!$C$2:$I$568,MATCH($L120,cenník!$B$2:$B$557,0),MATCH(P$24,cenník!$C$1:$I$1,0))</f>
        <v>0.83</v>
      </c>
      <c r="Q120" s="21">
        <f t="shared" si="50"/>
        <v>0</v>
      </c>
      <c r="R120" s="22">
        <f t="shared" si="48"/>
        <v>0</v>
      </c>
      <c r="S120" s="21">
        <f t="shared" si="49"/>
        <v>0.83</v>
      </c>
      <c r="T120" s="21">
        <f t="shared" si="51"/>
        <v>0</v>
      </c>
      <c r="U120" s="21">
        <f>INDEX(cenník!$C$2:$I$568,MATCH($L120,cenník!$B$2:$B$557,0),MATCH(U$24,cenník!$C$1:$I$1,0))*O120</f>
        <v>0</v>
      </c>
      <c r="V120" s="19"/>
      <c r="X120" s="25">
        <f t="shared" si="47"/>
        <v>0</v>
      </c>
      <c r="Y120" s="19"/>
      <c r="Z120" s="19"/>
      <c r="AA120" s="19"/>
      <c r="AB120" s="19"/>
      <c r="AC120" s="19"/>
      <c r="AD120" s="19"/>
      <c r="AE120" s="19"/>
      <c r="AF120" s="19"/>
      <c r="AG120" s="19"/>
      <c r="AH120" s="19"/>
      <c r="AI120" s="19"/>
      <c r="AJ120" s="19"/>
      <c r="AK120" s="19"/>
      <c r="AL120" s="19"/>
      <c r="AM120" s="19"/>
      <c r="AN120" s="19"/>
      <c r="AO120" s="19"/>
      <c r="AP120" s="19"/>
      <c r="AQ120" s="19"/>
      <c r="AR120" s="19"/>
      <c r="AS120" s="19"/>
      <c r="AT120" s="19"/>
      <c r="AU120" s="19"/>
      <c r="AV120" s="19"/>
      <c r="AW120" s="19"/>
      <c r="AX120" s="19"/>
      <c r="AY120" s="19"/>
      <c r="AZ120" s="19"/>
      <c r="BA120" s="20" t="s">
        <v>237</v>
      </c>
      <c r="BB120" s="20">
        <v>0</v>
      </c>
      <c r="BC120" s="20">
        <v>0</v>
      </c>
      <c r="BD120" s="20">
        <v>2</v>
      </c>
      <c r="BE120" s="20">
        <v>0</v>
      </c>
      <c r="BF120" s="20">
        <v>2</v>
      </c>
      <c r="BG120" s="20">
        <v>0</v>
      </c>
      <c r="BH120" s="20">
        <v>4</v>
      </c>
      <c r="BI120" s="20">
        <v>6</v>
      </c>
      <c r="BJ120" s="20">
        <v>4</v>
      </c>
      <c r="BK120" s="20">
        <v>2</v>
      </c>
      <c r="BL120" s="20">
        <v>0</v>
      </c>
      <c r="BM120" s="20">
        <v>8</v>
      </c>
      <c r="BN120" s="20">
        <v>8</v>
      </c>
      <c r="BO120" s="20">
        <v>4</v>
      </c>
      <c r="BP120" s="20">
        <v>0</v>
      </c>
      <c r="BQ120" s="20">
        <v>12</v>
      </c>
      <c r="BR120" s="20">
        <v>8</v>
      </c>
      <c r="BS120" s="20">
        <v>8</v>
      </c>
      <c r="BT120" s="20">
        <v>2</v>
      </c>
      <c r="BU120" s="20">
        <v>14</v>
      </c>
      <c r="BV120" s="20">
        <v>12</v>
      </c>
      <c r="BW120" s="20">
        <v>8</v>
      </c>
      <c r="BX120" s="20">
        <v>8</v>
      </c>
      <c r="BY120" s="20">
        <v>16</v>
      </c>
      <c r="BZ120" s="20">
        <v>14</v>
      </c>
      <c r="CA120" s="20">
        <v>10</v>
      </c>
      <c r="DA120" s="17"/>
      <c r="DB120" s="17"/>
      <c r="DC120" s="17"/>
      <c r="DD120" s="26" t="s">
        <v>328</v>
      </c>
      <c r="DE120" s="19">
        <v>0</v>
      </c>
      <c r="DF120" s="19"/>
      <c r="DG120" s="19"/>
      <c r="DH120" s="19"/>
      <c r="DI120" s="19"/>
      <c r="DJ120" s="19"/>
      <c r="DK120" s="19"/>
      <c r="DL120" s="19"/>
      <c r="DM120" s="19"/>
      <c r="DN120" s="19"/>
      <c r="DO120" s="19"/>
      <c r="DP120" s="19"/>
      <c r="DQ120" s="19"/>
      <c r="DR120" s="19"/>
      <c r="DS120" s="19"/>
      <c r="DT120" s="19"/>
      <c r="DU120" s="19"/>
      <c r="DV120" s="19"/>
      <c r="DW120" s="19"/>
      <c r="DX120" s="19"/>
      <c r="DY120" s="19"/>
      <c r="DZ120" s="19"/>
      <c r="EA120" s="19"/>
      <c r="EB120" s="19"/>
      <c r="GC120" s="19"/>
      <c r="GD120" s="19"/>
      <c r="GE120" s="26" t="s">
        <v>237</v>
      </c>
      <c r="GF120" s="19">
        <v>0</v>
      </c>
      <c r="GG120" s="19">
        <v>0</v>
      </c>
      <c r="GH120" s="19">
        <v>0</v>
      </c>
      <c r="GI120" s="19">
        <v>0</v>
      </c>
      <c r="GJ120" s="19">
        <v>6</v>
      </c>
      <c r="GK120" s="19">
        <v>6</v>
      </c>
      <c r="GL120" s="19">
        <v>6</v>
      </c>
      <c r="GM120" s="19">
        <v>10</v>
      </c>
      <c r="GN120" s="19">
        <v>10</v>
      </c>
      <c r="GO120" s="19">
        <v>10</v>
      </c>
      <c r="GP120" s="19">
        <v>10</v>
      </c>
      <c r="GQ120" s="19">
        <v>8</v>
      </c>
      <c r="GR120" s="19">
        <v>8</v>
      </c>
      <c r="GS120" s="19">
        <v>8</v>
      </c>
      <c r="GT120" s="19">
        <v>6</v>
      </c>
      <c r="GU120" s="19">
        <v>20</v>
      </c>
      <c r="GV120" s="19">
        <v>6</v>
      </c>
      <c r="GW120" s="19">
        <v>20</v>
      </c>
      <c r="GX120" s="19">
        <v>4</v>
      </c>
      <c r="GY120" s="19">
        <v>4</v>
      </c>
      <c r="GZ120" s="19">
        <v>18</v>
      </c>
      <c r="HA120" s="19">
        <v>16</v>
      </c>
      <c r="HB120" s="19">
        <v>2</v>
      </c>
      <c r="HC120" s="19">
        <v>16</v>
      </c>
      <c r="HD120" s="19">
        <v>30</v>
      </c>
      <c r="HE120" s="19">
        <v>0</v>
      </c>
      <c r="HF120" s="19">
        <v>14</v>
      </c>
      <c r="HG120" s="19">
        <v>4</v>
      </c>
      <c r="HH120" s="19">
        <v>0</v>
      </c>
      <c r="HI120" s="19">
        <v>14</v>
      </c>
      <c r="HJ120" s="19">
        <v>12</v>
      </c>
      <c r="HK120" s="19">
        <v>0</v>
      </c>
      <c r="HL120" s="19">
        <v>12</v>
      </c>
      <c r="HM120" s="19">
        <v>10</v>
      </c>
      <c r="HN120" s="19">
        <v>0</v>
      </c>
      <c r="HO120" s="19">
        <v>10</v>
      </c>
      <c r="HP120" s="19">
        <v>24</v>
      </c>
      <c r="HQ120" s="19">
        <v>0</v>
      </c>
      <c r="HR120" s="19">
        <v>8</v>
      </c>
      <c r="HS120" s="19">
        <v>22</v>
      </c>
      <c r="HT120" s="19">
        <v>0</v>
      </c>
      <c r="HU120" s="19">
        <v>6</v>
      </c>
      <c r="HV120" s="19">
        <v>0</v>
      </c>
      <c r="HW120" s="19">
        <v>0</v>
      </c>
      <c r="HX120" s="19">
        <v>4</v>
      </c>
      <c r="HY120" s="19">
        <v>18</v>
      </c>
      <c r="HZ120" s="19">
        <v>0</v>
      </c>
      <c r="IA120" s="19">
        <v>2</v>
      </c>
      <c r="IB120" s="19">
        <v>2</v>
      </c>
      <c r="IC120" s="19">
        <v>0</v>
      </c>
      <c r="ID120" s="19">
        <v>2</v>
      </c>
    </row>
    <row r="121" spans="1:238" x14ac:dyDescent="0.25">
      <c r="A121" s="8"/>
      <c r="B121" s="6" t="s">
        <v>61</v>
      </c>
      <c r="C121" s="8"/>
      <c r="D121" s="6" t="s">
        <v>474</v>
      </c>
      <c r="E121" s="4"/>
      <c r="F121" s="4"/>
      <c r="G121" s="4"/>
      <c r="H121" s="4"/>
      <c r="I121" s="4"/>
      <c r="J121" s="4"/>
      <c r="K121" s="4"/>
      <c r="L121" s="6" t="str">
        <f>IF(E115=Y107,"EPDMW2X40",IF(E115=Y108,"-------",IF(E115=Y109,"-------",0)))</f>
        <v>EPDMW2X40</v>
      </c>
      <c r="M121" s="14">
        <f>INDEX(cenník!$C$2:$I$568,MATCH($L121,cenník!$B$2:$B$557,0),MATCH(M$24,cenník!$C$1:$I$1,0))</f>
        <v>890000</v>
      </c>
      <c r="N121" s="14" t="str">
        <f>INDEX(cenník!$C$2:$I$568,MATCH($L121,cenník!$B$2:$B$557,0),MATCH(N$24,cenník!$C$1:$I$1,0))</f>
        <v>ks</v>
      </c>
      <c r="O121" s="14">
        <f>IF(E115=Y107,(ROUNDUP(((O114*0.15)/10),0)),IF(E115=Y108,0,IF(E115=Y109,0,0)))</f>
        <v>0</v>
      </c>
      <c r="P121" s="21">
        <f>INDEX(cenník!$C$2:$I$568,MATCH($L121,cenník!$B$2:$B$557,0),MATCH(P$24,cenník!$C$1:$I$1,0))</f>
        <v>30.16</v>
      </c>
      <c r="Q121" s="21">
        <f t="shared" si="50"/>
        <v>0</v>
      </c>
      <c r="R121" s="22">
        <f t="shared" si="48"/>
        <v>0</v>
      </c>
      <c r="S121" s="21">
        <f t="shared" si="49"/>
        <v>30.16</v>
      </c>
      <c r="T121" s="21">
        <f>O121*S121</f>
        <v>0</v>
      </c>
      <c r="U121" s="21">
        <f>INDEX(cenník!$C$2:$I$568,MATCH($L121,cenník!$B$2:$B$557,0),MATCH(U$24,cenník!$C$1:$I$1,0))*O121</f>
        <v>0</v>
      </c>
      <c r="V121" s="19"/>
      <c r="X121" s="25">
        <f t="shared" si="47"/>
        <v>0</v>
      </c>
      <c r="Y121" s="19"/>
      <c r="Z121" s="19"/>
      <c r="AA121" s="19"/>
      <c r="AB121" s="19"/>
      <c r="AC121" s="19"/>
      <c r="AD121" s="19"/>
      <c r="AE121" s="19"/>
      <c r="AF121" s="19"/>
      <c r="AG121" s="19"/>
      <c r="AH121" s="19"/>
      <c r="AI121" s="19"/>
      <c r="AJ121" s="19"/>
      <c r="AK121" s="19"/>
      <c r="AL121" s="19"/>
      <c r="AM121" s="19"/>
      <c r="AN121" s="19"/>
      <c r="AO121" s="19"/>
      <c r="AP121" s="19"/>
      <c r="AQ121" s="19"/>
      <c r="AR121" s="19"/>
      <c r="AS121" s="19"/>
      <c r="AT121" s="19"/>
      <c r="AU121" s="19"/>
      <c r="AV121" s="19"/>
      <c r="AW121" s="19"/>
      <c r="AX121" s="19"/>
      <c r="AY121" s="19"/>
      <c r="AZ121" s="19"/>
      <c r="BA121" s="20" t="s">
        <v>238</v>
      </c>
      <c r="BB121" s="20">
        <v>0</v>
      </c>
      <c r="BC121" s="20">
        <v>0</v>
      </c>
      <c r="BD121" s="20">
        <v>0</v>
      </c>
      <c r="BE121" s="20">
        <v>0</v>
      </c>
      <c r="BF121" s="20">
        <v>0</v>
      </c>
      <c r="BG121" s="20">
        <v>0</v>
      </c>
      <c r="BH121" s="20">
        <v>0</v>
      </c>
      <c r="BI121" s="20">
        <v>0</v>
      </c>
      <c r="BJ121" s="20">
        <v>0</v>
      </c>
      <c r="BK121" s="20">
        <v>4</v>
      </c>
      <c r="BL121" s="20">
        <v>6</v>
      </c>
      <c r="BM121" s="20">
        <v>0</v>
      </c>
      <c r="BN121" s="20">
        <v>2</v>
      </c>
      <c r="BO121" s="20">
        <v>6</v>
      </c>
      <c r="BP121" s="20">
        <v>10</v>
      </c>
      <c r="BQ121" s="20">
        <v>0</v>
      </c>
      <c r="BR121" s="20">
        <v>4</v>
      </c>
      <c r="BS121" s="20">
        <v>6</v>
      </c>
      <c r="BT121" s="20">
        <v>10</v>
      </c>
      <c r="BU121" s="20">
        <v>2</v>
      </c>
      <c r="BV121" s="20">
        <v>4</v>
      </c>
      <c r="BW121" s="20">
        <v>8</v>
      </c>
      <c r="BX121" s="20">
        <v>10</v>
      </c>
      <c r="BY121" s="20">
        <v>2</v>
      </c>
      <c r="BZ121" s="20">
        <v>6</v>
      </c>
      <c r="CA121" s="20">
        <v>8</v>
      </c>
      <c r="DA121" s="17"/>
      <c r="DB121" s="17"/>
      <c r="DC121" s="17"/>
      <c r="DD121" s="19"/>
      <c r="DE121" s="19"/>
      <c r="DF121" s="19"/>
      <c r="DG121" s="19"/>
      <c r="DH121" s="19"/>
      <c r="DI121" s="19"/>
      <c r="DJ121" s="19"/>
      <c r="DK121" s="19"/>
      <c r="DL121" s="19"/>
      <c r="DM121" s="19"/>
      <c r="DN121" s="19"/>
      <c r="DO121" s="19"/>
      <c r="DP121" s="19"/>
      <c r="DQ121" s="19"/>
      <c r="DR121" s="19"/>
      <c r="DS121" s="19"/>
      <c r="DT121" s="19"/>
      <c r="DU121" s="19"/>
      <c r="DV121" s="19"/>
      <c r="DW121" s="19"/>
      <c r="DX121" s="19"/>
      <c r="DY121" s="19"/>
      <c r="DZ121" s="19"/>
      <c r="EA121" s="19"/>
      <c r="EB121" s="19"/>
      <c r="GC121" s="19"/>
      <c r="GD121" s="19"/>
      <c r="GE121" s="26" t="s">
        <v>238</v>
      </c>
      <c r="GF121" s="19">
        <v>0</v>
      </c>
      <c r="GG121" s="19">
        <v>0</v>
      </c>
      <c r="GH121" s="19">
        <v>0</v>
      </c>
      <c r="GI121" s="19">
        <v>2</v>
      </c>
      <c r="GJ121" s="19">
        <v>0</v>
      </c>
      <c r="GK121" s="19">
        <v>0</v>
      </c>
      <c r="GL121" s="19">
        <v>0</v>
      </c>
      <c r="GM121" s="19">
        <v>0</v>
      </c>
      <c r="GN121" s="19">
        <v>0</v>
      </c>
      <c r="GO121" s="19">
        <v>0</v>
      </c>
      <c r="GP121" s="19">
        <v>4</v>
      </c>
      <c r="GQ121" s="19">
        <v>6</v>
      </c>
      <c r="GR121" s="19">
        <v>6</v>
      </c>
      <c r="GS121" s="19">
        <v>10</v>
      </c>
      <c r="GT121" s="19">
        <v>12</v>
      </c>
      <c r="GU121" s="19">
        <v>0</v>
      </c>
      <c r="GV121" s="19">
        <v>16</v>
      </c>
      <c r="GW121" s="19">
        <v>4</v>
      </c>
      <c r="GX121" s="19">
        <v>18</v>
      </c>
      <c r="GY121" s="19">
        <v>22</v>
      </c>
      <c r="GZ121" s="19">
        <v>10</v>
      </c>
      <c r="HA121" s="19">
        <v>12</v>
      </c>
      <c r="HB121" s="19">
        <v>28</v>
      </c>
      <c r="HC121" s="19">
        <v>16</v>
      </c>
      <c r="HD121" s="19">
        <v>4</v>
      </c>
      <c r="HE121" s="19">
        <v>34</v>
      </c>
      <c r="HF121" s="19">
        <v>22</v>
      </c>
      <c r="HG121" s="19">
        <v>30</v>
      </c>
      <c r="HH121" s="19">
        <v>38</v>
      </c>
      <c r="HI121" s="19">
        <v>26</v>
      </c>
      <c r="HJ121" s="19">
        <v>28</v>
      </c>
      <c r="HK121" s="19">
        <v>42</v>
      </c>
      <c r="HL121" s="19">
        <v>32</v>
      </c>
      <c r="HM121" s="19">
        <v>34</v>
      </c>
      <c r="HN121" s="19">
        <v>46</v>
      </c>
      <c r="HO121" s="19">
        <v>38</v>
      </c>
      <c r="HP121" s="19">
        <v>26</v>
      </c>
      <c r="HQ121" s="19">
        <v>50</v>
      </c>
      <c r="HR121" s="19">
        <v>44</v>
      </c>
      <c r="HS121" s="19">
        <v>32</v>
      </c>
      <c r="HT121" s="19">
        <v>54</v>
      </c>
      <c r="HU121" s="19">
        <v>50</v>
      </c>
      <c r="HV121" s="19">
        <v>54</v>
      </c>
      <c r="HW121" s="19">
        <v>58</v>
      </c>
      <c r="HX121" s="19">
        <v>56</v>
      </c>
      <c r="HY121" s="19">
        <v>44</v>
      </c>
      <c r="HZ121" s="19">
        <v>62</v>
      </c>
      <c r="IA121" s="19">
        <v>62</v>
      </c>
      <c r="IB121" s="19">
        <v>62</v>
      </c>
      <c r="IC121" s="19">
        <v>66</v>
      </c>
      <c r="ID121" s="19">
        <v>66</v>
      </c>
    </row>
    <row r="122" spans="1:238" x14ac:dyDescent="0.25">
      <c r="A122" s="8"/>
      <c r="B122" s="6" t="s">
        <v>61</v>
      </c>
      <c r="C122" s="8"/>
      <c r="D122" s="44" t="s">
        <v>576</v>
      </c>
      <c r="E122" s="4"/>
      <c r="F122" s="4"/>
      <c r="G122" s="4"/>
      <c r="H122" s="4"/>
      <c r="I122" s="4"/>
      <c r="J122" s="4"/>
      <c r="K122" s="4"/>
      <c r="L122" s="6" t="s">
        <v>51</v>
      </c>
      <c r="M122" s="14">
        <f>INDEX(cenník!$C$2:$I$568,MATCH($L122,cenník!$B$2:$B$557,0),MATCH(M$24,cenník!$C$1:$I$1,0))</f>
        <v>651820</v>
      </c>
      <c r="N122" s="14" t="str">
        <f>INDEX(cenník!$C$2:$I$568,MATCH($L122,cenník!$B$2:$B$557,0),MATCH(N$24,cenník!$C$1:$I$1,0))</f>
        <v>100ks</v>
      </c>
      <c r="O122" s="14">
        <f>ROUNDUP((E120/100),0)</f>
        <v>0</v>
      </c>
      <c r="P122" s="21">
        <f>INDEX(cenník!$C$2:$I$568,MATCH($L122,cenník!$B$2:$B$557,0),MATCH(P$24,cenník!$C$1:$I$1,0))</f>
        <v>33.15</v>
      </c>
      <c r="Q122" s="21">
        <f t="shared" si="50"/>
        <v>0</v>
      </c>
      <c r="R122" s="22">
        <f t="shared" si="48"/>
        <v>0</v>
      </c>
      <c r="S122" s="21">
        <f t="shared" si="49"/>
        <v>33.15</v>
      </c>
      <c r="T122" s="21">
        <f>O122*S122</f>
        <v>0</v>
      </c>
      <c r="U122" s="21">
        <f>INDEX(cenník!$C$2:$I$568,MATCH($L122,cenník!$B$2:$B$557,0),MATCH(U$24,cenník!$C$1:$I$1,0))*O122</f>
        <v>0</v>
      </c>
      <c r="V122" s="19"/>
      <c r="X122" s="19"/>
      <c r="Y122" s="19"/>
      <c r="Z122" s="19"/>
      <c r="AA122" s="19"/>
      <c r="AB122" s="19"/>
      <c r="AC122" s="19"/>
      <c r="AD122" s="19"/>
      <c r="AE122" s="19"/>
      <c r="AF122" s="19"/>
      <c r="AG122" s="19"/>
      <c r="AH122" s="19"/>
      <c r="AI122" s="19"/>
      <c r="AJ122" s="19"/>
      <c r="AK122" s="19"/>
      <c r="AL122" s="19"/>
      <c r="AM122" s="19"/>
      <c r="AN122" s="19"/>
      <c r="AO122" s="19"/>
      <c r="AP122" s="19"/>
      <c r="AQ122" s="19"/>
      <c r="AR122" s="19"/>
      <c r="AS122" s="19"/>
      <c r="AT122" s="19"/>
      <c r="AU122" s="19"/>
      <c r="AV122" s="19"/>
      <c r="AW122" s="19"/>
      <c r="AX122" s="19"/>
      <c r="AY122" s="19"/>
      <c r="AZ122" s="19"/>
      <c r="BA122" s="20" t="s">
        <v>239</v>
      </c>
      <c r="BB122" s="20">
        <v>0</v>
      </c>
      <c r="BC122" s="20">
        <v>0</v>
      </c>
      <c r="BD122" s="20">
        <v>0</v>
      </c>
      <c r="BE122" s="20">
        <v>4</v>
      </c>
      <c r="BF122" s="20">
        <v>4</v>
      </c>
      <c r="BG122" s="20">
        <v>12</v>
      </c>
      <c r="BH122" s="20">
        <v>8</v>
      </c>
      <c r="BI122" s="20">
        <v>8</v>
      </c>
      <c r="BJ122" s="20">
        <v>12</v>
      </c>
      <c r="BK122" s="20">
        <v>12</v>
      </c>
      <c r="BL122" s="20">
        <v>20</v>
      </c>
      <c r="BM122" s="20">
        <v>16</v>
      </c>
      <c r="BN122" s="20">
        <v>16</v>
      </c>
      <c r="BO122" s="20">
        <v>20</v>
      </c>
      <c r="BP122" s="20">
        <v>20</v>
      </c>
      <c r="BQ122" s="20">
        <v>24</v>
      </c>
      <c r="BR122" s="20">
        <v>24</v>
      </c>
      <c r="BS122" s="20">
        <v>24</v>
      </c>
      <c r="BT122" s="20">
        <v>28</v>
      </c>
      <c r="BU122" s="20">
        <v>28</v>
      </c>
      <c r="BV122" s="20">
        <v>32</v>
      </c>
      <c r="BW122" s="20">
        <v>32</v>
      </c>
      <c r="BX122" s="20">
        <v>32</v>
      </c>
      <c r="BY122" s="20">
        <v>36</v>
      </c>
      <c r="BZ122" s="20">
        <v>36</v>
      </c>
      <c r="CA122" s="20">
        <v>40</v>
      </c>
      <c r="DA122" s="17"/>
      <c r="DB122" s="17"/>
      <c r="DC122" s="17"/>
      <c r="DD122" s="19" t="s">
        <v>58</v>
      </c>
      <c r="DE122" s="19">
        <v>0</v>
      </c>
      <c r="DF122" s="19">
        <v>1</v>
      </c>
      <c r="DG122" s="19">
        <v>2</v>
      </c>
      <c r="DH122" s="19">
        <v>3</v>
      </c>
      <c r="DI122" s="19">
        <v>4</v>
      </c>
      <c r="DJ122" s="19">
        <v>5</v>
      </c>
      <c r="DK122" s="19">
        <v>6</v>
      </c>
      <c r="DL122" s="19">
        <v>7</v>
      </c>
      <c r="DM122" s="19">
        <v>8</v>
      </c>
      <c r="DN122" s="19">
        <v>9</v>
      </c>
      <c r="DO122" s="19">
        <v>10</v>
      </c>
      <c r="DP122" s="19">
        <v>11</v>
      </c>
      <c r="DQ122" s="19">
        <v>12</v>
      </c>
      <c r="DR122" s="19">
        <v>13</v>
      </c>
      <c r="DS122" s="19">
        <v>14</v>
      </c>
      <c r="DT122" s="19">
        <v>15</v>
      </c>
      <c r="DU122" s="19">
        <v>16</v>
      </c>
      <c r="DV122" s="19">
        <v>17</v>
      </c>
      <c r="DW122" s="19">
        <v>18</v>
      </c>
      <c r="DX122" s="19">
        <v>19</v>
      </c>
      <c r="DY122" s="19">
        <v>20</v>
      </c>
      <c r="DZ122" s="19"/>
      <c r="EA122" s="19"/>
      <c r="EB122" s="19"/>
      <c r="GC122" s="19"/>
      <c r="GD122" s="19"/>
      <c r="GE122" s="26" t="s">
        <v>239</v>
      </c>
      <c r="GF122" s="19">
        <v>0</v>
      </c>
      <c r="GG122" s="19">
        <v>4</v>
      </c>
      <c r="GH122" s="19">
        <v>4</v>
      </c>
      <c r="GI122" s="19">
        <v>4</v>
      </c>
      <c r="GJ122" s="19">
        <v>8</v>
      </c>
      <c r="GK122" s="19">
        <v>12</v>
      </c>
      <c r="GL122" s="19">
        <v>12</v>
      </c>
      <c r="GM122" s="19">
        <v>16</v>
      </c>
      <c r="GN122" s="19">
        <v>20</v>
      </c>
      <c r="GO122" s="19">
        <v>20</v>
      </c>
      <c r="GP122" s="19">
        <v>24</v>
      </c>
      <c r="GQ122" s="19">
        <v>28</v>
      </c>
      <c r="GR122" s="19">
        <v>32</v>
      </c>
      <c r="GS122" s="19">
        <v>32</v>
      </c>
      <c r="GT122" s="19">
        <v>36</v>
      </c>
      <c r="GU122" s="19">
        <v>40</v>
      </c>
      <c r="GV122" s="19">
        <v>40</v>
      </c>
      <c r="GW122" s="19">
        <v>44</v>
      </c>
      <c r="GX122" s="19">
        <v>48</v>
      </c>
      <c r="GY122" s="19">
        <v>48</v>
      </c>
      <c r="GZ122" s="19">
        <v>52</v>
      </c>
      <c r="HA122" s="19">
        <v>56</v>
      </c>
      <c r="HB122" s="19">
        <v>56</v>
      </c>
      <c r="HC122" s="19">
        <v>60</v>
      </c>
      <c r="HD122" s="19">
        <v>64</v>
      </c>
      <c r="HE122" s="19">
        <v>64</v>
      </c>
      <c r="HF122" s="19">
        <v>68</v>
      </c>
      <c r="HG122" s="19">
        <v>72</v>
      </c>
      <c r="HH122" s="19">
        <v>72</v>
      </c>
      <c r="HI122" s="19">
        <v>76</v>
      </c>
      <c r="HJ122" s="19">
        <v>80</v>
      </c>
      <c r="HK122" s="19">
        <v>80</v>
      </c>
      <c r="HL122" s="19">
        <v>84</v>
      </c>
      <c r="HM122" s="19">
        <v>88</v>
      </c>
      <c r="HN122" s="19">
        <v>88</v>
      </c>
      <c r="HO122" s="19">
        <v>92</v>
      </c>
      <c r="HP122" s="19">
        <v>96</v>
      </c>
      <c r="HQ122" s="19">
        <v>96</v>
      </c>
      <c r="HR122" s="19">
        <v>100</v>
      </c>
      <c r="HS122" s="19">
        <v>104</v>
      </c>
      <c r="HT122" s="19">
        <v>104</v>
      </c>
      <c r="HU122" s="19">
        <v>108</v>
      </c>
      <c r="HV122" s="19">
        <v>112</v>
      </c>
      <c r="HW122" s="19">
        <v>112</v>
      </c>
      <c r="HX122" s="19">
        <v>116</v>
      </c>
      <c r="HY122" s="19">
        <v>120</v>
      </c>
      <c r="HZ122" s="19">
        <v>120</v>
      </c>
      <c r="IA122" s="19">
        <v>124</v>
      </c>
      <c r="IB122" s="19">
        <v>128</v>
      </c>
      <c r="IC122" s="19">
        <v>128</v>
      </c>
      <c r="ID122" s="19">
        <v>132</v>
      </c>
    </row>
    <row r="123" spans="1:238" x14ac:dyDescent="0.25">
      <c r="A123" s="8"/>
      <c r="B123" s="6" t="s">
        <v>61</v>
      </c>
      <c r="C123" s="8"/>
      <c r="D123" s="44" t="s">
        <v>577</v>
      </c>
      <c r="E123" s="4"/>
      <c r="F123" s="4"/>
      <c r="G123" s="4"/>
      <c r="H123" s="4"/>
      <c r="I123" s="4"/>
      <c r="J123" s="4"/>
      <c r="K123" s="4"/>
      <c r="L123" s="6" t="s">
        <v>244</v>
      </c>
      <c r="M123" s="14">
        <f>INDEX(cenník!$C$2:$I$568,MATCH($L123,cenník!$B$2:$B$557,0),MATCH(M$24,cenník!$C$1:$I$1,0))</f>
        <v>166794</v>
      </c>
      <c r="N123" s="14" t="str">
        <f>INDEX(cenník!$C$2:$I$568,MATCH($L123,cenník!$B$2:$B$557,0),MATCH(N$24,cenník!$C$1:$I$1,0))</f>
        <v>100ks</v>
      </c>
      <c r="O123" s="14">
        <f>ROUNDUP((O117/100),0)</f>
        <v>0</v>
      </c>
      <c r="P123" s="21">
        <f>INDEX(cenník!$C$2:$I$568,MATCH($L123,cenník!$B$2:$B$557,0),MATCH(P$24,cenník!$C$1:$I$1,0))</f>
        <v>1.38</v>
      </c>
      <c r="Q123" s="21">
        <f t="shared" ref="Q123" si="54">O123*P123</f>
        <v>0</v>
      </c>
      <c r="R123" s="22">
        <f t="shared" si="48"/>
        <v>0</v>
      </c>
      <c r="S123" s="21">
        <f t="shared" si="49"/>
        <v>1.38</v>
      </c>
      <c r="T123" s="21">
        <f>O123*S123</f>
        <v>0</v>
      </c>
      <c r="U123" s="21">
        <f>INDEX(cenník!$C$2:$I$568,MATCH($L123,cenník!$B$2:$B$557,0),MATCH(U$24,cenník!$C$1:$I$1,0))*O123</f>
        <v>0</v>
      </c>
      <c r="V123" s="19"/>
      <c r="AE123" s="19"/>
      <c r="AF123" s="19"/>
      <c r="AG123" s="19"/>
      <c r="AH123" s="19"/>
      <c r="AI123" s="19"/>
      <c r="AJ123" s="19"/>
      <c r="AK123" s="19"/>
      <c r="AL123" s="19"/>
      <c r="AM123" s="19"/>
      <c r="AN123" s="19"/>
      <c r="AO123" s="19"/>
      <c r="AP123" s="19"/>
      <c r="AQ123" s="19"/>
      <c r="AR123" s="19"/>
      <c r="AS123" s="19"/>
      <c r="AT123" s="19"/>
      <c r="AU123" s="19"/>
      <c r="AV123" s="19"/>
      <c r="AW123" s="19"/>
      <c r="AX123" s="19"/>
      <c r="AY123" s="19"/>
      <c r="AZ123" s="19"/>
      <c r="BA123" s="20" t="s">
        <v>326</v>
      </c>
      <c r="BB123" s="20">
        <v>0</v>
      </c>
      <c r="BC123" s="20">
        <v>2</v>
      </c>
      <c r="BD123" s="20">
        <v>0</v>
      </c>
      <c r="BE123" s="20">
        <v>4</v>
      </c>
      <c r="BF123" s="20">
        <v>2</v>
      </c>
      <c r="BG123" s="20">
        <v>4</v>
      </c>
      <c r="BH123" s="20">
        <v>2</v>
      </c>
      <c r="BI123" s="20">
        <v>0</v>
      </c>
      <c r="BJ123" s="20">
        <v>4</v>
      </c>
      <c r="BK123" s="20">
        <v>2</v>
      </c>
      <c r="BL123" s="20">
        <v>4</v>
      </c>
      <c r="BM123" s="20">
        <v>2</v>
      </c>
      <c r="BN123" s="20">
        <v>0</v>
      </c>
      <c r="BO123" s="20">
        <v>4</v>
      </c>
      <c r="BP123" s="20">
        <v>2</v>
      </c>
      <c r="BQ123" s="20">
        <v>4</v>
      </c>
      <c r="BR123" s="20">
        <v>2</v>
      </c>
      <c r="BS123" s="20">
        <v>0</v>
      </c>
      <c r="BT123" s="20">
        <v>4</v>
      </c>
      <c r="BU123" s="20">
        <v>2</v>
      </c>
      <c r="BV123" s="20">
        <v>4</v>
      </c>
      <c r="BW123" s="20">
        <v>2</v>
      </c>
      <c r="BX123" s="20">
        <v>0</v>
      </c>
      <c r="BY123" s="20">
        <v>4</v>
      </c>
      <c r="BZ123" s="20">
        <v>2</v>
      </c>
      <c r="CA123" s="20">
        <v>4</v>
      </c>
      <c r="DA123" s="17"/>
      <c r="DB123" s="17"/>
      <c r="DC123" s="17"/>
      <c r="DD123" s="19" t="s">
        <v>64</v>
      </c>
      <c r="DE123" s="19">
        <v>0</v>
      </c>
      <c r="DF123" s="19">
        <v>2</v>
      </c>
      <c r="DG123" s="19">
        <v>4</v>
      </c>
      <c r="DH123" s="19">
        <v>0</v>
      </c>
      <c r="DI123" s="19">
        <v>2</v>
      </c>
      <c r="DJ123" s="19">
        <v>4</v>
      </c>
      <c r="DK123" s="19">
        <v>0</v>
      </c>
      <c r="DL123" s="19">
        <v>4</v>
      </c>
      <c r="DM123" s="19">
        <v>0</v>
      </c>
      <c r="DN123" s="19">
        <v>2</v>
      </c>
      <c r="DO123" s="19">
        <v>4</v>
      </c>
      <c r="DP123" s="19">
        <v>0</v>
      </c>
      <c r="DQ123" s="19">
        <v>2</v>
      </c>
      <c r="DR123" s="19">
        <v>0</v>
      </c>
      <c r="DS123" s="19">
        <v>2</v>
      </c>
      <c r="DT123" s="19">
        <v>4</v>
      </c>
      <c r="DU123" s="19">
        <v>0</v>
      </c>
      <c r="DV123" s="19">
        <v>2</v>
      </c>
      <c r="DW123" s="19">
        <v>4</v>
      </c>
      <c r="DX123" s="19">
        <v>2</v>
      </c>
      <c r="DY123" s="19">
        <v>4</v>
      </c>
      <c r="DZ123" s="19"/>
      <c r="EA123" s="19"/>
      <c r="EB123" s="19"/>
      <c r="GC123" s="19"/>
      <c r="GD123" s="19"/>
      <c r="GE123" s="26" t="s">
        <v>326</v>
      </c>
      <c r="GF123" s="19">
        <v>0</v>
      </c>
      <c r="GG123" s="19">
        <v>0</v>
      </c>
      <c r="GH123" s="19">
        <v>2</v>
      </c>
      <c r="GI123" s="19">
        <v>4</v>
      </c>
      <c r="GJ123" s="19">
        <v>0</v>
      </c>
      <c r="GK123" s="19">
        <v>2</v>
      </c>
      <c r="GL123" s="19">
        <v>4</v>
      </c>
      <c r="GM123" s="19">
        <v>0</v>
      </c>
      <c r="GN123" s="19">
        <v>2</v>
      </c>
      <c r="GO123" s="19">
        <v>4</v>
      </c>
      <c r="GP123" s="19">
        <v>0</v>
      </c>
      <c r="GQ123" s="19">
        <v>2</v>
      </c>
      <c r="GR123" s="19">
        <v>4</v>
      </c>
      <c r="GS123" s="19">
        <v>0</v>
      </c>
      <c r="GT123" s="19">
        <v>2</v>
      </c>
      <c r="GU123" s="19">
        <v>4</v>
      </c>
      <c r="GV123" s="19">
        <v>0</v>
      </c>
      <c r="GW123" s="19">
        <v>2</v>
      </c>
      <c r="GX123" s="19">
        <v>4</v>
      </c>
      <c r="GY123" s="19">
        <v>0</v>
      </c>
      <c r="GZ123" s="19">
        <v>2</v>
      </c>
      <c r="HA123" s="19">
        <v>4</v>
      </c>
      <c r="HB123" s="19">
        <v>0</v>
      </c>
      <c r="HC123" s="19">
        <v>2</v>
      </c>
      <c r="HD123" s="19">
        <v>4</v>
      </c>
      <c r="HE123" s="19">
        <v>0</v>
      </c>
      <c r="HF123" s="19"/>
      <c r="HG123" s="19"/>
      <c r="HH123" s="19"/>
      <c r="HI123" s="19"/>
      <c r="HJ123" s="19"/>
      <c r="HK123" s="19"/>
      <c r="HL123" s="19"/>
      <c r="HM123" s="19"/>
      <c r="HN123" s="19"/>
      <c r="HO123" s="19"/>
      <c r="HP123" s="19"/>
      <c r="HQ123" s="19"/>
      <c r="HR123" s="19"/>
      <c r="HS123" s="19"/>
      <c r="HT123" s="19"/>
      <c r="HU123" s="19"/>
      <c r="HV123" s="19"/>
      <c r="HW123" s="19"/>
      <c r="HX123" s="19"/>
      <c r="HY123" s="19"/>
      <c r="HZ123" s="19"/>
      <c r="IA123" s="19"/>
      <c r="IB123" s="19"/>
      <c r="IC123" s="19"/>
      <c r="ID123" s="19"/>
    </row>
    <row r="124" spans="1:238" x14ac:dyDescent="0.25">
      <c r="A124" s="8"/>
      <c r="B124" s="6" t="s">
        <v>61</v>
      </c>
      <c r="C124" s="8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21">
        <f>SUM(T114:T123)</f>
        <v>0</v>
      </c>
      <c r="U124" s="21">
        <f>SUM(U114:U123)</f>
        <v>0</v>
      </c>
      <c r="V124" s="19"/>
      <c r="W124" s="28" t="s">
        <v>93</v>
      </c>
      <c r="X124" s="28" t="s">
        <v>49</v>
      </c>
      <c r="Y124" s="220" t="s">
        <v>93</v>
      </c>
      <c r="Z124" s="220"/>
      <c r="AA124" s="220"/>
      <c r="AB124" s="220"/>
      <c r="AC124" s="220"/>
      <c r="AD124" s="220"/>
      <c r="AE124" s="19"/>
      <c r="AF124" s="19"/>
      <c r="AG124" s="19"/>
      <c r="AH124" s="19"/>
      <c r="AI124" s="19"/>
      <c r="AJ124" s="19"/>
      <c r="AK124" s="19"/>
      <c r="AL124" s="19"/>
      <c r="AM124" s="19"/>
      <c r="AN124" s="19"/>
      <c r="AO124" s="19"/>
      <c r="AP124" s="19"/>
      <c r="AQ124" s="19"/>
      <c r="AR124" s="19"/>
      <c r="AS124" s="19"/>
      <c r="AT124" s="19"/>
      <c r="AU124" s="19"/>
      <c r="AV124" s="19"/>
      <c r="AW124" s="19"/>
      <c r="AX124" s="19"/>
      <c r="AY124" s="19"/>
      <c r="AZ124" s="19"/>
      <c r="BA124" s="20" t="s">
        <v>327</v>
      </c>
      <c r="BB124" s="20">
        <v>0</v>
      </c>
      <c r="BC124" s="20">
        <v>0</v>
      </c>
      <c r="BD124" s="20">
        <v>2</v>
      </c>
      <c r="BE124" s="20">
        <v>0</v>
      </c>
      <c r="BF124" s="20">
        <v>2</v>
      </c>
      <c r="BG124" s="20">
        <v>2</v>
      </c>
      <c r="BH124" s="20">
        <v>4</v>
      </c>
      <c r="BI124" s="20">
        <v>6</v>
      </c>
      <c r="BJ124" s="20">
        <v>4</v>
      </c>
      <c r="BK124" s="20">
        <v>6</v>
      </c>
      <c r="BL124" s="20">
        <v>6</v>
      </c>
      <c r="BM124" s="20">
        <v>8</v>
      </c>
      <c r="BN124" s="20">
        <v>10</v>
      </c>
      <c r="BO124" s="20">
        <v>8</v>
      </c>
      <c r="BP124" s="20">
        <v>10</v>
      </c>
      <c r="BQ124" s="20">
        <v>10</v>
      </c>
      <c r="BR124" s="20">
        <v>12</v>
      </c>
      <c r="BS124" s="20">
        <v>14</v>
      </c>
      <c r="BT124" s="20">
        <v>12</v>
      </c>
      <c r="BU124" s="20">
        <v>14</v>
      </c>
      <c r="BV124" s="20">
        <v>14</v>
      </c>
      <c r="BW124" s="20">
        <v>16</v>
      </c>
      <c r="BX124" s="20">
        <v>18</v>
      </c>
      <c r="BY124" s="20">
        <v>16</v>
      </c>
      <c r="BZ124" s="20">
        <v>18</v>
      </c>
      <c r="CA124" s="20">
        <v>18</v>
      </c>
      <c r="DA124" s="17"/>
      <c r="DB124" s="17"/>
      <c r="DC124" s="17"/>
      <c r="DD124" s="19" t="s">
        <v>18</v>
      </c>
      <c r="DE124" s="19">
        <v>0</v>
      </c>
      <c r="DF124" s="19">
        <v>0</v>
      </c>
      <c r="DG124" s="19">
        <v>0</v>
      </c>
      <c r="DH124" s="19">
        <v>4</v>
      </c>
      <c r="DI124" s="19">
        <v>4</v>
      </c>
      <c r="DJ124" s="19">
        <v>4</v>
      </c>
      <c r="DK124" s="19">
        <v>8</v>
      </c>
      <c r="DL124" s="19">
        <v>6</v>
      </c>
      <c r="DM124" s="19">
        <v>10</v>
      </c>
      <c r="DN124" s="19">
        <v>10</v>
      </c>
      <c r="DO124" s="19">
        <v>10</v>
      </c>
      <c r="DP124" s="19">
        <v>14</v>
      </c>
      <c r="DQ124" s="19">
        <v>14</v>
      </c>
      <c r="DR124" s="19">
        <v>16</v>
      </c>
      <c r="DS124" s="19">
        <v>16</v>
      </c>
      <c r="DT124" s="19">
        <v>16</v>
      </c>
      <c r="DU124" s="19">
        <v>20</v>
      </c>
      <c r="DV124" s="19">
        <v>20</v>
      </c>
      <c r="DW124" s="19">
        <v>20</v>
      </c>
      <c r="DX124" s="19">
        <v>22</v>
      </c>
      <c r="DY124" s="19">
        <v>22</v>
      </c>
      <c r="DZ124" s="19"/>
      <c r="EA124" s="19"/>
      <c r="EB124" s="19"/>
      <c r="GC124" s="19"/>
      <c r="GD124" s="19"/>
      <c r="GE124" s="26" t="s">
        <v>327</v>
      </c>
      <c r="GF124" s="19">
        <v>0</v>
      </c>
      <c r="GG124" s="19">
        <v>2</v>
      </c>
      <c r="GH124" s="19">
        <v>2</v>
      </c>
      <c r="GI124" s="19">
        <v>2</v>
      </c>
      <c r="GJ124" s="19">
        <v>6</v>
      </c>
      <c r="GK124" s="19">
        <v>6</v>
      </c>
      <c r="GL124" s="19">
        <v>6</v>
      </c>
      <c r="GM124" s="19">
        <v>10</v>
      </c>
      <c r="GN124" s="19">
        <v>10</v>
      </c>
      <c r="GO124" s="19">
        <v>10</v>
      </c>
      <c r="GP124" s="19">
        <v>14</v>
      </c>
      <c r="GQ124" s="19">
        <v>14</v>
      </c>
      <c r="GR124" s="19">
        <v>14</v>
      </c>
      <c r="GS124" s="19">
        <v>18</v>
      </c>
      <c r="GT124" s="19">
        <v>18</v>
      </c>
      <c r="GU124" s="19">
        <v>18</v>
      </c>
      <c r="GV124" s="19">
        <v>22</v>
      </c>
      <c r="GW124" s="19">
        <v>22</v>
      </c>
      <c r="GX124" s="19">
        <v>22</v>
      </c>
      <c r="GY124" s="19">
        <v>26</v>
      </c>
      <c r="GZ124" s="19">
        <v>26</v>
      </c>
      <c r="HA124" s="19">
        <v>26</v>
      </c>
      <c r="HB124" s="19">
        <v>30</v>
      </c>
      <c r="HC124" s="19">
        <v>30</v>
      </c>
      <c r="HD124" s="19">
        <v>30</v>
      </c>
      <c r="HE124" s="19">
        <v>34</v>
      </c>
      <c r="HF124" s="19"/>
      <c r="HG124" s="19"/>
      <c r="HH124" s="19"/>
      <c r="HI124" s="19"/>
      <c r="HJ124" s="19"/>
      <c r="HK124" s="19"/>
      <c r="HL124" s="19"/>
      <c r="HM124" s="19"/>
      <c r="HN124" s="19"/>
      <c r="HO124" s="19"/>
      <c r="HP124" s="19"/>
      <c r="HQ124" s="19"/>
      <c r="HR124" s="19"/>
      <c r="HS124" s="19"/>
      <c r="HT124" s="19"/>
      <c r="HU124" s="19"/>
      <c r="HV124" s="19"/>
      <c r="HW124" s="19"/>
      <c r="HX124" s="19"/>
      <c r="HY124" s="19"/>
      <c r="HZ124" s="19"/>
      <c r="IA124" s="19"/>
      <c r="IB124" s="19"/>
      <c r="IC124" s="19"/>
      <c r="ID124" s="19"/>
    </row>
    <row r="125" spans="1:238" x14ac:dyDescent="0.25">
      <c r="A125" s="8"/>
      <c r="B125" s="6" t="s">
        <v>61</v>
      </c>
      <c r="C125" s="8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19"/>
      <c r="W125" s="25" t="str">
        <f>IF(E135="vertikálne",G133,IF(E135="horizontálne",E133,0))</f>
        <v>1000-1050</v>
      </c>
      <c r="X125" s="25">
        <f t="shared" ref="X125:X140" si="55">((IF($E$135=$AB$1,(IF(A132=0,0,IF(A132&gt;0,IF((((INT(((A132*$W$129)+((A132-1)*20)+80)/$E$134))-1)*$E$134)+500&gt;=((A132*$W$129)+((A132-1)*20)+80),(INT(((A132*$W$129)+((A132-1)*20)+80)/$E$134))*2,((INT(((A132*$W$129)+((A132-1)*20)+80)/$E$134))+1)*2)))),IF($E$135=$AB$2,(IF(A132=0,0,IF(A132&gt;0,IF((((INT(((A132*$W$130)+((A132-1)*20)+80)/$E$134))-1)*$E$134)+500&gt;=((A132*$W$130)+((A132-1)*20)+80),(INT(((A132*$W$130)+((A132-1)*20)+80)/$E$134))*2,((INT(((A132*$W$130)+((A132-1)*20)+80)/$E$134))+1)*2)))))))*C132)</f>
        <v>0</v>
      </c>
      <c r="Y125" s="28" t="s">
        <v>94</v>
      </c>
      <c r="Z125" s="28">
        <v>1.1499999999999999</v>
      </c>
      <c r="AA125" s="28">
        <v>2.1</v>
      </c>
      <c r="AB125" s="28">
        <v>2.2000000000000002</v>
      </c>
      <c r="AC125" s="28">
        <v>3.15</v>
      </c>
      <c r="AD125" s="28">
        <v>3.3</v>
      </c>
      <c r="AE125" s="19"/>
      <c r="AF125" s="19"/>
      <c r="AG125" s="19"/>
      <c r="AH125" s="19"/>
      <c r="AI125" s="19"/>
      <c r="AJ125" s="19"/>
      <c r="AK125" s="19"/>
      <c r="AL125" s="19"/>
      <c r="AM125" s="19"/>
      <c r="AN125" s="19"/>
      <c r="AO125" s="19"/>
      <c r="AP125" s="19"/>
      <c r="AQ125" s="19"/>
      <c r="AR125" s="19"/>
      <c r="AS125" s="19"/>
      <c r="AT125" s="19"/>
      <c r="AU125" s="19"/>
      <c r="AV125" s="19"/>
      <c r="AW125" s="19"/>
      <c r="AX125" s="19"/>
      <c r="AY125" s="19"/>
      <c r="AZ125" s="19"/>
      <c r="BA125" s="20" t="s">
        <v>328</v>
      </c>
      <c r="BB125" s="20">
        <v>0</v>
      </c>
      <c r="BC125" s="20">
        <v>0</v>
      </c>
      <c r="BD125" s="20">
        <v>0</v>
      </c>
      <c r="BE125" s="20">
        <v>2</v>
      </c>
      <c r="BF125" s="20">
        <v>2</v>
      </c>
      <c r="BG125" s="20">
        <v>4</v>
      </c>
      <c r="BH125" s="20">
        <v>4</v>
      </c>
      <c r="BI125" s="20">
        <v>4</v>
      </c>
      <c r="BJ125" s="20">
        <v>6</v>
      </c>
      <c r="BK125" s="20">
        <v>6</v>
      </c>
      <c r="BL125" s="20">
        <v>8</v>
      </c>
      <c r="BM125" s="20">
        <v>8</v>
      </c>
      <c r="BN125" s="20">
        <v>8</v>
      </c>
      <c r="BO125" s="20">
        <v>10</v>
      </c>
      <c r="BP125" s="20">
        <v>10</v>
      </c>
      <c r="BQ125" s="20">
        <v>12</v>
      </c>
      <c r="BR125" s="20">
        <v>12</v>
      </c>
      <c r="BS125" s="20">
        <v>12</v>
      </c>
      <c r="BT125" s="20">
        <v>14</v>
      </c>
      <c r="BU125" s="20">
        <v>14</v>
      </c>
      <c r="BV125" s="20">
        <v>16</v>
      </c>
      <c r="BW125" s="20">
        <v>16</v>
      </c>
      <c r="BX125" s="20">
        <v>16</v>
      </c>
      <c r="BY125" s="20">
        <v>18</v>
      </c>
      <c r="BZ125" s="20">
        <v>18</v>
      </c>
      <c r="CA125" s="20">
        <v>20</v>
      </c>
      <c r="DA125" s="17"/>
      <c r="DB125" s="17"/>
      <c r="DC125" s="17"/>
      <c r="DD125" s="19" t="s">
        <v>179</v>
      </c>
      <c r="DE125" s="19">
        <v>0</v>
      </c>
      <c r="DF125" s="19">
        <v>0</v>
      </c>
      <c r="DG125" s="19">
        <v>4</v>
      </c>
      <c r="DH125" s="19">
        <v>4</v>
      </c>
      <c r="DI125" s="19">
        <v>8</v>
      </c>
      <c r="DJ125" s="19">
        <v>12</v>
      </c>
      <c r="DK125" s="19">
        <v>12</v>
      </c>
      <c r="DL125" s="19">
        <v>16</v>
      </c>
      <c r="DM125" s="19">
        <v>16</v>
      </c>
      <c r="DN125" s="19">
        <v>20</v>
      </c>
      <c r="DO125" s="19">
        <v>24</v>
      </c>
      <c r="DP125" s="19">
        <v>24</v>
      </c>
      <c r="DQ125" s="19">
        <v>28</v>
      </c>
      <c r="DR125" s="19">
        <v>28</v>
      </c>
      <c r="DS125" s="19">
        <v>32</v>
      </c>
      <c r="DT125" s="19">
        <v>36</v>
      </c>
      <c r="DU125" s="19">
        <v>36</v>
      </c>
      <c r="DV125" s="19">
        <v>40</v>
      </c>
      <c r="DW125" s="19">
        <v>44</v>
      </c>
      <c r="DX125" s="19">
        <v>44</v>
      </c>
      <c r="DY125" s="19">
        <v>48</v>
      </c>
      <c r="DZ125" s="19"/>
      <c r="EA125" s="19"/>
      <c r="EB125" s="19"/>
      <c r="GC125" s="19"/>
      <c r="GD125" s="19"/>
      <c r="GE125" s="26" t="s">
        <v>328</v>
      </c>
      <c r="GF125" s="19">
        <v>0</v>
      </c>
      <c r="GG125" s="19">
        <v>0</v>
      </c>
      <c r="GH125" s="19">
        <v>2</v>
      </c>
      <c r="GI125" s="19">
        <v>4</v>
      </c>
      <c r="GJ125" s="19">
        <v>4</v>
      </c>
      <c r="GK125" s="19">
        <v>6</v>
      </c>
      <c r="GL125" s="19">
        <v>8</v>
      </c>
      <c r="GM125" s="19">
        <v>8</v>
      </c>
      <c r="GN125" s="19">
        <v>10</v>
      </c>
      <c r="GO125" s="19">
        <v>12</v>
      </c>
      <c r="GP125" s="19">
        <v>12</v>
      </c>
      <c r="GQ125" s="19">
        <v>14</v>
      </c>
      <c r="GR125" s="19">
        <v>16</v>
      </c>
      <c r="GS125" s="19">
        <v>16</v>
      </c>
      <c r="GT125" s="19">
        <v>18</v>
      </c>
      <c r="GU125" s="19">
        <v>20</v>
      </c>
      <c r="GV125" s="19">
        <v>20</v>
      </c>
      <c r="GW125" s="19">
        <v>22</v>
      </c>
      <c r="GX125" s="19">
        <v>24</v>
      </c>
      <c r="GY125" s="19">
        <v>24</v>
      </c>
      <c r="GZ125" s="19">
        <v>26</v>
      </c>
      <c r="HA125" s="19">
        <v>28</v>
      </c>
      <c r="HB125" s="19">
        <v>28</v>
      </c>
      <c r="HC125" s="19">
        <v>30</v>
      </c>
      <c r="HD125" s="19">
        <v>32</v>
      </c>
      <c r="HE125" s="19">
        <v>32</v>
      </c>
      <c r="HF125" s="19"/>
      <c r="HG125" s="19"/>
      <c r="HH125" s="19"/>
      <c r="HI125" s="19"/>
      <c r="HJ125" s="19"/>
      <c r="HK125" s="19"/>
      <c r="HL125" s="19"/>
      <c r="HM125" s="19"/>
      <c r="HN125" s="19"/>
      <c r="HO125" s="19"/>
      <c r="HP125" s="19"/>
      <c r="HQ125" s="19"/>
      <c r="HR125" s="19"/>
      <c r="HS125" s="19"/>
      <c r="HT125" s="19"/>
      <c r="HU125" s="19"/>
      <c r="HV125" s="19"/>
      <c r="HW125" s="19"/>
      <c r="HX125" s="19"/>
      <c r="HY125" s="19"/>
      <c r="HZ125" s="19"/>
      <c r="IA125" s="19"/>
      <c r="IB125" s="19"/>
      <c r="IC125" s="19"/>
      <c r="ID125" s="19"/>
    </row>
    <row r="126" spans="1:238" x14ac:dyDescent="0.25">
      <c r="A126" s="8"/>
      <c r="B126" s="6" t="s">
        <v>61</v>
      </c>
      <c r="C126" s="8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19"/>
      <c r="W126" s="19"/>
      <c r="X126" s="25">
        <f t="shared" si="55"/>
        <v>0</v>
      </c>
      <c r="Y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132,$BB$2:$CA$2,0),MATCH($W$125,$AH$22:$AH$47,0)))*C132</f>
        <v>0</v>
      </c>
      <c r="Z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132,$BB$2:$CA$2,0),MATCH($W$125,$AH$22:$AH$47,0)))*C132</f>
        <v>0</v>
      </c>
      <c r="AA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132,$BB$2:$CA$2,0),MATCH($W$125,$AH$22:$AH$47,0)))*C132</f>
        <v>0</v>
      </c>
      <c r="AB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132,$BB$2:$CA$2,0),MATCH($W$125,$AH$22:$AH$47,0)))*C132</f>
        <v>0</v>
      </c>
      <c r="AC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132,$BB$2:$CA$2,0),MATCH($W$125,$AH$22:$AH$47,0)))*C132</f>
        <v>0</v>
      </c>
      <c r="AD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132,$BB$2:$CA$2,0),MATCH($W$125,$AH$22:$AH$47,0)))*C132</f>
        <v>0</v>
      </c>
      <c r="AE126" s="19"/>
      <c r="AF126" s="19"/>
      <c r="AG126" s="19"/>
      <c r="AH126" s="19"/>
      <c r="AI126" s="19"/>
      <c r="AJ126" s="19"/>
      <c r="AK126" s="19"/>
      <c r="AL126" s="19"/>
      <c r="AM126" s="19"/>
      <c r="AN126" s="19"/>
      <c r="AO126" s="19"/>
      <c r="AP126" s="19"/>
      <c r="AQ126" s="19"/>
      <c r="AR126" s="19"/>
      <c r="AS126" s="19"/>
      <c r="AT126" s="19"/>
      <c r="AU126" s="19"/>
      <c r="AV126" s="19"/>
      <c r="AW126" s="19"/>
      <c r="AX126" s="19"/>
      <c r="AY126" s="19"/>
      <c r="AZ126" s="19"/>
      <c r="DA126" s="17"/>
      <c r="DB126" s="17"/>
      <c r="DC126" s="17"/>
      <c r="DD126" s="19" t="s">
        <v>236</v>
      </c>
      <c r="DE126" s="19">
        <v>0</v>
      </c>
      <c r="DF126" s="19">
        <v>2</v>
      </c>
      <c r="DG126" s="19">
        <v>4</v>
      </c>
      <c r="DH126" s="19">
        <v>0</v>
      </c>
      <c r="DI126" s="19">
        <v>2</v>
      </c>
      <c r="DJ126" s="19">
        <v>4</v>
      </c>
      <c r="DK126" s="19">
        <v>0</v>
      </c>
      <c r="DL126" s="19">
        <v>4</v>
      </c>
      <c r="DM126" s="19">
        <v>0</v>
      </c>
      <c r="DN126" s="19">
        <v>2</v>
      </c>
      <c r="DO126" s="19">
        <v>4</v>
      </c>
      <c r="DP126" s="19">
        <v>0</v>
      </c>
      <c r="DQ126" s="19">
        <v>2</v>
      </c>
      <c r="DR126" s="19">
        <v>0</v>
      </c>
      <c r="DS126" s="19">
        <v>2</v>
      </c>
      <c r="DT126" s="19">
        <v>4</v>
      </c>
      <c r="DU126" s="19">
        <v>0</v>
      </c>
      <c r="DV126" s="19">
        <v>2</v>
      </c>
      <c r="DW126" s="19">
        <v>4</v>
      </c>
      <c r="DX126" s="19">
        <v>2</v>
      </c>
      <c r="DY126" s="19">
        <v>4</v>
      </c>
      <c r="DZ126" s="19"/>
      <c r="EA126" s="19"/>
      <c r="EB126" s="19"/>
      <c r="GC126" s="19"/>
      <c r="GD126" s="19"/>
      <c r="GE126" s="19"/>
      <c r="GF126" s="19"/>
      <c r="GG126" s="19"/>
      <c r="GH126" s="19"/>
      <c r="GI126" s="19"/>
      <c r="GJ126" s="19"/>
      <c r="GK126" s="19"/>
      <c r="GL126" s="19"/>
      <c r="GM126" s="19"/>
      <c r="GN126" s="19"/>
      <c r="GO126" s="19"/>
      <c r="GP126" s="19"/>
      <c r="GQ126" s="19"/>
      <c r="GR126" s="19"/>
      <c r="GS126" s="19"/>
      <c r="GT126" s="19"/>
      <c r="GU126" s="19"/>
      <c r="GV126" s="19"/>
      <c r="GW126" s="19"/>
      <c r="GX126" s="19"/>
      <c r="GY126" s="19"/>
      <c r="GZ126" s="19"/>
      <c r="HA126" s="19"/>
      <c r="HB126" s="19"/>
      <c r="HC126" s="19"/>
      <c r="HD126" s="19"/>
      <c r="HE126" s="19"/>
      <c r="HF126" s="19"/>
      <c r="HG126" s="19"/>
      <c r="HH126" s="19"/>
      <c r="HI126" s="19"/>
      <c r="HJ126" s="19"/>
      <c r="HK126" s="19"/>
      <c r="HL126" s="19"/>
      <c r="HM126" s="19"/>
      <c r="HN126" s="19"/>
      <c r="HO126" s="19"/>
      <c r="HP126" s="19"/>
      <c r="HQ126" s="19"/>
      <c r="HR126" s="19"/>
      <c r="HS126" s="19"/>
      <c r="HT126" s="19"/>
      <c r="HU126" s="19"/>
      <c r="HV126" s="19"/>
      <c r="HW126" s="19"/>
      <c r="HX126" s="19"/>
      <c r="HY126" s="19"/>
      <c r="HZ126" s="19"/>
      <c r="IA126" s="19"/>
      <c r="IB126" s="19"/>
      <c r="IC126" s="19"/>
      <c r="ID126" s="19"/>
    </row>
    <row r="127" spans="1:238" x14ac:dyDescent="0.25">
      <c r="A127" s="8"/>
      <c r="B127" s="6" t="s">
        <v>61</v>
      </c>
      <c r="C127" s="8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19"/>
      <c r="W127" s="19"/>
      <c r="X127" s="25">
        <f t="shared" si="55"/>
        <v>0</v>
      </c>
      <c r="Y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133,$BB$2:$CA$2,0),MATCH($W$125,$AH$22:$AH$47,0)))*C133</f>
        <v>0</v>
      </c>
      <c r="Z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133,$BB$2:$CA$2,0),MATCH($W$125,$AH$22:$AH$47,0)))*C133</f>
        <v>0</v>
      </c>
      <c r="AA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133,$BB$2:$CA$2,0),MATCH($W$125,$AH$22:$AH$47,0)))*C133</f>
        <v>0</v>
      </c>
      <c r="AB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133,$BB$2:$CA$2,0),MATCH($W$125,$AH$22:$AH$47,0)))*C133</f>
        <v>0</v>
      </c>
      <c r="AC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133,$BB$2:$CA$2,0),MATCH($W$125,$AH$22:$AH$47,0)))*C133</f>
        <v>0</v>
      </c>
      <c r="AD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133,$BB$2:$CA$2,0),MATCH($W$125,$AH$22:$AH$47,0)))*C133</f>
        <v>0</v>
      </c>
      <c r="AE127" s="19"/>
      <c r="AF127" s="19"/>
      <c r="AG127" s="19"/>
      <c r="AH127" s="19"/>
      <c r="AI127" s="19"/>
      <c r="AJ127" s="19"/>
      <c r="AK127" s="19"/>
      <c r="AL127" s="19"/>
      <c r="AM127" s="19"/>
      <c r="AN127" s="19"/>
      <c r="AO127" s="19"/>
      <c r="AP127" s="19"/>
      <c r="AQ127" s="19"/>
      <c r="AR127" s="19"/>
      <c r="AS127" s="19"/>
      <c r="AT127" s="19"/>
      <c r="AU127" s="19"/>
      <c r="AV127" s="19"/>
      <c r="AW127" s="19"/>
      <c r="AX127" s="19"/>
      <c r="AY127" s="19"/>
      <c r="AZ127" s="19"/>
      <c r="BA127" s="19" t="s">
        <v>350</v>
      </c>
      <c r="DA127" s="17"/>
      <c r="DB127" s="17"/>
      <c r="DC127" s="17"/>
      <c r="DD127" s="19" t="s">
        <v>238</v>
      </c>
      <c r="DE127" s="19">
        <v>0</v>
      </c>
      <c r="DF127" s="19">
        <v>0</v>
      </c>
      <c r="DG127" s="19">
        <v>0</v>
      </c>
      <c r="DH127" s="19">
        <v>4</v>
      </c>
      <c r="DI127" s="19">
        <v>4</v>
      </c>
      <c r="DJ127" s="19">
        <v>4</v>
      </c>
      <c r="DK127" s="19">
        <v>8</v>
      </c>
      <c r="DL127" s="19">
        <v>6</v>
      </c>
      <c r="DM127" s="19">
        <v>10</v>
      </c>
      <c r="DN127" s="19">
        <v>10</v>
      </c>
      <c r="DO127" s="19">
        <v>10</v>
      </c>
      <c r="DP127" s="19">
        <v>14</v>
      </c>
      <c r="DQ127" s="19">
        <v>14</v>
      </c>
      <c r="DR127" s="19">
        <v>16</v>
      </c>
      <c r="DS127" s="19">
        <v>16</v>
      </c>
      <c r="DT127" s="19">
        <v>16</v>
      </c>
      <c r="DU127" s="19">
        <v>20</v>
      </c>
      <c r="DV127" s="19">
        <v>20</v>
      </c>
      <c r="DW127" s="19">
        <v>20</v>
      </c>
      <c r="DX127" s="19">
        <v>22</v>
      </c>
      <c r="DY127" s="19">
        <v>22</v>
      </c>
      <c r="DZ127" s="19"/>
      <c r="EA127" s="19"/>
      <c r="EB127" s="19"/>
      <c r="GC127" s="19"/>
      <c r="GD127" s="19"/>
      <c r="GE127" s="19" t="s">
        <v>232</v>
      </c>
      <c r="GF127" s="19"/>
      <c r="GG127" s="19"/>
      <c r="GH127" s="19"/>
      <c r="GI127" s="19"/>
      <c r="GJ127" s="19"/>
      <c r="GK127" s="19"/>
      <c r="GL127" s="19"/>
      <c r="GM127" s="19"/>
      <c r="GN127" s="19"/>
      <c r="GO127" s="19"/>
      <c r="GP127" s="19"/>
      <c r="GQ127" s="19"/>
      <c r="GR127" s="19"/>
      <c r="GS127" s="19"/>
      <c r="GT127" s="19"/>
      <c r="GU127" s="19"/>
      <c r="GV127" s="19"/>
      <c r="GW127" s="19"/>
      <c r="GX127" s="19"/>
      <c r="GY127" s="19"/>
      <c r="GZ127" s="19"/>
      <c r="HA127" s="19"/>
      <c r="HB127" s="19"/>
      <c r="HC127" s="19"/>
      <c r="HD127" s="19"/>
      <c r="HE127" s="19"/>
      <c r="HF127" s="19"/>
      <c r="HG127" s="19"/>
      <c r="HH127" s="19"/>
      <c r="HI127" s="19"/>
      <c r="HJ127" s="19"/>
      <c r="HK127" s="19"/>
      <c r="HL127" s="19"/>
      <c r="HM127" s="19"/>
      <c r="HN127" s="19"/>
      <c r="HO127" s="19"/>
      <c r="HP127" s="19"/>
      <c r="HQ127" s="19"/>
      <c r="HR127" s="19"/>
      <c r="HS127" s="19"/>
      <c r="HT127" s="19"/>
      <c r="HU127" s="19"/>
      <c r="HV127" s="19"/>
      <c r="HW127" s="19"/>
      <c r="HX127" s="19"/>
      <c r="HY127" s="19"/>
      <c r="HZ127" s="19"/>
      <c r="IA127" s="19"/>
      <c r="IB127" s="19"/>
      <c r="IC127" s="19"/>
      <c r="ID127" s="19"/>
    </row>
    <row r="128" spans="1:238" x14ac:dyDescent="0.25">
      <c r="A128" s="8"/>
      <c r="B128" s="6" t="s">
        <v>61</v>
      </c>
      <c r="C128" s="8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19"/>
      <c r="W128" s="19"/>
      <c r="X128" s="25">
        <f t="shared" si="55"/>
        <v>0</v>
      </c>
      <c r="Y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134,$BB$2:$CA$2,0),MATCH($W$125,$AH$22:$AH$47,0)))*C134</f>
        <v>0</v>
      </c>
      <c r="Z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134,$BB$2:$CA$2,0),MATCH($W$125,$AH$22:$AH$47,0)))*C134</f>
        <v>0</v>
      </c>
      <c r="AA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134,$BB$2:$CA$2,0),MATCH($W$125,$AH$22:$AH$47,0)))*C134</f>
        <v>0</v>
      </c>
      <c r="AB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134,$BB$2:$CA$2,0),MATCH($W$125,$AH$22:$AH$47,0)))*C134</f>
        <v>0</v>
      </c>
      <c r="AC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134,$BB$2:$CA$2,0),MATCH($W$125,$AH$22:$AH$47,0)))*C134</f>
        <v>0</v>
      </c>
      <c r="AD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134,$BB$2:$CA$2,0),MATCH($W$125,$AH$22:$AH$47,0)))*C134</f>
        <v>0</v>
      </c>
      <c r="AE128" s="19"/>
      <c r="AF128" s="19"/>
      <c r="AG128" s="19"/>
      <c r="AH128" s="19"/>
      <c r="AI128" s="19"/>
      <c r="AJ128" s="19"/>
      <c r="AK128" s="19"/>
      <c r="AL128" s="19"/>
      <c r="AM128" s="19"/>
      <c r="AN128" s="19"/>
      <c r="AO128" s="19"/>
      <c r="AP128" s="19"/>
      <c r="AQ128" s="19"/>
      <c r="AR128" s="19"/>
      <c r="AS128" s="19"/>
      <c r="AT128" s="19"/>
      <c r="AU128" s="19"/>
      <c r="AV128" s="19"/>
      <c r="AW128" s="19"/>
      <c r="AX128" s="19"/>
      <c r="AY128" s="19"/>
      <c r="AZ128" s="19"/>
      <c r="BB128" s="20">
        <v>0</v>
      </c>
      <c r="BC128" s="20">
        <v>1</v>
      </c>
      <c r="BD128" s="20">
        <v>2</v>
      </c>
      <c r="BE128" s="20">
        <v>3</v>
      </c>
      <c r="BF128" s="20">
        <v>4</v>
      </c>
      <c r="BG128" s="20">
        <v>5</v>
      </c>
      <c r="BH128" s="20">
        <v>6</v>
      </c>
      <c r="BI128" s="20">
        <v>7</v>
      </c>
      <c r="BJ128" s="20">
        <v>8</v>
      </c>
      <c r="BK128" s="20">
        <v>9</v>
      </c>
      <c r="BL128" s="20">
        <v>10</v>
      </c>
      <c r="BM128" s="20">
        <v>11</v>
      </c>
      <c r="BN128" s="20">
        <v>12</v>
      </c>
      <c r="BO128" s="20">
        <v>13</v>
      </c>
      <c r="BP128" s="20">
        <v>14</v>
      </c>
      <c r="BQ128" s="20">
        <v>15</v>
      </c>
      <c r="BR128" s="20">
        <v>16</v>
      </c>
      <c r="BS128" s="20">
        <v>17</v>
      </c>
      <c r="BT128" s="20">
        <v>18</v>
      </c>
      <c r="BU128" s="20">
        <v>19</v>
      </c>
      <c r="BV128" s="20">
        <v>20</v>
      </c>
      <c r="BW128" s="20">
        <v>21</v>
      </c>
      <c r="BX128" s="20">
        <v>22</v>
      </c>
      <c r="BY128" s="20">
        <v>23</v>
      </c>
      <c r="BZ128" s="20">
        <v>24</v>
      </c>
      <c r="CA128" s="20">
        <v>25</v>
      </c>
      <c r="DA128" s="17"/>
      <c r="DB128" s="17"/>
      <c r="DC128" s="17"/>
      <c r="DD128" s="19" t="s">
        <v>239</v>
      </c>
      <c r="DE128" s="19">
        <v>0</v>
      </c>
      <c r="DF128" s="19">
        <v>0</v>
      </c>
      <c r="DG128" s="19">
        <v>4</v>
      </c>
      <c r="DH128" s="19">
        <v>4</v>
      </c>
      <c r="DI128" s="19">
        <v>8</v>
      </c>
      <c r="DJ128" s="19">
        <v>12</v>
      </c>
      <c r="DK128" s="19">
        <v>12</v>
      </c>
      <c r="DL128" s="19">
        <v>16</v>
      </c>
      <c r="DM128" s="19">
        <v>16</v>
      </c>
      <c r="DN128" s="19">
        <v>20</v>
      </c>
      <c r="DO128" s="19">
        <v>24</v>
      </c>
      <c r="DP128" s="19">
        <v>24</v>
      </c>
      <c r="DQ128" s="19">
        <v>28</v>
      </c>
      <c r="DR128" s="19">
        <v>28</v>
      </c>
      <c r="DS128" s="19">
        <v>32</v>
      </c>
      <c r="DT128" s="19">
        <v>36</v>
      </c>
      <c r="DU128" s="19">
        <v>36</v>
      </c>
      <c r="DV128" s="19">
        <v>40</v>
      </c>
      <c r="DW128" s="19">
        <v>44</v>
      </c>
      <c r="DX128" s="19">
        <v>44</v>
      </c>
      <c r="DY128" s="19">
        <v>48</v>
      </c>
      <c r="DZ128" s="19"/>
      <c r="EA128" s="19"/>
      <c r="EB128" s="19"/>
      <c r="GC128" s="19"/>
      <c r="GD128" s="19"/>
      <c r="GE128" s="19"/>
      <c r="GF128" s="19">
        <v>0</v>
      </c>
      <c r="GG128" s="19">
        <v>1</v>
      </c>
      <c r="GH128" s="19">
        <v>2</v>
      </c>
      <c r="GI128" s="19">
        <v>3</v>
      </c>
      <c r="GJ128" s="19">
        <v>4</v>
      </c>
      <c r="GK128" s="19">
        <v>5</v>
      </c>
      <c r="GL128" s="19">
        <v>6</v>
      </c>
      <c r="GM128" s="19">
        <v>7</v>
      </c>
      <c r="GN128" s="19">
        <v>8</v>
      </c>
      <c r="GO128" s="19">
        <v>9</v>
      </c>
      <c r="GP128" s="19">
        <v>10</v>
      </c>
      <c r="GQ128" s="19">
        <v>11</v>
      </c>
      <c r="GR128" s="19">
        <v>12</v>
      </c>
      <c r="GS128" s="19">
        <v>13</v>
      </c>
      <c r="GT128" s="19">
        <v>14</v>
      </c>
      <c r="GU128" s="19">
        <v>15</v>
      </c>
      <c r="GV128" s="19">
        <v>16</v>
      </c>
      <c r="GW128" s="19">
        <v>17</v>
      </c>
      <c r="GX128" s="19">
        <v>18</v>
      </c>
      <c r="GY128" s="19">
        <v>19</v>
      </c>
      <c r="GZ128" s="19">
        <v>20</v>
      </c>
      <c r="HA128" s="19">
        <v>21</v>
      </c>
      <c r="HB128" s="19">
        <v>22</v>
      </c>
      <c r="HC128" s="19">
        <v>23</v>
      </c>
      <c r="HD128" s="19">
        <v>24</v>
      </c>
      <c r="HE128" s="19">
        <v>25</v>
      </c>
      <c r="HF128" s="19">
        <v>26</v>
      </c>
      <c r="HG128" s="19">
        <v>27</v>
      </c>
      <c r="HH128" s="19">
        <v>28</v>
      </c>
      <c r="HI128" s="19">
        <v>29</v>
      </c>
      <c r="HJ128" s="19">
        <v>30</v>
      </c>
      <c r="HK128" s="19">
        <v>31</v>
      </c>
      <c r="HL128" s="19">
        <v>32</v>
      </c>
      <c r="HM128" s="19">
        <v>33</v>
      </c>
      <c r="HN128" s="19">
        <v>34</v>
      </c>
      <c r="HO128" s="19">
        <v>35</v>
      </c>
      <c r="HP128" s="19">
        <v>36</v>
      </c>
      <c r="HQ128" s="19">
        <v>37</v>
      </c>
      <c r="HR128" s="19">
        <v>38</v>
      </c>
      <c r="HS128" s="19">
        <v>39</v>
      </c>
      <c r="HT128" s="19">
        <v>40</v>
      </c>
      <c r="HU128" s="19">
        <v>41</v>
      </c>
      <c r="HV128" s="19">
        <v>42</v>
      </c>
      <c r="HW128" s="19">
        <v>43</v>
      </c>
      <c r="HX128" s="19">
        <v>44</v>
      </c>
      <c r="HY128" s="19">
        <v>45</v>
      </c>
      <c r="HZ128" s="19">
        <v>46</v>
      </c>
      <c r="IA128" s="19">
        <v>47</v>
      </c>
      <c r="IB128" s="19">
        <v>48</v>
      </c>
      <c r="IC128" s="19">
        <v>49</v>
      </c>
      <c r="ID128" s="19">
        <v>50</v>
      </c>
    </row>
    <row r="129" spans="1:238" x14ac:dyDescent="0.25">
      <c r="A129" s="4"/>
      <c r="B129" s="6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19"/>
      <c r="W129" s="19">
        <f>IF(G133=$AH$22,$AJ$22,IF(G133=$AH$23,$AJ$23,IF(G133=$AH$24,$AJ$24,IF(G133=$AH$25,$AJ$25,IF(G133=$AH$26,$AJ$26,IF(G133=$AH$27,$AJ$27,IF(G133=$AH$28,$AJ$28,IF(G133=$AH$29,$AJ$29,0))))))))</f>
        <v>1050</v>
      </c>
      <c r="X129" s="25">
        <f t="shared" si="55"/>
        <v>0</v>
      </c>
      <c r="Y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135,$BB$2:$CA$2,0),MATCH($W$125,$AH$22:$AH$47,0)))*C135</f>
        <v>0</v>
      </c>
      <c r="Z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135,$BB$2:$CA$2,0),MATCH($W$125,$AH$22:$AH$47,0)))*C135</f>
        <v>0</v>
      </c>
      <c r="AA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135,$BB$2:$CA$2,0),MATCH($W$125,$AH$22:$AH$47,0)))*C135</f>
        <v>0</v>
      </c>
      <c r="AB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135,$BB$2:$CA$2,0),MATCH($W$125,$AH$22:$AH$47,0)))*C135</f>
        <v>0</v>
      </c>
      <c r="AC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135,$BB$2:$CA$2,0),MATCH($W$125,$AH$22:$AH$47,0)))*C135</f>
        <v>0</v>
      </c>
      <c r="AD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135,$BB$2:$CA$2,0),MATCH($W$125,$AH$22:$AH$47,0)))*C135</f>
        <v>0</v>
      </c>
      <c r="AE129" s="19"/>
      <c r="AF129" s="19"/>
      <c r="AG129" s="19"/>
      <c r="AH129" s="19"/>
      <c r="AI129" s="19"/>
      <c r="AJ129" s="19"/>
      <c r="AK129" s="19"/>
      <c r="AL129" s="19"/>
      <c r="AM129" s="19"/>
      <c r="AN129" s="19"/>
      <c r="AO129" s="19"/>
      <c r="AP129" s="19"/>
      <c r="AQ129" s="19"/>
      <c r="AR129" s="19"/>
      <c r="AS129" s="19"/>
      <c r="AT129" s="19"/>
      <c r="AU129" s="19"/>
      <c r="AV129" s="19"/>
      <c r="AW129" s="19"/>
      <c r="AX129" s="19"/>
      <c r="AY129" s="19"/>
      <c r="AZ129" s="19"/>
      <c r="BA129" s="20" t="s">
        <v>63</v>
      </c>
      <c r="BB129" s="20">
        <v>0</v>
      </c>
      <c r="BC129" s="20">
        <v>0</v>
      </c>
      <c r="BD129" s="20">
        <v>0</v>
      </c>
      <c r="BE129" s="20">
        <v>0</v>
      </c>
      <c r="BF129" s="20">
        <v>2</v>
      </c>
      <c r="BG129" s="20">
        <v>0</v>
      </c>
      <c r="BH129" s="20">
        <v>0</v>
      </c>
      <c r="BI129" s="20">
        <v>0</v>
      </c>
      <c r="BJ129" s="20">
        <v>2</v>
      </c>
      <c r="BK129" s="20">
        <v>0</v>
      </c>
      <c r="BL129" s="20">
        <v>0</v>
      </c>
      <c r="BM129" s="20">
        <v>0</v>
      </c>
      <c r="BN129" s="20">
        <v>0</v>
      </c>
      <c r="BO129" s="20">
        <v>0</v>
      </c>
      <c r="BP129" s="20">
        <v>0</v>
      </c>
      <c r="BQ129" s="20">
        <v>2</v>
      </c>
      <c r="BR129" s="20">
        <v>0</v>
      </c>
      <c r="BS129" s="20">
        <v>2</v>
      </c>
      <c r="BT129" s="20">
        <v>0</v>
      </c>
      <c r="BU129" s="20">
        <v>0</v>
      </c>
      <c r="BV129" s="20">
        <v>0</v>
      </c>
      <c r="BW129" s="20">
        <v>0</v>
      </c>
      <c r="BX129" s="20">
        <v>0</v>
      </c>
      <c r="BY129" s="20">
        <v>0</v>
      </c>
      <c r="BZ129" s="20">
        <v>0</v>
      </c>
      <c r="CA129" s="20">
        <v>0</v>
      </c>
      <c r="DA129" s="17"/>
      <c r="DB129" s="17"/>
      <c r="DC129" s="17"/>
      <c r="DD129" s="26" t="s">
        <v>326</v>
      </c>
      <c r="DE129" s="19">
        <v>0</v>
      </c>
      <c r="DF129" s="19"/>
      <c r="DG129" s="19"/>
      <c r="DH129" s="19"/>
      <c r="DI129" s="19"/>
      <c r="DJ129" s="19"/>
      <c r="DK129" s="19"/>
      <c r="DL129" s="19"/>
      <c r="DM129" s="19"/>
      <c r="DN129" s="19"/>
      <c r="DO129" s="19"/>
      <c r="DP129" s="19"/>
      <c r="DQ129" s="19"/>
      <c r="DR129" s="19"/>
      <c r="DS129" s="19"/>
      <c r="DT129" s="19"/>
      <c r="DU129" s="19"/>
      <c r="DV129" s="19"/>
      <c r="DW129" s="19"/>
      <c r="DX129" s="19"/>
      <c r="DY129" s="19"/>
      <c r="DZ129" s="19"/>
      <c r="EA129" s="19"/>
      <c r="EB129" s="19"/>
      <c r="GC129" s="19"/>
      <c r="GD129" s="19"/>
      <c r="GE129" s="19" t="s">
        <v>63</v>
      </c>
      <c r="GF129" s="19">
        <v>0</v>
      </c>
      <c r="GG129" s="19">
        <v>0</v>
      </c>
      <c r="GH129" s="19">
        <v>0</v>
      </c>
      <c r="GI129" s="19">
        <v>0</v>
      </c>
      <c r="GJ129" s="19">
        <v>0</v>
      </c>
      <c r="GK129" s="19">
        <v>0</v>
      </c>
      <c r="GL129" s="19">
        <v>0</v>
      </c>
      <c r="GM129" s="19">
        <v>0</v>
      </c>
      <c r="GN129" s="19">
        <v>0</v>
      </c>
      <c r="GO129" s="19">
        <v>0</v>
      </c>
      <c r="GP129" s="19">
        <v>0</v>
      </c>
      <c r="GQ129" s="19">
        <v>0</v>
      </c>
      <c r="GR129" s="19">
        <v>0</v>
      </c>
      <c r="GS129" s="19">
        <v>0</v>
      </c>
      <c r="GT129" s="19">
        <v>0</v>
      </c>
      <c r="GU129" s="19">
        <v>0</v>
      </c>
      <c r="GV129" s="19">
        <v>0</v>
      </c>
      <c r="GW129" s="19">
        <v>0</v>
      </c>
      <c r="GX129" s="19">
        <v>0</v>
      </c>
      <c r="GY129" s="19">
        <v>0</v>
      </c>
      <c r="GZ129" s="19">
        <v>0</v>
      </c>
      <c r="HA129" s="19">
        <v>0</v>
      </c>
      <c r="HB129" s="19">
        <v>0</v>
      </c>
      <c r="HC129" s="19">
        <v>0</v>
      </c>
      <c r="HD129" s="19">
        <v>0</v>
      </c>
      <c r="HE129" s="19">
        <v>0</v>
      </c>
      <c r="HF129" s="19">
        <v>0</v>
      </c>
      <c r="HG129" s="19">
        <v>0</v>
      </c>
      <c r="HH129" s="19">
        <v>0</v>
      </c>
      <c r="HI129" s="19">
        <v>0</v>
      </c>
      <c r="HJ129" s="19">
        <v>0</v>
      </c>
      <c r="HK129" s="19">
        <v>0</v>
      </c>
      <c r="HL129" s="19">
        <v>2</v>
      </c>
      <c r="HM129" s="19">
        <v>0</v>
      </c>
      <c r="HN129" s="19">
        <v>0</v>
      </c>
      <c r="HO129" s="19">
        <v>0</v>
      </c>
      <c r="HP129" s="19">
        <v>0</v>
      </c>
      <c r="HQ129" s="19">
        <v>0</v>
      </c>
      <c r="HR129" s="19">
        <v>0</v>
      </c>
      <c r="HS129" s="19">
        <v>0</v>
      </c>
      <c r="HT129" s="19">
        <v>0</v>
      </c>
      <c r="HU129" s="19">
        <v>0</v>
      </c>
      <c r="HV129" s="19">
        <v>0</v>
      </c>
      <c r="HW129" s="19">
        <v>0</v>
      </c>
      <c r="HX129" s="19">
        <v>0</v>
      </c>
      <c r="HY129" s="19">
        <v>0</v>
      </c>
      <c r="HZ129" s="19">
        <v>0</v>
      </c>
      <c r="IA129" s="19">
        <v>2</v>
      </c>
      <c r="IB129" s="19">
        <v>0</v>
      </c>
      <c r="IC129" s="19">
        <v>0</v>
      </c>
      <c r="ID129" s="19">
        <v>0</v>
      </c>
    </row>
    <row r="130" spans="1:238" x14ac:dyDescent="0.25">
      <c r="A130" s="4"/>
      <c r="B130" s="6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19"/>
      <c r="W130" s="19">
        <f>IF(E133=$AH$30,$AJ$30,IF(E133=$AH$31,$AJ$31,IF(E133=$AH$32,$AJ$32,IF(E133=$AH$33,$AJ$33,IF(E133=$AH$34,$AJ$34,IF(E133=$AH$35,$AJ$35,IF(E133=$AH$36,$AJ$36,IF(E133=$AH$37,$AJ$37,IF(E133=$AH$38,$AJ$38,IF(E133=$AH$39,$AJ$39,IF(E133=$AH$40,$AJ$40,IF(E133=$AH$41,$AJ$41,IF(E133=$AH$42,$AJ$42,IF(E133=$AH$43,$AJ$43,IF(E133=$AH$44,$AJ$44,IF(E133=$AH$45,$AJ$45,IF(E133=$AH$46,$AJ$46,IF(E133=$AH$47,$AJ$47,0))))))))))))))))))</f>
        <v>2500</v>
      </c>
      <c r="X130" s="25">
        <f t="shared" si="55"/>
        <v>0</v>
      </c>
      <c r="Y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136,$BB$2:$CA$2,0),MATCH($W$125,$AH$22:$AH$47,0)))*C136</f>
        <v>0</v>
      </c>
      <c r="Z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136,$BB$2:$CA$2,0),MATCH($W$125,$AH$22:$AH$47,0)))*C136</f>
        <v>0</v>
      </c>
      <c r="AA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136,$BB$2:$CA$2,0),MATCH($W$125,$AH$22:$AH$47,0)))*C136</f>
        <v>0</v>
      </c>
      <c r="AB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136,$BB$2:$CA$2,0),MATCH($W$125,$AH$22:$AH$47,0)))*C136</f>
        <v>0</v>
      </c>
      <c r="AC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136,$BB$2:$CA$2,0),MATCH($W$125,$AH$22:$AH$47,0)))*C136</f>
        <v>0</v>
      </c>
      <c r="AD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136,$BB$2:$CA$2,0),MATCH($W$125,$AH$22:$AH$47,0)))*C136</f>
        <v>0</v>
      </c>
      <c r="AE130" s="19"/>
      <c r="AF130" s="19"/>
      <c r="AG130" s="19"/>
      <c r="AH130" s="19"/>
      <c r="AI130" s="19"/>
      <c r="AJ130" s="19"/>
      <c r="AK130" s="19"/>
      <c r="AL130" s="19"/>
      <c r="AM130" s="19"/>
      <c r="AN130" s="19"/>
      <c r="AO130" s="19"/>
      <c r="AP130" s="19"/>
      <c r="AQ130" s="19"/>
      <c r="AR130" s="19"/>
      <c r="AS130" s="19"/>
      <c r="AT130" s="19"/>
      <c r="AU130" s="19"/>
      <c r="AV130" s="19"/>
      <c r="AW130" s="19"/>
      <c r="AX130" s="19"/>
      <c r="AY130" s="19"/>
      <c r="AZ130" s="19"/>
      <c r="BA130" s="20" t="s">
        <v>11</v>
      </c>
      <c r="BB130" s="20">
        <v>0</v>
      </c>
      <c r="BC130" s="20">
        <v>2</v>
      </c>
      <c r="BD130" s="20">
        <v>0</v>
      </c>
      <c r="BE130" s="20">
        <v>4</v>
      </c>
      <c r="BF130" s="20">
        <v>0</v>
      </c>
      <c r="BG130" s="20">
        <v>4</v>
      </c>
      <c r="BH130" s="20">
        <v>2</v>
      </c>
      <c r="BI130" s="20">
        <v>0</v>
      </c>
      <c r="BJ130" s="20">
        <v>0</v>
      </c>
      <c r="BK130" s="20">
        <v>0</v>
      </c>
      <c r="BL130" s="20">
        <v>0</v>
      </c>
      <c r="BM130" s="20">
        <v>0</v>
      </c>
      <c r="BN130" s="20">
        <v>0</v>
      </c>
      <c r="BO130" s="20">
        <v>0</v>
      </c>
      <c r="BP130" s="20">
        <v>0</v>
      </c>
      <c r="BQ130" s="20">
        <v>0</v>
      </c>
      <c r="BR130" s="20">
        <v>0</v>
      </c>
      <c r="BS130" s="20">
        <v>0</v>
      </c>
      <c r="BT130" s="20">
        <v>0</v>
      </c>
      <c r="BU130" s="20">
        <v>0</v>
      </c>
      <c r="BV130" s="20">
        <v>0</v>
      </c>
      <c r="BW130" s="20">
        <v>0</v>
      </c>
      <c r="BX130" s="20">
        <v>0</v>
      </c>
      <c r="BY130" s="20">
        <v>0</v>
      </c>
      <c r="BZ130" s="20">
        <v>0</v>
      </c>
      <c r="CA130" s="20">
        <v>0</v>
      </c>
      <c r="DA130" s="17"/>
      <c r="DB130" s="17"/>
      <c r="DC130" s="17"/>
      <c r="DD130" s="26" t="s">
        <v>327</v>
      </c>
      <c r="DE130" s="19">
        <v>0</v>
      </c>
      <c r="DF130" s="19"/>
      <c r="DG130" s="19"/>
      <c r="DH130" s="19"/>
      <c r="DI130" s="19"/>
      <c r="DJ130" s="19"/>
      <c r="DK130" s="19"/>
      <c r="DL130" s="19"/>
      <c r="DM130" s="19"/>
      <c r="DN130" s="19"/>
      <c r="DO130" s="19"/>
      <c r="DP130" s="19"/>
      <c r="DQ130" s="19"/>
      <c r="DR130" s="19"/>
      <c r="DS130" s="19"/>
      <c r="DT130" s="19"/>
      <c r="DU130" s="19"/>
      <c r="DV130" s="19"/>
      <c r="DW130" s="19"/>
      <c r="DX130" s="19"/>
      <c r="DY130" s="19"/>
      <c r="DZ130" s="19"/>
      <c r="EA130" s="19"/>
      <c r="EB130" s="19"/>
      <c r="GC130" s="19"/>
      <c r="GD130" s="19"/>
      <c r="GE130" s="19" t="s">
        <v>11</v>
      </c>
      <c r="GF130" s="19">
        <v>0</v>
      </c>
      <c r="GG130" s="19">
        <v>0</v>
      </c>
      <c r="GH130" s="19">
        <v>2</v>
      </c>
      <c r="GI130" s="19">
        <v>4</v>
      </c>
      <c r="GJ130" s="19">
        <v>0</v>
      </c>
      <c r="GK130" s="19">
        <v>2</v>
      </c>
      <c r="GL130" s="19">
        <v>4</v>
      </c>
      <c r="GM130" s="19">
        <v>0</v>
      </c>
      <c r="GN130" s="19">
        <v>0</v>
      </c>
      <c r="GO130" s="19">
        <v>2</v>
      </c>
      <c r="GP130" s="19">
        <v>0</v>
      </c>
      <c r="GQ130" s="19">
        <v>0</v>
      </c>
      <c r="GR130" s="19">
        <v>4</v>
      </c>
      <c r="GS130" s="19">
        <v>0</v>
      </c>
      <c r="GT130" s="19">
        <v>0</v>
      </c>
      <c r="GU130" s="19">
        <v>0</v>
      </c>
      <c r="GV130" s="19">
        <v>2</v>
      </c>
      <c r="GW130" s="19">
        <v>0</v>
      </c>
      <c r="GX130" s="19">
        <v>0</v>
      </c>
      <c r="GY130" s="19">
        <v>0</v>
      </c>
      <c r="GZ130" s="19">
        <v>0</v>
      </c>
      <c r="HA130" s="19">
        <v>0</v>
      </c>
      <c r="HB130" s="19">
        <v>0</v>
      </c>
      <c r="HC130" s="19">
        <v>0</v>
      </c>
      <c r="HD130" s="19">
        <v>0</v>
      </c>
      <c r="HE130" s="19">
        <v>0</v>
      </c>
      <c r="HF130" s="19">
        <v>0</v>
      </c>
      <c r="HG130" s="19">
        <v>0</v>
      </c>
      <c r="HH130" s="19">
        <v>0</v>
      </c>
      <c r="HI130" s="19">
        <v>0</v>
      </c>
      <c r="HJ130" s="19">
        <v>0</v>
      </c>
      <c r="HK130" s="19">
        <v>0</v>
      </c>
      <c r="HL130" s="19">
        <v>0</v>
      </c>
      <c r="HM130" s="19">
        <v>0</v>
      </c>
      <c r="HN130" s="19">
        <v>0</v>
      </c>
      <c r="HO130" s="19">
        <v>0</v>
      </c>
      <c r="HP130" s="19">
        <v>0</v>
      </c>
      <c r="HQ130" s="19">
        <v>0</v>
      </c>
      <c r="HR130" s="19">
        <v>0</v>
      </c>
      <c r="HS130" s="19">
        <v>0</v>
      </c>
      <c r="HT130" s="19">
        <v>0</v>
      </c>
      <c r="HU130" s="19">
        <v>0</v>
      </c>
      <c r="HV130" s="19">
        <v>0</v>
      </c>
      <c r="HW130" s="19">
        <v>0</v>
      </c>
      <c r="HX130" s="19">
        <v>0</v>
      </c>
      <c r="HY130" s="19">
        <v>0</v>
      </c>
      <c r="HZ130" s="19">
        <v>0</v>
      </c>
      <c r="IA130" s="19">
        <v>0</v>
      </c>
      <c r="IB130" s="19">
        <v>0</v>
      </c>
      <c r="IC130" s="19">
        <v>0</v>
      </c>
      <c r="ID130" s="19">
        <v>0</v>
      </c>
    </row>
    <row r="131" spans="1:238" ht="39" x14ac:dyDescent="0.25">
      <c r="A131" s="3" t="s">
        <v>549</v>
      </c>
      <c r="B131" s="6"/>
      <c r="C131" s="3" t="s">
        <v>550</v>
      </c>
      <c r="D131" s="4"/>
      <c r="E131" s="4"/>
      <c r="F131" s="4"/>
      <c r="G131" s="4"/>
      <c r="H131" s="4"/>
      <c r="I131" s="4"/>
      <c r="J131" s="4"/>
      <c r="K131" s="4"/>
      <c r="L131" s="221" t="str">
        <f>IF(E135="vertikálne","KONŠTRUKCIA DS-V6cN",IF(E135="horizontálne","KONŠTRUKCIA DS-H6cN"))</f>
        <v>KONŠTRUKCIA DS-V6cN</v>
      </c>
      <c r="M131" s="221"/>
      <c r="N131" s="221"/>
      <c r="O131" s="221"/>
      <c r="P131" s="221"/>
      <c r="Q131" s="221"/>
      <c r="R131" s="221"/>
      <c r="S131" s="221"/>
      <c r="T131" s="221"/>
      <c r="U131" s="221"/>
      <c r="V131" s="19"/>
      <c r="W131" s="19"/>
      <c r="X131" s="25">
        <f t="shared" si="55"/>
        <v>0</v>
      </c>
      <c r="Y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137,$BB$2:$CA$2,0),MATCH($W$125,$AH$22:$AH$47,0)))*C137</f>
        <v>0</v>
      </c>
      <c r="Z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137,$BB$2:$CA$2,0),MATCH($W$125,$AH$22:$AH$47,0)))*C137</f>
        <v>0</v>
      </c>
      <c r="AA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137,$BB$2:$CA$2,0),MATCH($W$125,$AH$22:$AH$47,0)))*C137</f>
        <v>0</v>
      </c>
      <c r="AB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137,$BB$2:$CA$2,0),MATCH($W$125,$AH$22:$AH$47,0)))*C137</f>
        <v>0</v>
      </c>
      <c r="AC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137,$BB$2:$CA$2,0),MATCH($W$125,$AH$22:$AH$47,0)))*C137</f>
        <v>0</v>
      </c>
      <c r="AD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137,$BB$2:$CA$2,0),MATCH($W$125,$AH$22:$AH$47,0)))*C137</f>
        <v>0</v>
      </c>
      <c r="AE131" s="19"/>
      <c r="AF131" s="19"/>
      <c r="AG131" s="19"/>
      <c r="AH131" s="19"/>
      <c r="AI131" s="19"/>
      <c r="AJ131" s="19"/>
      <c r="AK131" s="19"/>
      <c r="AL131" s="19"/>
      <c r="AM131" s="19"/>
      <c r="AN131" s="19"/>
      <c r="AO131" s="19"/>
      <c r="AP131" s="19"/>
      <c r="AQ131" s="19"/>
      <c r="AR131" s="19"/>
      <c r="AS131" s="19"/>
      <c r="AT131" s="19"/>
      <c r="AU131" s="19"/>
      <c r="AV131" s="19"/>
      <c r="AW131" s="19"/>
      <c r="AX131" s="19"/>
      <c r="AY131" s="19"/>
      <c r="AZ131" s="19"/>
      <c r="BA131" s="20" t="s">
        <v>64</v>
      </c>
      <c r="BB131" s="20">
        <v>0</v>
      </c>
      <c r="BC131" s="20">
        <v>0</v>
      </c>
      <c r="BD131" s="20">
        <v>0</v>
      </c>
      <c r="BE131" s="20">
        <v>0</v>
      </c>
      <c r="BF131" s="20">
        <v>4</v>
      </c>
      <c r="BG131" s="20">
        <v>0</v>
      </c>
      <c r="BH131" s="20">
        <v>0</v>
      </c>
      <c r="BI131" s="20">
        <v>0</v>
      </c>
      <c r="BJ131" s="20">
        <v>0</v>
      </c>
      <c r="BK131" s="20">
        <v>0</v>
      </c>
      <c r="BL131" s="20">
        <v>4</v>
      </c>
      <c r="BM131" s="20">
        <v>2</v>
      </c>
      <c r="BN131" s="20">
        <v>0</v>
      </c>
      <c r="BO131" s="20">
        <v>2</v>
      </c>
      <c r="BP131" s="20">
        <v>0</v>
      </c>
      <c r="BQ131" s="20">
        <v>0</v>
      </c>
      <c r="BR131" s="20">
        <v>0</v>
      </c>
      <c r="BS131" s="20">
        <v>0</v>
      </c>
      <c r="BT131" s="20">
        <v>2</v>
      </c>
      <c r="BU131" s="20">
        <v>0</v>
      </c>
      <c r="BV131" s="20">
        <v>2</v>
      </c>
      <c r="BW131" s="20">
        <v>0</v>
      </c>
      <c r="BX131" s="20">
        <v>4</v>
      </c>
      <c r="BY131" s="20">
        <v>0</v>
      </c>
      <c r="BZ131" s="20">
        <v>0</v>
      </c>
      <c r="CA131" s="20">
        <v>0</v>
      </c>
      <c r="DA131" s="17"/>
      <c r="DB131" s="17"/>
      <c r="DC131" s="17"/>
      <c r="DD131" s="26" t="s">
        <v>328</v>
      </c>
      <c r="DE131" s="19">
        <v>0</v>
      </c>
      <c r="DF131" s="19"/>
      <c r="DG131" s="19"/>
      <c r="DH131" s="19"/>
      <c r="DI131" s="19"/>
      <c r="DJ131" s="19"/>
      <c r="DK131" s="19"/>
      <c r="DL131" s="19"/>
      <c r="DM131" s="19"/>
      <c r="DN131" s="19"/>
      <c r="DO131" s="19"/>
      <c r="DP131" s="19"/>
      <c r="DQ131" s="19"/>
      <c r="DR131" s="19"/>
      <c r="DS131" s="19"/>
      <c r="DT131" s="19"/>
      <c r="DU131" s="19"/>
      <c r="DV131" s="19"/>
      <c r="DW131" s="19"/>
      <c r="DX131" s="19"/>
      <c r="DY131" s="19"/>
      <c r="DZ131" s="19"/>
      <c r="EA131" s="19"/>
      <c r="EB131" s="19"/>
      <c r="GC131" s="19"/>
      <c r="GD131" s="19"/>
      <c r="GE131" s="19" t="s">
        <v>64</v>
      </c>
      <c r="GF131" s="19">
        <v>0</v>
      </c>
      <c r="GG131" s="19">
        <v>0</v>
      </c>
      <c r="GH131" s="19">
        <v>0</v>
      </c>
      <c r="GI131" s="19">
        <v>0</v>
      </c>
      <c r="GJ131" s="19">
        <v>0</v>
      </c>
      <c r="GK131" s="19">
        <v>0</v>
      </c>
      <c r="GL131" s="19">
        <v>0</v>
      </c>
      <c r="GM131" s="19">
        <v>0</v>
      </c>
      <c r="GN131" s="19">
        <v>2</v>
      </c>
      <c r="GO131" s="19">
        <v>2</v>
      </c>
      <c r="GP131" s="19">
        <v>0</v>
      </c>
      <c r="GQ131" s="19">
        <v>0</v>
      </c>
      <c r="GR131" s="19">
        <v>0</v>
      </c>
      <c r="GS131" s="19">
        <v>0</v>
      </c>
      <c r="GT131" s="19">
        <v>0</v>
      </c>
      <c r="GU131" s="19">
        <v>2</v>
      </c>
      <c r="GV131" s="19">
        <v>0</v>
      </c>
      <c r="GW131" s="19">
        <v>0</v>
      </c>
      <c r="GX131" s="19">
        <v>0</v>
      </c>
      <c r="GY131" s="19">
        <v>2</v>
      </c>
      <c r="GZ131" s="19">
        <v>0</v>
      </c>
      <c r="HA131" s="19">
        <v>0</v>
      </c>
      <c r="HB131" s="19">
        <v>4</v>
      </c>
      <c r="HC131" s="19">
        <v>0</v>
      </c>
      <c r="HD131" s="19">
        <v>0</v>
      </c>
      <c r="HE131" s="19">
        <v>0</v>
      </c>
      <c r="HF131" s="19">
        <v>0</v>
      </c>
      <c r="HG131" s="19">
        <v>0</v>
      </c>
      <c r="HH131" s="19">
        <v>0</v>
      </c>
      <c r="HI131" s="19">
        <v>0</v>
      </c>
      <c r="HJ131" s="19">
        <v>0</v>
      </c>
      <c r="HK131" s="19">
        <v>0</v>
      </c>
      <c r="HL131" s="19">
        <v>0</v>
      </c>
      <c r="HM131" s="19">
        <v>0</v>
      </c>
      <c r="HN131" s="19">
        <v>0</v>
      </c>
      <c r="HO131" s="19">
        <v>0</v>
      </c>
      <c r="HP131" s="19">
        <v>0</v>
      </c>
      <c r="HQ131" s="19">
        <v>0</v>
      </c>
      <c r="HR131" s="19">
        <v>0</v>
      </c>
      <c r="HS131" s="19">
        <v>0</v>
      </c>
      <c r="HT131" s="19">
        <v>0</v>
      </c>
      <c r="HU131" s="19">
        <v>0</v>
      </c>
      <c r="HV131" s="19">
        <v>0</v>
      </c>
      <c r="HW131" s="19">
        <v>0</v>
      </c>
      <c r="HX131" s="19">
        <v>2</v>
      </c>
      <c r="HY131" s="19">
        <v>0</v>
      </c>
      <c r="HZ131" s="19">
        <v>0</v>
      </c>
      <c r="IA131" s="19">
        <v>0</v>
      </c>
      <c r="IB131" s="19">
        <v>0</v>
      </c>
      <c r="IC131" s="19">
        <v>0</v>
      </c>
      <c r="ID131" s="19">
        <v>0</v>
      </c>
    </row>
    <row r="132" spans="1:238" x14ac:dyDescent="0.25">
      <c r="A132" s="8"/>
      <c r="B132" s="5" t="s">
        <v>61</v>
      </c>
      <c r="C132" s="8"/>
      <c r="D132" s="4"/>
      <c r="E132" s="4"/>
      <c r="F132" s="4"/>
      <c r="G132" s="4"/>
      <c r="H132" s="4"/>
      <c r="I132" s="4"/>
      <c r="J132" s="4"/>
      <c r="K132" s="4"/>
      <c r="L132" s="5" t="s">
        <v>53</v>
      </c>
      <c r="M132" s="5" t="s">
        <v>559</v>
      </c>
      <c r="N132" s="5" t="s">
        <v>436</v>
      </c>
      <c r="O132" s="5" t="s">
        <v>442</v>
      </c>
      <c r="P132" s="5" t="s">
        <v>443</v>
      </c>
      <c r="Q132" s="5" t="s">
        <v>444</v>
      </c>
      <c r="R132" s="5" t="s">
        <v>445</v>
      </c>
      <c r="S132" s="5" t="s">
        <v>446</v>
      </c>
      <c r="T132" s="5" t="s">
        <v>447</v>
      </c>
      <c r="U132" s="5" t="s">
        <v>438</v>
      </c>
      <c r="V132" s="19"/>
      <c r="W132" s="19"/>
      <c r="X132" s="25">
        <f t="shared" si="55"/>
        <v>0</v>
      </c>
      <c r="Y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138,$BB$2:$CA$2,0),MATCH($W$125,$AH$22:$AH$47,0)))*C138</f>
        <v>0</v>
      </c>
      <c r="Z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138,$BB$2:$CA$2,0),MATCH($W$125,$AH$22:$AH$47,0)))*C138</f>
        <v>0</v>
      </c>
      <c r="AA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138,$BB$2:$CA$2,0),MATCH($W$125,$AH$22:$AH$47,0)))*C138</f>
        <v>0</v>
      </c>
      <c r="AB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138,$BB$2:$CA$2,0),MATCH($W$125,$AH$22:$AH$47,0)))*C138</f>
        <v>0</v>
      </c>
      <c r="AC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138,$BB$2:$CA$2,0),MATCH($W$125,$AH$22:$AH$47,0)))*C138</f>
        <v>0</v>
      </c>
      <c r="AD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138,$BB$2:$CA$2,0),MATCH($W$125,$AH$22:$AH$47,0)))*C138</f>
        <v>0</v>
      </c>
      <c r="AE132" s="19"/>
      <c r="AF132" s="19"/>
      <c r="AG132" s="19"/>
      <c r="AH132" s="19"/>
      <c r="AI132" s="19"/>
      <c r="AJ132" s="19"/>
      <c r="AK132" s="19"/>
      <c r="AL132" s="19"/>
      <c r="AM132" s="19"/>
      <c r="AN132" s="19"/>
      <c r="AO132" s="19"/>
      <c r="AP132" s="19"/>
      <c r="AQ132" s="19"/>
      <c r="AR132" s="19"/>
      <c r="AS132" s="19"/>
      <c r="AT132" s="19"/>
      <c r="AU132" s="19"/>
      <c r="AV132" s="19"/>
      <c r="AW132" s="19"/>
      <c r="AX132" s="19"/>
      <c r="AY132" s="19"/>
      <c r="AZ132" s="19"/>
      <c r="BA132" s="20" t="s">
        <v>14</v>
      </c>
      <c r="BB132" s="20">
        <v>0</v>
      </c>
      <c r="BC132" s="20">
        <v>0</v>
      </c>
      <c r="BD132" s="20">
        <v>2</v>
      </c>
      <c r="BE132" s="20">
        <v>0</v>
      </c>
      <c r="BF132" s="20">
        <v>0</v>
      </c>
      <c r="BG132" s="20">
        <v>2</v>
      </c>
      <c r="BH132" s="20">
        <v>4</v>
      </c>
      <c r="BI132" s="20">
        <v>2</v>
      </c>
      <c r="BJ132" s="20">
        <v>0</v>
      </c>
      <c r="BK132" s="20">
        <v>8</v>
      </c>
      <c r="BL132" s="20">
        <v>6</v>
      </c>
      <c r="BM132" s="20">
        <v>2</v>
      </c>
      <c r="BN132" s="20">
        <v>0</v>
      </c>
      <c r="BO132" s="20">
        <v>10</v>
      </c>
      <c r="BP132" s="20">
        <v>6</v>
      </c>
      <c r="BQ132" s="20">
        <v>2</v>
      </c>
      <c r="BR132" s="20">
        <v>12</v>
      </c>
      <c r="BS132" s="20">
        <v>12</v>
      </c>
      <c r="BT132" s="20">
        <v>6</v>
      </c>
      <c r="BU132" s="20">
        <v>2</v>
      </c>
      <c r="BV132" s="20">
        <v>12</v>
      </c>
      <c r="BW132" s="20">
        <v>8</v>
      </c>
      <c r="BX132" s="20">
        <v>8</v>
      </c>
      <c r="BY132" s="20">
        <v>16</v>
      </c>
      <c r="BZ132" s="20">
        <v>0</v>
      </c>
      <c r="CA132" s="20">
        <v>22</v>
      </c>
      <c r="DA132" s="17"/>
      <c r="DB132" s="17"/>
      <c r="DC132" s="17"/>
      <c r="DD132" s="19"/>
      <c r="DE132" s="19"/>
      <c r="DF132" s="19"/>
      <c r="DG132" s="19"/>
      <c r="DH132" s="19"/>
      <c r="DI132" s="19"/>
      <c r="DJ132" s="19"/>
      <c r="DK132" s="19"/>
      <c r="DL132" s="19"/>
      <c r="DM132" s="19"/>
      <c r="DN132" s="19"/>
      <c r="DO132" s="19"/>
      <c r="DP132" s="19"/>
      <c r="DQ132" s="19"/>
      <c r="DR132" s="19"/>
      <c r="DS132" s="19"/>
      <c r="DT132" s="19"/>
      <c r="DU132" s="19"/>
      <c r="DV132" s="19"/>
      <c r="DW132" s="19"/>
      <c r="DX132" s="19"/>
      <c r="DY132" s="19"/>
      <c r="DZ132" s="19"/>
      <c r="EA132" s="19"/>
      <c r="EB132" s="19"/>
      <c r="GC132" s="19"/>
      <c r="GD132" s="19"/>
      <c r="GE132" s="19" t="s">
        <v>14</v>
      </c>
      <c r="GF132" s="19">
        <v>0</v>
      </c>
      <c r="GG132" s="19">
        <v>2</v>
      </c>
      <c r="GH132" s="19">
        <v>2</v>
      </c>
      <c r="GI132" s="19">
        <v>2</v>
      </c>
      <c r="GJ132" s="19">
        <v>6</v>
      </c>
      <c r="GK132" s="19">
        <v>6</v>
      </c>
      <c r="GL132" s="19">
        <v>4</v>
      </c>
      <c r="GM132" s="19">
        <v>6</v>
      </c>
      <c r="GN132" s="19">
        <v>4</v>
      </c>
      <c r="GO132" s="19">
        <v>2</v>
      </c>
      <c r="GP132" s="19">
        <v>2</v>
      </c>
      <c r="GQ132" s="19">
        <v>16</v>
      </c>
      <c r="GR132" s="19">
        <v>0</v>
      </c>
      <c r="GS132" s="19">
        <v>0</v>
      </c>
      <c r="GT132" s="19">
        <v>12</v>
      </c>
      <c r="GU132" s="19">
        <v>10</v>
      </c>
      <c r="GV132" s="19">
        <v>22</v>
      </c>
      <c r="GW132" s="19">
        <v>8</v>
      </c>
      <c r="GX132" s="19">
        <v>22</v>
      </c>
      <c r="GY132" s="19">
        <v>20</v>
      </c>
      <c r="GZ132" s="19">
        <v>4</v>
      </c>
      <c r="HA132" s="19">
        <v>18</v>
      </c>
      <c r="HB132" s="19">
        <v>8</v>
      </c>
      <c r="HC132" s="19">
        <v>0</v>
      </c>
      <c r="HD132" s="19">
        <v>14</v>
      </c>
      <c r="HE132" s="19">
        <v>28</v>
      </c>
      <c r="HF132" s="19">
        <v>0</v>
      </c>
      <c r="HG132" s="19">
        <v>10</v>
      </c>
      <c r="HH132" s="19">
        <v>24</v>
      </c>
      <c r="HI132" s="19">
        <v>0</v>
      </c>
      <c r="HJ132" s="19">
        <v>6</v>
      </c>
      <c r="HK132" s="19">
        <v>20</v>
      </c>
      <c r="HL132" s="19">
        <v>14</v>
      </c>
      <c r="HM132" s="19">
        <v>4</v>
      </c>
      <c r="HN132" s="19">
        <v>4</v>
      </c>
      <c r="HO132" s="19">
        <v>30</v>
      </c>
      <c r="HP132" s="19">
        <v>0</v>
      </c>
      <c r="HQ132" s="19">
        <v>12</v>
      </c>
      <c r="HR132" s="19">
        <v>26</v>
      </c>
      <c r="HS132" s="19">
        <v>0</v>
      </c>
      <c r="HT132" s="19">
        <v>10</v>
      </c>
      <c r="HU132" s="19">
        <v>22</v>
      </c>
      <c r="HV132" s="19">
        <v>0</v>
      </c>
      <c r="HW132" s="19">
        <v>6</v>
      </c>
      <c r="HX132" s="19">
        <v>4</v>
      </c>
      <c r="HY132" s="19">
        <v>0</v>
      </c>
      <c r="HZ132" s="19">
        <v>2</v>
      </c>
      <c r="IA132" s="19">
        <v>0</v>
      </c>
      <c r="IB132" s="19">
        <v>28</v>
      </c>
      <c r="IC132" s="19">
        <v>0</v>
      </c>
      <c r="ID132" s="19">
        <v>12</v>
      </c>
    </row>
    <row r="133" spans="1:238" x14ac:dyDescent="0.25">
      <c r="A133" s="8"/>
      <c r="B133" s="5" t="s">
        <v>61</v>
      </c>
      <c r="C133" s="8"/>
      <c r="D133" s="6" t="s">
        <v>452</v>
      </c>
      <c r="E133" s="8" t="s">
        <v>387</v>
      </c>
      <c r="F133" s="5" t="s">
        <v>61</v>
      </c>
      <c r="G133" s="8" t="s">
        <v>60</v>
      </c>
      <c r="H133" s="5" t="s">
        <v>61</v>
      </c>
      <c r="I133" s="8">
        <v>35</v>
      </c>
      <c r="J133" s="5" t="s">
        <v>62</v>
      </c>
      <c r="K133" s="4"/>
      <c r="L133" s="6" t="str">
        <f>IF($E$139=$AK$22,"PAL40H40/1,15",IF($E$139=$AK$23,"PAL30H32/1,15","-------"))</f>
        <v>PAL40H40/1,15</v>
      </c>
      <c r="M133" s="14">
        <f>INDEX(cenník!$C$2:$I$568,MATCH($L133,cenník!$B$2:$B$557,0),MATCH(M$24,cenník!$C$1:$I$1,0))</f>
        <v>894510</v>
      </c>
      <c r="N133" s="14" t="str">
        <f>INDEX(cenník!$C$2:$I$568,MATCH($L133,cenník!$B$2:$B$557,0),MATCH(N$24,cenník!$C$1:$I$1,0))</f>
        <v>ks</v>
      </c>
      <c r="O133" s="14">
        <f>IF(L133="-------",0,SUM(Z126:Z141))</f>
        <v>0</v>
      </c>
      <c r="P133" s="21">
        <f>INDEX(cenník!$C$2:$I$568,MATCH($L133,cenník!$B$2:$B$557,0),MATCH(P$24,cenník!$C$1:$I$1,0))</f>
        <v>11.08</v>
      </c>
      <c r="Q133" s="21">
        <f>O133*P133</f>
        <v>0</v>
      </c>
      <c r="R133" s="22">
        <f t="shared" ref="R133:R151" si="56">$E$138</f>
        <v>0</v>
      </c>
      <c r="S133" s="21">
        <f t="shared" ref="S133:S151" si="57">P133*((100-$E$138)/100)</f>
        <v>11.08</v>
      </c>
      <c r="T133" s="21">
        <f>O133*S133</f>
        <v>0</v>
      </c>
      <c r="U133" s="21">
        <f>INDEX(cenník!$C$2:$I$568,MATCH($L133,cenník!$B$2:$B$557,0),MATCH(U$24,cenník!$C$1:$I$1,0))*O133</f>
        <v>0</v>
      </c>
      <c r="V133" s="19"/>
      <c r="W133" s="19"/>
      <c r="X133" s="25">
        <f t="shared" si="55"/>
        <v>0</v>
      </c>
      <c r="Y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139,$BB$2:$CA$2,0),MATCH($W$125,$AH$22:$AH$47,0)))*C139</f>
        <v>0</v>
      </c>
      <c r="Z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139,$BB$2:$CA$2,0),MATCH($W$125,$AH$22:$AH$47,0)))*C139</f>
        <v>0</v>
      </c>
      <c r="AA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139,$BB$2:$CA$2,0),MATCH($W$125,$AH$22:$AH$47,0)))*C139</f>
        <v>0</v>
      </c>
      <c r="AB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139,$BB$2:$CA$2,0),MATCH($W$125,$AH$22:$AH$47,0)))*C139</f>
        <v>0</v>
      </c>
      <c r="AC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139,$BB$2:$CA$2,0),MATCH($W$125,$AH$22:$AH$47,0)))*C139</f>
        <v>0</v>
      </c>
      <c r="AD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139,$BB$2:$CA$2,0),MATCH($W$125,$AH$22:$AH$47,0)))*C139</f>
        <v>0</v>
      </c>
      <c r="AE133" s="19"/>
      <c r="AF133" s="19"/>
      <c r="AG133" s="19"/>
      <c r="AH133" s="19"/>
      <c r="AI133" s="19"/>
      <c r="AJ133" s="19"/>
      <c r="AK133" s="19"/>
      <c r="AL133" s="19"/>
      <c r="AM133" s="19"/>
      <c r="AN133" s="19"/>
      <c r="AO133" s="19"/>
      <c r="AP133" s="19"/>
      <c r="AQ133" s="19"/>
      <c r="AR133" s="19"/>
      <c r="AS133" s="19"/>
      <c r="AT133" s="19"/>
      <c r="AU133" s="19"/>
      <c r="AV133" s="19"/>
      <c r="AW133" s="19"/>
      <c r="AX133" s="19"/>
      <c r="AY133" s="19"/>
      <c r="AZ133" s="19"/>
      <c r="BA133" s="20" t="s">
        <v>18</v>
      </c>
      <c r="BB133" s="20">
        <v>0</v>
      </c>
      <c r="BC133" s="20">
        <v>0</v>
      </c>
      <c r="BD133" s="20">
        <v>0</v>
      </c>
      <c r="BE133" s="20">
        <v>0</v>
      </c>
      <c r="BF133" s="20">
        <v>0</v>
      </c>
      <c r="BG133" s="20">
        <v>0</v>
      </c>
      <c r="BH133" s="20">
        <v>0</v>
      </c>
      <c r="BI133" s="20">
        <v>4</v>
      </c>
      <c r="BJ133" s="20">
        <v>6</v>
      </c>
      <c r="BK133" s="20">
        <v>0</v>
      </c>
      <c r="BL133" s="20">
        <v>0</v>
      </c>
      <c r="BM133" s="20">
        <v>6</v>
      </c>
      <c r="BN133" s="20">
        <v>10</v>
      </c>
      <c r="BO133" s="20">
        <v>0</v>
      </c>
      <c r="BP133" s="20">
        <v>6</v>
      </c>
      <c r="BQ133" s="20">
        <v>10</v>
      </c>
      <c r="BR133" s="20">
        <v>2</v>
      </c>
      <c r="BS133" s="20">
        <v>2</v>
      </c>
      <c r="BT133" s="20">
        <v>8</v>
      </c>
      <c r="BU133" s="20">
        <v>14</v>
      </c>
      <c r="BV133" s="20">
        <v>4</v>
      </c>
      <c r="BW133" s="20">
        <v>10</v>
      </c>
      <c r="BX133" s="20">
        <v>8</v>
      </c>
      <c r="BY133" s="20">
        <v>4</v>
      </c>
      <c r="BZ133" s="20">
        <v>20</v>
      </c>
      <c r="CA133" s="20">
        <v>0</v>
      </c>
      <c r="DA133" s="17"/>
      <c r="DB133" s="17"/>
      <c r="DC133" s="17"/>
      <c r="DD133" s="19" t="s">
        <v>71</v>
      </c>
      <c r="DE133" s="19">
        <v>0</v>
      </c>
      <c r="DF133" s="19">
        <v>1</v>
      </c>
      <c r="DG133" s="19">
        <v>2</v>
      </c>
      <c r="DH133" s="19">
        <v>3</v>
      </c>
      <c r="DI133" s="19">
        <v>4</v>
      </c>
      <c r="DJ133" s="19">
        <v>5</v>
      </c>
      <c r="DK133" s="19">
        <v>6</v>
      </c>
      <c r="DL133" s="19">
        <v>7</v>
      </c>
      <c r="DM133" s="19">
        <v>8</v>
      </c>
      <c r="DN133" s="19">
        <v>9</v>
      </c>
      <c r="DO133" s="19">
        <v>10</v>
      </c>
      <c r="DP133" s="19">
        <v>11</v>
      </c>
      <c r="DQ133" s="19">
        <v>12</v>
      </c>
      <c r="DR133" s="19">
        <v>13</v>
      </c>
      <c r="DS133" s="19">
        <v>14</v>
      </c>
      <c r="DT133" s="19">
        <v>15</v>
      </c>
      <c r="DU133" s="19">
        <v>16</v>
      </c>
      <c r="DV133" s="19">
        <v>17</v>
      </c>
      <c r="DW133" s="19">
        <v>18</v>
      </c>
      <c r="DX133" s="19">
        <v>19</v>
      </c>
      <c r="DY133" s="19">
        <v>20</v>
      </c>
      <c r="DZ133" s="19"/>
      <c r="EA133" s="19"/>
      <c r="EB133" s="19"/>
      <c r="GC133" s="19"/>
      <c r="GD133" s="19"/>
      <c r="GE133" s="19" t="s">
        <v>18</v>
      </c>
      <c r="GF133" s="19">
        <v>0</v>
      </c>
      <c r="GG133" s="19">
        <v>0</v>
      </c>
      <c r="GH133" s="19">
        <v>0</v>
      </c>
      <c r="GI133" s="19">
        <v>0</v>
      </c>
      <c r="GJ133" s="19">
        <v>0</v>
      </c>
      <c r="GK133" s="19">
        <v>0</v>
      </c>
      <c r="GL133" s="19">
        <v>2</v>
      </c>
      <c r="GM133" s="19">
        <v>4</v>
      </c>
      <c r="GN133" s="19">
        <v>6</v>
      </c>
      <c r="GO133" s="19">
        <v>8</v>
      </c>
      <c r="GP133" s="19">
        <v>12</v>
      </c>
      <c r="GQ133" s="19">
        <v>0</v>
      </c>
      <c r="GR133" s="19">
        <v>14</v>
      </c>
      <c r="GS133" s="19">
        <v>18</v>
      </c>
      <c r="GT133" s="19">
        <v>8</v>
      </c>
      <c r="GU133" s="19">
        <v>10</v>
      </c>
      <c r="GV133" s="19">
        <v>0</v>
      </c>
      <c r="GW133" s="19">
        <v>16</v>
      </c>
      <c r="GX133" s="19">
        <v>4</v>
      </c>
      <c r="GY133" s="19">
        <v>6</v>
      </c>
      <c r="GZ133" s="19">
        <v>24</v>
      </c>
      <c r="HA133" s="19">
        <v>12</v>
      </c>
      <c r="HB133" s="19">
        <v>20</v>
      </c>
      <c r="HC133" s="19">
        <v>32</v>
      </c>
      <c r="HD133" s="19">
        <v>20</v>
      </c>
      <c r="HE133" s="19">
        <v>8</v>
      </c>
      <c r="HF133" s="19">
        <v>36</v>
      </c>
      <c r="HG133" s="19">
        <v>28</v>
      </c>
      <c r="HH133" s="19">
        <v>16</v>
      </c>
      <c r="HI133" s="19">
        <v>40</v>
      </c>
      <c r="HJ133" s="19">
        <v>36</v>
      </c>
      <c r="HK133" s="19">
        <v>24</v>
      </c>
      <c r="HL133" s="19">
        <v>30</v>
      </c>
      <c r="HM133" s="19">
        <v>42</v>
      </c>
      <c r="HN133" s="19">
        <v>42</v>
      </c>
      <c r="HO133" s="19">
        <v>20</v>
      </c>
      <c r="HP133" s="19">
        <v>50</v>
      </c>
      <c r="HQ133" s="19">
        <v>40</v>
      </c>
      <c r="HR133" s="19">
        <v>28</v>
      </c>
      <c r="HS133" s="19">
        <v>54</v>
      </c>
      <c r="HT133" s="19">
        <v>46</v>
      </c>
      <c r="HU133" s="19">
        <v>36</v>
      </c>
      <c r="HV133" s="19">
        <v>58</v>
      </c>
      <c r="HW133" s="19">
        <v>54</v>
      </c>
      <c r="HX133" s="19">
        <v>56</v>
      </c>
      <c r="HY133" s="19">
        <v>62</v>
      </c>
      <c r="HZ133" s="19">
        <v>62</v>
      </c>
      <c r="IA133" s="19">
        <v>64</v>
      </c>
      <c r="IB133" s="19">
        <v>40</v>
      </c>
      <c r="IC133" s="19">
        <v>68</v>
      </c>
      <c r="ID133" s="19">
        <v>58</v>
      </c>
    </row>
    <row r="134" spans="1:238" x14ac:dyDescent="0.25">
      <c r="A134" s="8"/>
      <c r="B134" s="5" t="s">
        <v>61</v>
      </c>
      <c r="C134" s="8"/>
      <c r="D134" s="6" t="s">
        <v>453</v>
      </c>
      <c r="E134" s="8">
        <v>1000</v>
      </c>
      <c r="F134" s="5"/>
      <c r="G134" s="5"/>
      <c r="H134" s="5"/>
      <c r="I134" s="5"/>
      <c r="J134" s="5" t="s">
        <v>62</v>
      </c>
      <c r="K134" s="4"/>
      <c r="L134" s="6" t="str">
        <f>IF($E$139=$AK$22,"PAL40H40/2,1",IF($E$139=$AK$23,"PAL30H32/2,1","-------"))</f>
        <v>PAL40H40/2,1</v>
      </c>
      <c r="M134" s="14">
        <f>INDEX(cenník!$C$2:$I$568,MATCH($L134,cenník!$B$2:$B$557,0),MATCH(M$24,cenník!$C$1:$I$1,0))</f>
        <v>894621</v>
      </c>
      <c r="N134" s="14" t="str">
        <f>INDEX(cenník!$C$2:$I$568,MATCH($L134,cenník!$B$2:$B$557,0),MATCH(N$24,cenník!$C$1:$I$1,0))</f>
        <v>ks</v>
      </c>
      <c r="O134" s="14">
        <f>IF(L134="-------",0,SUM(AA126:AA141))</f>
        <v>0</v>
      </c>
      <c r="P134" s="21">
        <f>INDEX(cenník!$C$2:$I$568,MATCH($L134,cenník!$B$2:$B$557,0),MATCH(P$24,cenník!$C$1:$I$1,0))</f>
        <v>20.05</v>
      </c>
      <c r="Q134" s="21">
        <f>O134*P134</f>
        <v>0</v>
      </c>
      <c r="R134" s="22">
        <f t="shared" si="56"/>
        <v>0</v>
      </c>
      <c r="S134" s="21">
        <f t="shared" si="57"/>
        <v>20.05</v>
      </c>
      <c r="T134" s="21">
        <f t="shared" ref="T134:T147" si="58">O134*S134</f>
        <v>0</v>
      </c>
      <c r="U134" s="21">
        <f>INDEX(cenník!$C$2:$I$568,MATCH($L134,cenník!$B$2:$B$557,0),MATCH(U$24,cenník!$C$1:$I$1,0))*O134</f>
        <v>0</v>
      </c>
      <c r="V134" s="19"/>
      <c r="W134" s="19"/>
      <c r="X134" s="25">
        <f t="shared" si="55"/>
        <v>0</v>
      </c>
      <c r="Y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140,$BB$2:$CA$2,0),MATCH($W$125,$AH$22:$AH$47,0)))*C140</f>
        <v>0</v>
      </c>
      <c r="Z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140,$BB$2:$CA$2,0),MATCH($W$125,$AH$22:$AH$47,0)))*C140</f>
        <v>0</v>
      </c>
      <c r="AA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140,$BB$2:$CA$2,0),MATCH($W$125,$AH$22:$AH$47,0)))*C140</f>
        <v>0</v>
      </c>
      <c r="AB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140,$BB$2:$CA$2,0),MATCH($W$125,$AH$22:$AH$47,0)))*C140</f>
        <v>0</v>
      </c>
      <c r="AC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140,$BB$2:$CA$2,0),MATCH($W$125,$AH$22:$AH$47,0)))*C140</f>
        <v>0</v>
      </c>
      <c r="AD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140,$BB$2:$CA$2,0),MATCH($W$125,$AH$22:$AH$47,0)))*C140</f>
        <v>0</v>
      </c>
      <c r="AE134" s="19"/>
      <c r="AF134" s="19"/>
      <c r="AG134" s="19"/>
      <c r="AH134" s="19"/>
      <c r="AI134" s="19"/>
      <c r="AJ134" s="19"/>
      <c r="AK134" s="19"/>
      <c r="AL134" s="19"/>
      <c r="AM134" s="19"/>
      <c r="AN134" s="19"/>
      <c r="AO134" s="19"/>
      <c r="AP134" s="19"/>
      <c r="AQ134" s="19"/>
      <c r="AR134" s="19"/>
      <c r="AS134" s="19"/>
      <c r="AT134" s="19"/>
      <c r="AU134" s="19"/>
      <c r="AV134" s="19"/>
      <c r="AW134" s="19"/>
      <c r="AX134" s="19"/>
      <c r="AY134" s="19"/>
      <c r="AZ134" s="19"/>
      <c r="BA134" s="20" t="s">
        <v>179</v>
      </c>
      <c r="BB134" s="20">
        <v>0</v>
      </c>
      <c r="BC134" s="20">
        <v>0</v>
      </c>
      <c r="BD134" s="20">
        <v>0</v>
      </c>
      <c r="BE134" s="20">
        <v>4</v>
      </c>
      <c r="BF134" s="20">
        <v>8</v>
      </c>
      <c r="BG134" s="20">
        <v>8</v>
      </c>
      <c r="BH134" s="20">
        <v>8</v>
      </c>
      <c r="BI134" s="20">
        <v>8</v>
      </c>
      <c r="BJ134" s="20">
        <v>12</v>
      </c>
      <c r="BK134" s="20">
        <v>12</v>
      </c>
      <c r="BL134" s="20">
        <v>16</v>
      </c>
      <c r="BM134" s="20">
        <v>16</v>
      </c>
      <c r="BN134" s="20">
        <v>16</v>
      </c>
      <c r="BO134" s="20">
        <v>20</v>
      </c>
      <c r="BP134" s="20">
        <v>20</v>
      </c>
      <c r="BQ134" s="20">
        <v>24</v>
      </c>
      <c r="BR134" s="20">
        <v>24</v>
      </c>
      <c r="BS134" s="20">
        <v>28</v>
      </c>
      <c r="BT134" s="20">
        <v>28</v>
      </c>
      <c r="BU134" s="20">
        <v>28</v>
      </c>
      <c r="BV134" s="20">
        <v>32</v>
      </c>
      <c r="BW134" s="20">
        <v>32</v>
      </c>
      <c r="BX134" s="20">
        <v>36</v>
      </c>
      <c r="BY134" s="20">
        <v>36</v>
      </c>
      <c r="BZ134" s="20">
        <v>36</v>
      </c>
      <c r="CA134" s="20">
        <v>40</v>
      </c>
      <c r="DA134" s="17"/>
      <c r="DB134" s="17"/>
      <c r="DC134" s="17"/>
      <c r="DD134" s="19" t="s">
        <v>64</v>
      </c>
      <c r="DE134" s="19">
        <v>0</v>
      </c>
      <c r="DF134" s="19">
        <v>2</v>
      </c>
      <c r="DG134" s="19">
        <v>4</v>
      </c>
      <c r="DH134" s="19">
        <v>0</v>
      </c>
      <c r="DI134" s="19">
        <v>2</v>
      </c>
      <c r="DJ134" s="19">
        <v>4</v>
      </c>
      <c r="DK134" s="19">
        <v>0</v>
      </c>
      <c r="DL134" s="19">
        <v>2</v>
      </c>
      <c r="DM134" s="19">
        <v>4</v>
      </c>
      <c r="DN134" s="19">
        <v>2</v>
      </c>
      <c r="DO134" s="19">
        <v>4</v>
      </c>
      <c r="DP134" s="19">
        <v>0</v>
      </c>
      <c r="DQ134" s="19">
        <v>2</v>
      </c>
      <c r="DR134" s="19">
        <v>4</v>
      </c>
      <c r="DS134" s="19">
        <v>0</v>
      </c>
      <c r="DT134" s="19">
        <v>2</v>
      </c>
      <c r="DU134" s="19">
        <v>4</v>
      </c>
      <c r="DV134" s="19">
        <v>0</v>
      </c>
      <c r="DW134" s="19">
        <v>4</v>
      </c>
      <c r="DX134" s="19">
        <v>0</v>
      </c>
      <c r="DY134" s="19">
        <v>2</v>
      </c>
      <c r="DZ134" s="19"/>
      <c r="EA134" s="19"/>
      <c r="EB134" s="19"/>
      <c r="GC134" s="19"/>
      <c r="GD134" s="19"/>
      <c r="GE134" s="19" t="s">
        <v>179</v>
      </c>
      <c r="GF134" s="19">
        <v>0</v>
      </c>
      <c r="GG134" s="19">
        <f>((((SUM(GG129:GG133))/2)-1))*4</f>
        <v>0</v>
      </c>
      <c r="GH134" s="19">
        <f t="shared" ref="GH134:ID134" si="59">((((SUM(GH129:GH133))/2)-1))*4</f>
        <v>4</v>
      </c>
      <c r="GI134" s="19">
        <f t="shared" si="59"/>
        <v>8</v>
      </c>
      <c r="GJ134" s="19">
        <f t="shared" si="59"/>
        <v>8</v>
      </c>
      <c r="GK134" s="19">
        <f t="shared" si="59"/>
        <v>12</v>
      </c>
      <c r="GL134" s="19">
        <f t="shared" si="59"/>
        <v>16</v>
      </c>
      <c r="GM134" s="19">
        <f t="shared" si="59"/>
        <v>16</v>
      </c>
      <c r="GN134" s="19">
        <f t="shared" si="59"/>
        <v>20</v>
      </c>
      <c r="GO134" s="19">
        <f t="shared" si="59"/>
        <v>24</v>
      </c>
      <c r="GP134" s="19">
        <f t="shared" si="59"/>
        <v>24</v>
      </c>
      <c r="GQ134" s="19">
        <f t="shared" si="59"/>
        <v>28</v>
      </c>
      <c r="GR134" s="19">
        <f t="shared" si="59"/>
        <v>32</v>
      </c>
      <c r="GS134" s="19">
        <f t="shared" si="59"/>
        <v>32</v>
      </c>
      <c r="GT134" s="19">
        <f t="shared" si="59"/>
        <v>36</v>
      </c>
      <c r="GU134" s="19">
        <f t="shared" si="59"/>
        <v>40</v>
      </c>
      <c r="GV134" s="19">
        <f t="shared" si="59"/>
        <v>44</v>
      </c>
      <c r="GW134" s="19">
        <f t="shared" si="59"/>
        <v>44</v>
      </c>
      <c r="GX134" s="19">
        <f t="shared" si="59"/>
        <v>48</v>
      </c>
      <c r="GY134" s="19">
        <f t="shared" si="59"/>
        <v>52</v>
      </c>
      <c r="GZ134" s="19">
        <f t="shared" si="59"/>
        <v>52</v>
      </c>
      <c r="HA134" s="19">
        <f t="shared" si="59"/>
        <v>56</v>
      </c>
      <c r="HB134" s="19">
        <f t="shared" si="59"/>
        <v>60</v>
      </c>
      <c r="HC134" s="19">
        <f t="shared" si="59"/>
        <v>60</v>
      </c>
      <c r="HD134" s="19">
        <f t="shared" si="59"/>
        <v>64</v>
      </c>
      <c r="HE134" s="19">
        <f t="shared" si="59"/>
        <v>68</v>
      </c>
      <c r="HF134" s="19">
        <f t="shared" si="59"/>
        <v>68</v>
      </c>
      <c r="HG134" s="19">
        <f t="shared" si="59"/>
        <v>72</v>
      </c>
      <c r="HH134" s="19">
        <f t="shared" si="59"/>
        <v>76</v>
      </c>
      <c r="HI134" s="19">
        <f t="shared" si="59"/>
        <v>76</v>
      </c>
      <c r="HJ134" s="19">
        <f t="shared" si="59"/>
        <v>80</v>
      </c>
      <c r="HK134" s="19">
        <f t="shared" si="59"/>
        <v>84</v>
      </c>
      <c r="HL134" s="19">
        <f t="shared" si="59"/>
        <v>88</v>
      </c>
      <c r="HM134" s="19">
        <f t="shared" si="59"/>
        <v>88</v>
      </c>
      <c r="HN134" s="19">
        <f t="shared" si="59"/>
        <v>88</v>
      </c>
      <c r="HO134" s="19">
        <f t="shared" si="59"/>
        <v>96</v>
      </c>
      <c r="HP134" s="19">
        <f t="shared" si="59"/>
        <v>96</v>
      </c>
      <c r="HQ134" s="19">
        <f t="shared" si="59"/>
        <v>100</v>
      </c>
      <c r="HR134" s="19">
        <f t="shared" si="59"/>
        <v>104</v>
      </c>
      <c r="HS134" s="19">
        <f t="shared" si="59"/>
        <v>104</v>
      </c>
      <c r="HT134" s="19">
        <f t="shared" si="59"/>
        <v>108</v>
      </c>
      <c r="HU134" s="19">
        <f t="shared" si="59"/>
        <v>112</v>
      </c>
      <c r="HV134" s="19">
        <f t="shared" si="59"/>
        <v>112</v>
      </c>
      <c r="HW134" s="19">
        <f t="shared" si="59"/>
        <v>116</v>
      </c>
      <c r="HX134" s="19">
        <f t="shared" si="59"/>
        <v>120</v>
      </c>
      <c r="HY134" s="19">
        <f t="shared" si="59"/>
        <v>120</v>
      </c>
      <c r="HZ134" s="19">
        <f t="shared" si="59"/>
        <v>124</v>
      </c>
      <c r="IA134" s="19">
        <f t="shared" si="59"/>
        <v>128</v>
      </c>
      <c r="IB134" s="19">
        <f t="shared" si="59"/>
        <v>132</v>
      </c>
      <c r="IC134" s="19">
        <f t="shared" si="59"/>
        <v>132</v>
      </c>
      <c r="ID134" s="19">
        <f t="shared" si="59"/>
        <v>136</v>
      </c>
    </row>
    <row r="135" spans="1:238" x14ac:dyDescent="0.25">
      <c r="A135" s="8"/>
      <c r="B135" s="5" t="s">
        <v>61</v>
      </c>
      <c r="C135" s="8"/>
      <c r="D135" s="6" t="s">
        <v>454</v>
      </c>
      <c r="E135" s="8" t="s">
        <v>462</v>
      </c>
      <c r="F135" s="5"/>
      <c r="G135" s="5"/>
      <c r="H135" s="5"/>
      <c r="I135" s="5"/>
      <c r="J135" s="5"/>
      <c r="K135" s="4"/>
      <c r="L135" s="6" t="str">
        <f>IF($E$139=$AK$22,"PAL40H40/2,2",IF($E$139=$AK$23,"PAL30H32/2,2",IF($E$139=$AK$24,"CWP40H35/2,2MC","-------")))</f>
        <v>PAL40H40/2,2</v>
      </c>
      <c r="M135" s="14">
        <f>INDEX(cenník!$C$2:$I$568,MATCH($L135,cenník!$B$2:$B$557,0),MATCH(M$24,cenník!$C$1:$I$1,0))</f>
        <v>894622</v>
      </c>
      <c r="N135" s="14" t="str">
        <f>INDEX(cenník!$C$2:$I$568,MATCH($L135,cenník!$B$2:$B$557,0),MATCH(N$24,cenník!$C$1:$I$1,0))</f>
        <v>ks</v>
      </c>
      <c r="O135" s="14">
        <f>SUM(AB126:AB141)</f>
        <v>0</v>
      </c>
      <c r="P135" s="21">
        <f>INDEX(cenník!$C$2:$I$568,MATCH($L135,cenník!$B$2:$B$557,0),MATCH(P$24,cenník!$C$1:$I$1,0))</f>
        <v>21.11</v>
      </c>
      <c r="Q135" s="21">
        <f t="shared" ref="Q135:Q149" si="60">O135*P135</f>
        <v>0</v>
      </c>
      <c r="R135" s="22">
        <f t="shared" si="56"/>
        <v>0</v>
      </c>
      <c r="S135" s="21">
        <f t="shared" si="57"/>
        <v>21.11</v>
      </c>
      <c r="T135" s="21">
        <f t="shared" si="58"/>
        <v>0</v>
      </c>
      <c r="U135" s="21">
        <f>INDEX(cenník!$C$2:$I$568,MATCH($L135,cenník!$B$2:$B$557,0),MATCH(U$24,cenník!$C$1:$I$1,0))*O135</f>
        <v>0</v>
      </c>
      <c r="V135" s="19"/>
      <c r="W135" s="19"/>
      <c r="X135" s="25">
        <f t="shared" si="55"/>
        <v>0</v>
      </c>
      <c r="Y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141,$BB$2:$CA$2,0),MATCH($W$125,$AH$22:$AH$47,0)))*C141</f>
        <v>0</v>
      </c>
      <c r="Z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141,$BB$2:$CA$2,0),MATCH($W$125,$AH$22:$AH$47,0)))*C141</f>
        <v>0</v>
      </c>
      <c r="AA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141,$BB$2:$CA$2,0),MATCH($W$125,$AH$22:$AH$47,0)))*C141</f>
        <v>0</v>
      </c>
      <c r="AB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141,$BB$2:$CA$2,0),MATCH($W$125,$AH$22:$AH$47,0)))*C141</f>
        <v>0</v>
      </c>
      <c r="AC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141,$BB$2:$CA$2,0),MATCH($W$125,$AH$22:$AH$47,0)))*C141</f>
        <v>0</v>
      </c>
      <c r="AD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141,$BB$2:$CA$2,0),MATCH($W$125,$AH$22:$AH$47,0)))*C141</f>
        <v>0</v>
      </c>
      <c r="AE135" s="19"/>
      <c r="AF135" s="19"/>
      <c r="AG135" s="19"/>
      <c r="AH135" s="19"/>
      <c r="AI135" s="19"/>
      <c r="AJ135" s="19"/>
      <c r="AK135" s="19"/>
      <c r="AL135" s="19"/>
      <c r="AM135" s="19"/>
      <c r="AN135" s="19"/>
      <c r="AO135" s="19"/>
      <c r="AP135" s="19"/>
      <c r="AQ135" s="19"/>
      <c r="AR135" s="19"/>
      <c r="AS135" s="19"/>
      <c r="AT135" s="19"/>
      <c r="AU135" s="19"/>
      <c r="AV135" s="19"/>
      <c r="AW135" s="19"/>
      <c r="AX135" s="19"/>
      <c r="AY135" s="19"/>
      <c r="AZ135" s="19"/>
      <c r="BA135" s="20" t="s">
        <v>234</v>
      </c>
      <c r="BB135" s="20">
        <v>0</v>
      </c>
      <c r="BC135" s="20">
        <v>0</v>
      </c>
      <c r="BD135" s="20">
        <v>0</v>
      </c>
      <c r="BE135" s="20">
        <v>0</v>
      </c>
      <c r="BF135" s="20">
        <v>2</v>
      </c>
      <c r="BG135" s="20">
        <v>0</v>
      </c>
      <c r="BH135" s="20">
        <v>0</v>
      </c>
      <c r="BI135" s="20">
        <v>0</v>
      </c>
      <c r="BJ135" s="20">
        <v>2</v>
      </c>
      <c r="BK135" s="20">
        <v>0</v>
      </c>
      <c r="BL135" s="20">
        <v>0</v>
      </c>
      <c r="BM135" s="20">
        <v>0</v>
      </c>
      <c r="BN135" s="20">
        <v>0</v>
      </c>
      <c r="BO135" s="20">
        <v>0</v>
      </c>
      <c r="BP135" s="20">
        <v>0</v>
      </c>
      <c r="BQ135" s="20">
        <v>2</v>
      </c>
      <c r="BR135" s="20">
        <v>0</v>
      </c>
      <c r="BS135" s="20">
        <v>2</v>
      </c>
      <c r="BT135" s="20">
        <v>0</v>
      </c>
      <c r="BU135" s="20">
        <v>0</v>
      </c>
      <c r="BV135" s="20">
        <v>0</v>
      </c>
      <c r="BW135" s="20">
        <v>0</v>
      </c>
      <c r="BX135" s="20">
        <v>0</v>
      </c>
      <c r="BY135" s="20">
        <v>0</v>
      </c>
      <c r="BZ135" s="20">
        <v>0</v>
      </c>
      <c r="CA135" s="20">
        <v>0</v>
      </c>
      <c r="DA135" s="17"/>
      <c r="DB135" s="17"/>
      <c r="DC135" s="17"/>
      <c r="DD135" s="19" t="s">
        <v>18</v>
      </c>
      <c r="DE135" s="19">
        <v>0</v>
      </c>
      <c r="DF135" s="19">
        <v>0</v>
      </c>
      <c r="DG135" s="19">
        <v>0</v>
      </c>
      <c r="DH135" s="19">
        <v>4</v>
      </c>
      <c r="DI135" s="19">
        <v>4</v>
      </c>
      <c r="DJ135" s="19">
        <v>4</v>
      </c>
      <c r="DK135" s="19">
        <v>8</v>
      </c>
      <c r="DL135" s="19">
        <v>8</v>
      </c>
      <c r="DM135" s="19">
        <v>8</v>
      </c>
      <c r="DN135" s="19">
        <v>10</v>
      </c>
      <c r="DO135" s="19">
        <v>10</v>
      </c>
      <c r="DP135" s="19">
        <v>14</v>
      </c>
      <c r="DQ135" s="19">
        <v>14</v>
      </c>
      <c r="DR135" s="19">
        <v>14</v>
      </c>
      <c r="DS135" s="19">
        <v>18</v>
      </c>
      <c r="DT135" s="19">
        <v>18</v>
      </c>
      <c r="DU135" s="19">
        <v>18</v>
      </c>
      <c r="DV135" s="19">
        <v>22</v>
      </c>
      <c r="DW135" s="19">
        <v>20</v>
      </c>
      <c r="DX135" s="19">
        <v>24</v>
      </c>
      <c r="DY135" s="19">
        <v>24</v>
      </c>
      <c r="DZ135" s="19"/>
      <c r="EA135" s="19"/>
      <c r="EB135" s="19"/>
      <c r="GC135" s="19"/>
      <c r="GD135" s="19"/>
      <c r="GE135" s="26" t="s">
        <v>234</v>
      </c>
      <c r="GF135" s="19">
        <v>0</v>
      </c>
      <c r="GG135" s="19">
        <v>0</v>
      </c>
      <c r="GH135" s="19">
        <v>0</v>
      </c>
      <c r="GI135" s="19">
        <v>0</v>
      </c>
      <c r="GJ135" s="19">
        <v>0</v>
      </c>
      <c r="GK135" s="19">
        <v>0</v>
      </c>
      <c r="GL135" s="19">
        <v>0</v>
      </c>
      <c r="GM135" s="19">
        <v>0</v>
      </c>
      <c r="GN135" s="19">
        <v>0</v>
      </c>
      <c r="GO135" s="19">
        <v>0</v>
      </c>
      <c r="GP135" s="19">
        <v>0</v>
      </c>
      <c r="GQ135" s="19">
        <v>0</v>
      </c>
      <c r="GR135" s="19">
        <v>0</v>
      </c>
      <c r="GS135" s="19">
        <v>0</v>
      </c>
      <c r="GT135" s="19">
        <v>0</v>
      </c>
      <c r="GU135" s="19">
        <v>0</v>
      </c>
      <c r="GV135" s="19">
        <v>0</v>
      </c>
      <c r="GW135" s="19">
        <v>0</v>
      </c>
      <c r="GX135" s="19">
        <v>0</v>
      </c>
      <c r="GY135" s="19">
        <v>0</v>
      </c>
      <c r="GZ135" s="19">
        <v>0</v>
      </c>
      <c r="HA135" s="19">
        <v>0</v>
      </c>
      <c r="HB135" s="19">
        <v>0</v>
      </c>
      <c r="HC135" s="19">
        <v>0</v>
      </c>
      <c r="HD135" s="19">
        <v>0</v>
      </c>
      <c r="HE135" s="19">
        <v>0</v>
      </c>
      <c r="HF135" s="19">
        <v>0</v>
      </c>
      <c r="HG135" s="19">
        <v>0</v>
      </c>
      <c r="HH135" s="19">
        <v>0</v>
      </c>
      <c r="HI135" s="19">
        <v>0</v>
      </c>
      <c r="HJ135" s="19">
        <v>0</v>
      </c>
      <c r="HK135" s="19">
        <v>0</v>
      </c>
      <c r="HL135" s="19">
        <v>2</v>
      </c>
      <c r="HM135" s="19">
        <v>0</v>
      </c>
      <c r="HN135" s="19">
        <v>0</v>
      </c>
      <c r="HO135" s="19">
        <v>0</v>
      </c>
      <c r="HP135" s="19">
        <v>0</v>
      </c>
      <c r="HQ135" s="19">
        <v>0</v>
      </c>
      <c r="HR135" s="19">
        <v>0</v>
      </c>
      <c r="HS135" s="19">
        <v>0</v>
      </c>
      <c r="HT135" s="19">
        <v>0</v>
      </c>
      <c r="HU135" s="19">
        <v>0</v>
      </c>
      <c r="HV135" s="19">
        <v>0</v>
      </c>
      <c r="HW135" s="19">
        <v>0</v>
      </c>
      <c r="HX135" s="19">
        <v>0</v>
      </c>
      <c r="HY135" s="19">
        <v>0</v>
      </c>
      <c r="HZ135" s="19">
        <v>0</v>
      </c>
      <c r="IA135" s="19">
        <v>2</v>
      </c>
      <c r="IB135" s="19">
        <v>0</v>
      </c>
      <c r="IC135" s="19">
        <v>0</v>
      </c>
      <c r="ID135" s="19">
        <v>0</v>
      </c>
    </row>
    <row r="136" spans="1:238" x14ac:dyDescent="0.25">
      <c r="A136" s="8"/>
      <c r="B136" s="5" t="s">
        <v>61</v>
      </c>
      <c r="C136" s="8"/>
      <c r="D136" s="6" t="s">
        <v>455</v>
      </c>
      <c r="E136" s="8" t="s">
        <v>465</v>
      </c>
      <c r="F136" s="126" t="str">
        <f>IF(E139="40x35 oceľ","niekompatybilne z profilem stalowym","")</f>
        <v/>
      </c>
      <c r="G136" s="5"/>
      <c r="H136" s="5"/>
      <c r="I136" s="5"/>
      <c r="J136" s="5"/>
      <c r="K136" s="4"/>
      <c r="L136" s="6" t="str">
        <f>IF($E$139=$AK$22,"PAL40H40/3,15",IF($E$139=$AK$23,"PAL30H32/3,15","-------"))</f>
        <v>PAL40H40/3,15</v>
      </c>
      <c r="M136" s="14">
        <f>INDEX(cenník!$C$2:$I$568,MATCH($L136,cenník!$B$2:$B$557,0),MATCH(M$24,cenník!$C$1:$I$1,0))</f>
        <v>894631</v>
      </c>
      <c r="N136" s="14" t="str">
        <f>INDEX(cenník!$C$2:$I$568,MATCH($L136,cenník!$B$2:$B$557,0),MATCH(N$24,cenník!$C$1:$I$1,0))</f>
        <v>ks</v>
      </c>
      <c r="O136" s="14">
        <f>IF(L136="-------",0,SUM(AC126:AC141))</f>
        <v>0</v>
      </c>
      <c r="P136" s="21">
        <f>INDEX(cenník!$C$2:$I$568,MATCH($L136,cenník!$B$2:$B$557,0),MATCH(P$24,cenník!$C$1:$I$1,0))</f>
        <v>30.78</v>
      </c>
      <c r="Q136" s="21">
        <f t="shared" si="60"/>
        <v>0</v>
      </c>
      <c r="R136" s="22">
        <f t="shared" si="56"/>
        <v>0</v>
      </c>
      <c r="S136" s="21">
        <f t="shared" si="57"/>
        <v>30.78</v>
      </c>
      <c r="T136" s="21">
        <f t="shared" si="58"/>
        <v>0</v>
      </c>
      <c r="U136" s="21">
        <f>INDEX(cenník!$C$2:$I$568,MATCH($L136,cenník!$B$2:$B$557,0),MATCH(U$24,cenník!$C$1:$I$1,0))*O136</f>
        <v>0</v>
      </c>
      <c r="V136" s="19"/>
      <c r="W136" s="19"/>
      <c r="X136" s="25">
        <f t="shared" si="55"/>
        <v>0</v>
      </c>
      <c r="Y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142,$BB$2:$CA$2,0),MATCH($W$125,$AH$22:$AH$47,0)))*C142</f>
        <v>0</v>
      </c>
      <c r="Z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142,$BB$2:$CA$2,0),MATCH($W$125,$AH$22:$AH$47,0)))*C142</f>
        <v>0</v>
      </c>
      <c r="AA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142,$BB$2:$CA$2,0),MATCH($W$125,$AH$22:$AH$47,0)))*C142</f>
        <v>0</v>
      </c>
      <c r="AB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142,$BB$2:$CA$2,0),MATCH($W$125,$AH$22:$AH$47,0)))*C142</f>
        <v>0</v>
      </c>
      <c r="AC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142,$BB$2:$CA$2,0),MATCH($W$125,$AH$22:$AH$47,0)))*C142</f>
        <v>0</v>
      </c>
      <c r="AD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142,$BB$2:$CA$2,0),MATCH($W$125,$AH$22:$AH$47,0)))*C142</f>
        <v>0</v>
      </c>
      <c r="AE136" s="19"/>
      <c r="AF136" s="19"/>
      <c r="AG136" s="19"/>
      <c r="AH136" s="19"/>
      <c r="AI136" s="19"/>
      <c r="AJ136" s="19"/>
      <c r="AK136" s="19"/>
      <c r="AL136" s="19"/>
      <c r="AM136" s="19"/>
      <c r="AN136" s="19"/>
      <c r="AO136" s="19"/>
      <c r="AP136" s="19"/>
      <c r="AQ136" s="19"/>
      <c r="AR136" s="19"/>
      <c r="AS136" s="19"/>
      <c r="AT136" s="19"/>
      <c r="AU136" s="19"/>
      <c r="AV136" s="19"/>
      <c r="AW136" s="19"/>
      <c r="AX136" s="19"/>
      <c r="AY136" s="19"/>
      <c r="AZ136" s="19"/>
      <c r="BA136" s="20" t="s">
        <v>235</v>
      </c>
      <c r="BB136" s="20">
        <v>0</v>
      </c>
      <c r="BC136" s="20">
        <v>2</v>
      </c>
      <c r="BD136" s="20">
        <v>0</v>
      </c>
      <c r="BE136" s="20">
        <v>4</v>
      </c>
      <c r="BF136" s="20">
        <v>0</v>
      </c>
      <c r="BG136" s="20">
        <v>4</v>
      </c>
      <c r="BH136" s="20">
        <v>2</v>
      </c>
      <c r="BI136" s="20">
        <v>0</v>
      </c>
      <c r="BJ136" s="20">
        <v>0</v>
      </c>
      <c r="BK136" s="20">
        <v>0</v>
      </c>
      <c r="BL136" s="20">
        <v>0</v>
      </c>
      <c r="BM136" s="20">
        <v>0</v>
      </c>
      <c r="BN136" s="20">
        <v>0</v>
      </c>
      <c r="BO136" s="20">
        <v>0</v>
      </c>
      <c r="BP136" s="20">
        <v>0</v>
      </c>
      <c r="BQ136" s="20">
        <v>0</v>
      </c>
      <c r="BR136" s="20">
        <v>0</v>
      </c>
      <c r="BS136" s="20">
        <v>0</v>
      </c>
      <c r="BT136" s="20">
        <v>0</v>
      </c>
      <c r="BU136" s="20">
        <v>0</v>
      </c>
      <c r="BV136" s="20">
        <v>0</v>
      </c>
      <c r="BW136" s="20">
        <v>0</v>
      </c>
      <c r="BX136" s="20">
        <v>0</v>
      </c>
      <c r="BY136" s="20">
        <v>0</v>
      </c>
      <c r="BZ136" s="20">
        <v>0</v>
      </c>
      <c r="CA136" s="20">
        <v>0</v>
      </c>
      <c r="DA136" s="17"/>
      <c r="DB136" s="17"/>
      <c r="DC136" s="17"/>
      <c r="DD136" s="19" t="s">
        <v>179</v>
      </c>
      <c r="DE136" s="19">
        <v>0</v>
      </c>
      <c r="DF136" s="19">
        <v>0</v>
      </c>
      <c r="DG136" s="19">
        <v>4</v>
      </c>
      <c r="DH136" s="19">
        <v>4</v>
      </c>
      <c r="DI136" s="19">
        <v>8</v>
      </c>
      <c r="DJ136" s="19">
        <v>12</v>
      </c>
      <c r="DK136" s="19">
        <v>12</v>
      </c>
      <c r="DL136" s="19">
        <v>16</v>
      </c>
      <c r="DM136" s="19">
        <v>20</v>
      </c>
      <c r="DN136" s="19">
        <v>20</v>
      </c>
      <c r="DO136" s="19">
        <v>24</v>
      </c>
      <c r="DP136" s="19">
        <v>24</v>
      </c>
      <c r="DQ136" s="19">
        <v>28</v>
      </c>
      <c r="DR136" s="19">
        <v>32</v>
      </c>
      <c r="DS136" s="19">
        <v>32</v>
      </c>
      <c r="DT136" s="19">
        <v>36</v>
      </c>
      <c r="DU136" s="19">
        <v>40</v>
      </c>
      <c r="DV136" s="19">
        <v>40</v>
      </c>
      <c r="DW136" s="19">
        <v>44</v>
      </c>
      <c r="DX136" s="19">
        <v>44</v>
      </c>
      <c r="DY136" s="19">
        <v>48</v>
      </c>
      <c r="DZ136" s="19"/>
      <c r="EA136" s="19"/>
      <c r="EB136" s="19"/>
      <c r="GC136" s="19"/>
      <c r="GD136" s="19"/>
      <c r="GE136" s="26" t="s">
        <v>235</v>
      </c>
      <c r="GF136" s="19">
        <v>0</v>
      </c>
      <c r="GG136" s="19">
        <v>0</v>
      </c>
      <c r="GH136" s="19">
        <v>2</v>
      </c>
      <c r="GI136" s="19">
        <v>4</v>
      </c>
      <c r="GJ136" s="19">
        <v>0</v>
      </c>
      <c r="GK136" s="19">
        <v>2</v>
      </c>
      <c r="GL136" s="19">
        <v>4</v>
      </c>
      <c r="GM136" s="19">
        <v>0</v>
      </c>
      <c r="GN136" s="19">
        <v>0</v>
      </c>
      <c r="GO136" s="19">
        <v>2</v>
      </c>
      <c r="GP136" s="19">
        <v>0</v>
      </c>
      <c r="GQ136" s="19">
        <v>0</v>
      </c>
      <c r="GR136" s="19">
        <v>4</v>
      </c>
      <c r="GS136" s="19">
        <v>0</v>
      </c>
      <c r="GT136" s="19">
        <v>0</v>
      </c>
      <c r="GU136" s="19">
        <v>0</v>
      </c>
      <c r="GV136" s="19">
        <v>2</v>
      </c>
      <c r="GW136" s="19">
        <v>0</v>
      </c>
      <c r="GX136" s="19">
        <v>0</v>
      </c>
      <c r="GY136" s="19">
        <v>0</v>
      </c>
      <c r="GZ136" s="19">
        <v>0</v>
      </c>
      <c r="HA136" s="19">
        <v>0</v>
      </c>
      <c r="HB136" s="19">
        <v>0</v>
      </c>
      <c r="HC136" s="19">
        <v>0</v>
      </c>
      <c r="HD136" s="19">
        <v>0</v>
      </c>
      <c r="HE136" s="19">
        <v>0</v>
      </c>
      <c r="HF136" s="19">
        <v>0</v>
      </c>
      <c r="HG136" s="19">
        <v>0</v>
      </c>
      <c r="HH136" s="19">
        <v>0</v>
      </c>
      <c r="HI136" s="19">
        <v>0</v>
      </c>
      <c r="HJ136" s="19">
        <v>0</v>
      </c>
      <c r="HK136" s="19">
        <v>0</v>
      </c>
      <c r="HL136" s="19">
        <v>0</v>
      </c>
      <c r="HM136" s="19">
        <v>0</v>
      </c>
      <c r="HN136" s="19">
        <v>0</v>
      </c>
      <c r="HO136" s="19">
        <v>0</v>
      </c>
      <c r="HP136" s="19">
        <v>0</v>
      </c>
      <c r="HQ136" s="19">
        <v>0</v>
      </c>
      <c r="HR136" s="19">
        <v>0</v>
      </c>
      <c r="HS136" s="19">
        <v>0</v>
      </c>
      <c r="HT136" s="19">
        <v>0</v>
      </c>
      <c r="HU136" s="19">
        <v>0</v>
      </c>
      <c r="HV136" s="19">
        <v>0</v>
      </c>
      <c r="HW136" s="19">
        <v>0</v>
      </c>
      <c r="HX136" s="19">
        <v>0</v>
      </c>
      <c r="HY136" s="19">
        <v>0</v>
      </c>
      <c r="HZ136" s="19">
        <v>0</v>
      </c>
      <c r="IA136" s="19">
        <v>0</v>
      </c>
      <c r="IB136" s="19">
        <v>0</v>
      </c>
      <c r="IC136" s="19">
        <v>0</v>
      </c>
      <c r="ID136" s="19">
        <v>0</v>
      </c>
    </row>
    <row r="137" spans="1:238" x14ac:dyDescent="0.25">
      <c r="A137" s="8"/>
      <c r="B137" s="5" t="s">
        <v>61</v>
      </c>
      <c r="C137" s="8"/>
      <c r="D137" s="6" t="s">
        <v>456</v>
      </c>
      <c r="E137" s="8" t="s">
        <v>466</v>
      </c>
      <c r="F137" s="5"/>
      <c r="G137" s="5"/>
      <c r="H137" s="5"/>
      <c r="I137" s="5"/>
      <c r="J137" s="5"/>
      <c r="K137" s="4"/>
      <c r="L137" s="6" t="str">
        <f>IF($E$139=$AK$22,"PAL40H40/3,3",IF($E$139=$AK$23,"PAL30H32/3,3",IF($E$139=$AK$24,"CWP40H35/3,3MC","-------")))</f>
        <v>PAL40H40/3,3</v>
      </c>
      <c r="M137" s="14">
        <f>INDEX(cenník!$C$2:$I$568,MATCH($L137,cenník!$B$2:$B$557,0),MATCH(M$24,cenník!$C$1:$I$1,0))</f>
        <v>894633</v>
      </c>
      <c r="N137" s="14" t="str">
        <f>INDEX(cenník!$C$2:$I$568,MATCH($L137,cenník!$B$2:$B$557,0),MATCH(N$24,cenník!$C$1:$I$1,0))</f>
        <v>ks</v>
      </c>
      <c r="O137" s="14">
        <f>SUM(AD126:AD141)</f>
        <v>0</v>
      </c>
      <c r="P137" s="21">
        <f>INDEX(cenník!$C$2:$I$568,MATCH($L137,cenník!$B$2:$B$557,0),MATCH(P$24,cenník!$C$1:$I$1,0))</f>
        <v>32.159999999999997</v>
      </c>
      <c r="Q137" s="21">
        <f t="shared" si="60"/>
        <v>0</v>
      </c>
      <c r="R137" s="22">
        <f t="shared" si="56"/>
        <v>0</v>
      </c>
      <c r="S137" s="21">
        <f t="shared" si="57"/>
        <v>32.159999999999997</v>
      </c>
      <c r="T137" s="21">
        <f t="shared" si="58"/>
        <v>0</v>
      </c>
      <c r="U137" s="21">
        <f>INDEX(cenník!$C$2:$I$568,MATCH($L137,cenník!$B$2:$B$557,0),MATCH(U$24,cenník!$C$1:$I$1,0))*O137</f>
        <v>0</v>
      </c>
      <c r="V137" s="19"/>
      <c r="W137" s="19"/>
      <c r="X137" s="25">
        <f t="shared" si="55"/>
        <v>0</v>
      </c>
      <c r="Y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143,$BB$2:$CA$2,0),MATCH($W$125,$AH$22:$AH$47,0)))*C143</f>
        <v>0</v>
      </c>
      <c r="Z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143,$BB$2:$CA$2,0),MATCH($W$125,$AH$22:$AH$47,0)))*C143</f>
        <v>0</v>
      </c>
      <c r="AA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143,$BB$2:$CA$2,0),MATCH($W$125,$AH$22:$AH$47,0)))*C143</f>
        <v>0</v>
      </c>
      <c r="AB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143,$BB$2:$CA$2,0),MATCH($W$125,$AH$22:$AH$47,0)))*C143</f>
        <v>0</v>
      </c>
      <c r="AC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143,$BB$2:$CA$2,0),MATCH($W$125,$AH$22:$AH$47,0)))*C143</f>
        <v>0</v>
      </c>
      <c r="AD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143,$BB$2:$CA$2,0),MATCH($W$125,$AH$22:$AH$47,0)))*C143</f>
        <v>0</v>
      </c>
      <c r="AE137" s="19"/>
      <c r="AF137" s="19"/>
      <c r="AG137" s="19"/>
      <c r="AH137" s="19"/>
      <c r="AI137" s="19"/>
      <c r="AJ137" s="19"/>
      <c r="AK137" s="19"/>
      <c r="AL137" s="19"/>
      <c r="AM137" s="19"/>
      <c r="AN137" s="19"/>
      <c r="AO137" s="19"/>
      <c r="AP137" s="19"/>
      <c r="AQ137" s="19"/>
      <c r="AR137" s="19"/>
      <c r="AS137" s="19"/>
      <c r="AT137" s="19"/>
      <c r="AU137" s="19"/>
      <c r="AV137" s="19"/>
      <c r="AW137" s="19"/>
      <c r="AX137" s="19"/>
      <c r="AY137" s="19"/>
      <c r="AZ137" s="19"/>
      <c r="BA137" s="20" t="s">
        <v>236</v>
      </c>
      <c r="BB137" s="20">
        <v>0</v>
      </c>
      <c r="BC137" s="20">
        <v>0</v>
      </c>
      <c r="BD137" s="20">
        <v>0</v>
      </c>
      <c r="BE137" s="20">
        <v>0</v>
      </c>
      <c r="BF137" s="20">
        <v>4</v>
      </c>
      <c r="BG137" s="20">
        <v>0</v>
      </c>
      <c r="BH137" s="20">
        <v>0</v>
      </c>
      <c r="BI137" s="20">
        <v>0</v>
      </c>
      <c r="BJ137" s="20">
        <v>0</v>
      </c>
      <c r="BK137" s="20">
        <v>0</v>
      </c>
      <c r="BL137" s="20">
        <v>4</v>
      </c>
      <c r="BM137" s="20">
        <v>2</v>
      </c>
      <c r="BN137" s="20">
        <v>0</v>
      </c>
      <c r="BO137" s="20">
        <v>2</v>
      </c>
      <c r="BP137" s="20">
        <v>0</v>
      </c>
      <c r="BQ137" s="20">
        <v>0</v>
      </c>
      <c r="BR137" s="20">
        <v>0</v>
      </c>
      <c r="BS137" s="20">
        <v>0</v>
      </c>
      <c r="BT137" s="20">
        <v>2</v>
      </c>
      <c r="BU137" s="20">
        <v>0</v>
      </c>
      <c r="BV137" s="20">
        <v>2</v>
      </c>
      <c r="BW137" s="20">
        <v>0</v>
      </c>
      <c r="BX137" s="20">
        <v>4</v>
      </c>
      <c r="BY137" s="20">
        <v>0</v>
      </c>
      <c r="BZ137" s="20">
        <v>0</v>
      </c>
      <c r="CA137" s="20">
        <v>0</v>
      </c>
      <c r="DA137" s="17"/>
      <c r="DB137" s="17"/>
      <c r="DC137" s="17"/>
      <c r="DD137" s="19" t="s">
        <v>236</v>
      </c>
      <c r="DE137" s="19">
        <v>0</v>
      </c>
      <c r="DF137" s="19">
        <v>2</v>
      </c>
      <c r="DG137" s="19">
        <v>4</v>
      </c>
      <c r="DH137" s="19">
        <v>0</v>
      </c>
      <c r="DI137" s="19">
        <v>2</v>
      </c>
      <c r="DJ137" s="19">
        <v>4</v>
      </c>
      <c r="DK137" s="19">
        <v>0</v>
      </c>
      <c r="DL137" s="19">
        <v>2</v>
      </c>
      <c r="DM137" s="19">
        <v>4</v>
      </c>
      <c r="DN137" s="19">
        <v>2</v>
      </c>
      <c r="DO137" s="19">
        <v>4</v>
      </c>
      <c r="DP137" s="19">
        <v>0</v>
      </c>
      <c r="DQ137" s="19">
        <v>2</v>
      </c>
      <c r="DR137" s="19">
        <v>4</v>
      </c>
      <c r="DS137" s="19">
        <v>0</v>
      </c>
      <c r="DT137" s="19">
        <v>2</v>
      </c>
      <c r="DU137" s="19">
        <v>4</v>
      </c>
      <c r="DV137" s="19">
        <v>0</v>
      </c>
      <c r="DW137" s="19">
        <v>4</v>
      </c>
      <c r="DX137" s="19">
        <v>0</v>
      </c>
      <c r="DY137" s="19">
        <v>2</v>
      </c>
      <c r="DZ137" s="19"/>
      <c r="EA137" s="19"/>
      <c r="EB137" s="19"/>
      <c r="GC137" s="19"/>
      <c r="GD137" s="19"/>
      <c r="GE137" s="26" t="s">
        <v>236</v>
      </c>
      <c r="GF137" s="19">
        <v>0</v>
      </c>
      <c r="GG137" s="19">
        <v>0</v>
      </c>
      <c r="GH137" s="19">
        <v>0</v>
      </c>
      <c r="GI137" s="19">
        <v>0</v>
      </c>
      <c r="GJ137" s="19">
        <v>0</v>
      </c>
      <c r="GK137" s="19">
        <v>0</v>
      </c>
      <c r="GL137" s="19">
        <v>0</v>
      </c>
      <c r="GM137" s="19">
        <v>0</v>
      </c>
      <c r="GN137" s="19">
        <v>2</v>
      </c>
      <c r="GO137" s="19">
        <v>2</v>
      </c>
      <c r="GP137" s="19">
        <v>0</v>
      </c>
      <c r="GQ137" s="19">
        <v>0</v>
      </c>
      <c r="GR137" s="19">
        <v>0</v>
      </c>
      <c r="GS137" s="19">
        <v>0</v>
      </c>
      <c r="GT137" s="19">
        <v>0</v>
      </c>
      <c r="GU137" s="19">
        <v>2</v>
      </c>
      <c r="GV137" s="19">
        <v>0</v>
      </c>
      <c r="GW137" s="19">
        <v>0</v>
      </c>
      <c r="GX137" s="19">
        <v>0</v>
      </c>
      <c r="GY137" s="19">
        <v>2</v>
      </c>
      <c r="GZ137" s="19">
        <v>0</v>
      </c>
      <c r="HA137" s="19">
        <v>0</v>
      </c>
      <c r="HB137" s="19">
        <v>4</v>
      </c>
      <c r="HC137" s="19">
        <v>0</v>
      </c>
      <c r="HD137" s="19">
        <v>0</v>
      </c>
      <c r="HE137" s="19">
        <v>0</v>
      </c>
      <c r="HF137" s="19">
        <v>0</v>
      </c>
      <c r="HG137" s="19">
        <v>0</v>
      </c>
      <c r="HH137" s="19">
        <v>0</v>
      </c>
      <c r="HI137" s="19">
        <v>0</v>
      </c>
      <c r="HJ137" s="19">
        <v>0</v>
      </c>
      <c r="HK137" s="19">
        <v>0</v>
      </c>
      <c r="HL137" s="19">
        <v>0</v>
      </c>
      <c r="HM137" s="19">
        <v>0</v>
      </c>
      <c r="HN137" s="19">
        <v>0</v>
      </c>
      <c r="HO137" s="19">
        <v>0</v>
      </c>
      <c r="HP137" s="19">
        <v>0</v>
      </c>
      <c r="HQ137" s="19">
        <v>0</v>
      </c>
      <c r="HR137" s="19">
        <v>0</v>
      </c>
      <c r="HS137" s="19">
        <v>0</v>
      </c>
      <c r="HT137" s="19">
        <v>0</v>
      </c>
      <c r="HU137" s="19">
        <v>0</v>
      </c>
      <c r="HV137" s="19">
        <v>0</v>
      </c>
      <c r="HW137" s="19">
        <v>0</v>
      </c>
      <c r="HX137" s="19">
        <v>2</v>
      </c>
      <c r="HY137" s="19">
        <v>0</v>
      </c>
      <c r="HZ137" s="19">
        <v>0</v>
      </c>
      <c r="IA137" s="19">
        <v>0</v>
      </c>
      <c r="IB137" s="19">
        <v>0</v>
      </c>
      <c r="IC137" s="19">
        <v>0</v>
      </c>
      <c r="ID137" s="19">
        <v>0</v>
      </c>
    </row>
    <row r="138" spans="1:238" x14ac:dyDescent="0.25">
      <c r="A138" s="8"/>
      <c r="B138" s="5" t="s">
        <v>61</v>
      </c>
      <c r="C138" s="8"/>
      <c r="D138" s="6" t="s">
        <v>458</v>
      </c>
      <c r="E138" s="8">
        <v>0</v>
      </c>
      <c r="F138" s="5"/>
      <c r="G138" s="5"/>
      <c r="H138" s="5"/>
      <c r="I138" s="5"/>
      <c r="J138" s="5" t="s">
        <v>95</v>
      </c>
      <c r="K138" s="4"/>
      <c r="L138" s="6" t="str">
        <f>IF($E$139=$AK$22,"LPAN40",IF($E$139=$AK$23,"LPAN30",IF($E$139=$AK$24,"LC40H35MC",0)))</f>
        <v>LPAN40</v>
      </c>
      <c r="M138" s="14">
        <f>INDEX(cenník!$C$2:$I$568,MATCH($L138,cenník!$B$2:$B$557,0),MATCH(M$24,cenník!$C$1:$I$1,0))</f>
        <v>890512</v>
      </c>
      <c r="N138" s="14" t="str">
        <f>INDEX(cenník!$C$2:$I$568,MATCH($L138,cenník!$B$2:$B$557,0),MATCH(N$24,cenník!$C$1:$I$1,0))</f>
        <v>ks</v>
      </c>
      <c r="O138" s="14">
        <f>SUM(Y126:Y141)</f>
        <v>0</v>
      </c>
      <c r="P138" s="21">
        <f>INDEX(cenník!$C$2:$I$568,MATCH($L138,cenník!$B$2:$B$557,0),MATCH(P$24,cenník!$C$1:$I$1,0))</f>
        <v>1.48</v>
      </c>
      <c r="Q138" s="21">
        <f t="shared" si="60"/>
        <v>0</v>
      </c>
      <c r="R138" s="22">
        <f t="shared" si="56"/>
        <v>0</v>
      </c>
      <c r="S138" s="21">
        <f t="shared" si="57"/>
        <v>1.48</v>
      </c>
      <c r="T138" s="21">
        <f t="shared" si="58"/>
        <v>0</v>
      </c>
      <c r="U138" s="21">
        <f>INDEX(cenník!$C$2:$I$568,MATCH($L138,cenník!$B$2:$B$557,0),MATCH(U$24,cenník!$C$1:$I$1,0))*O138</f>
        <v>0</v>
      </c>
      <c r="V138" s="19"/>
      <c r="W138" s="19"/>
      <c r="X138" s="25">
        <f t="shared" si="55"/>
        <v>0</v>
      </c>
      <c r="Y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144,$BB$2:$CA$2,0),MATCH($W$125,$AH$22:$AH$47,0)))*C144</f>
        <v>0</v>
      </c>
      <c r="Z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144,$BB$2:$CA$2,0),MATCH($W$125,$AH$22:$AH$47,0)))*C144</f>
        <v>0</v>
      </c>
      <c r="AA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144,$BB$2:$CA$2,0),MATCH($W$125,$AH$22:$AH$47,0)))*C144</f>
        <v>0</v>
      </c>
      <c r="AB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144,$BB$2:$CA$2,0),MATCH($W$125,$AH$22:$AH$47,0)))*C144</f>
        <v>0</v>
      </c>
      <c r="AC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144,$BB$2:$CA$2,0),MATCH($W$125,$AH$22:$AH$47,0)))*C144</f>
        <v>0</v>
      </c>
      <c r="AD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144,$BB$2:$CA$2,0),MATCH($W$125,$AH$22:$AH$47,0)))*C144</f>
        <v>0</v>
      </c>
      <c r="AE138" s="19"/>
      <c r="AF138" s="19"/>
      <c r="AG138" s="19"/>
      <c r="AH138" s="19"/>
      <c r="AI138" s="19"/>
      <c r="AJ138" s="19"/>
      <c r="AK138" s="19"/>
      <c r="AL138" s="19"/>
      <c r="AM138" s="19"/>
      <c r="AN138" s="19"/>
      <c r="AO138" s="19"/>
      <c r="AP138" s="19"/>
      <c r="AQ138" s="19"/>
      <c r="AR138" s="19"/>
      <c r="AS138" s="19"/>
      <c r="AT138" s="19"/>
      <c r="AU138" s="19"/>
      <c r="AV138" s="19"/>
      <c r="AW138" s="19"/>
      <c r="AX138" s="19"/>
      <c r="AY138" s="19"/>
      <c r="AZ138" s="19"/>
      <c r="BA138" s="20" t="s">
        <v>237</v>
      </c>
      <c r="BB138" s="20">
        <v>0</v>
      </c>
      <c r="BC138" s="20">
        <v>0</v>
      </c>
      <c r="BD138" s="20">
        <v>2</v>
      </c>
      <c r="BE138" s="20">
        <v>0</v>
      </c>
      <c r="BF138" s="20">
        <v>0</v>
      </c>
      <c r="BG138" s="20">
        <v>2</v>
      </c>
      <c r="BH138" s="20">
        <v>4</v>
      </c>
      <c r="BI138" s="20">
        <v>2</v>
      </c>
      <c r="BJ138" s="20">
        <v>0</v>
      </c>
      <c r="BK138" s="20">
        <v>8</v>
      </c>
      <c r="BL138" s="20">
        <v>6</v>
      </c>
      <c r="BM138" s="20">
        <v>2</v>
      </c>
      <c r="BN138" s="20">
        <v>0</v>
      </c>
      <c r="BO138" s="20">
        <v>10</v>
      </c>
      <c r="BP138" s="20">
        <v>6</v>
      </c>
      <c r="BQ138" s="20">
        <v>2</v>
      </c>
      <c r="BR138" s="20">
        <v>12</v>
      </c>
      <c r="BS138" s="20">
        <v>12</v>
      </c>
      <c r="BT138" s="20">
        <v>6</v>
      </c>
      <c r="BU138" s="20">
        <v>2</v>
      </c>
      <c r="BV138" s="20">
        <v>12</v>
      </c>
      <c r="BW138" s="20">
        <v>8</v>
      </c>
      <c r="BX138" s="20">
        <v>8</v>
      </c>
      <c r="BY138" s="20">
        <v>16</v>
      </c>
      <c r="BZ138" s="20">
        <v>0</v>
      </c>
      <c r="CA138" s="20">
        <v>22</v>
      </c>
      <c r="DA138" s="17"/>
      <c r="DB138" s="17"/>
      <c r="DC138" s="17"/>
      <c r="DD138" s="19" t="s">
        <v>238</v>
      </c>
      <c r="DE138" s="19">
        <v>0</v>
      </c>
      <c r="DF138" s="19">
        <v>0</v>
      </c>
      <c r="DG138" s="19">
        <v>0</v>
      </c>
      <c r="DH138" s="19">
        <v>4</v>
      </c>
      <c r="DI138" s="19">
        <v>4</v>
      </c>
      <c r="DJ138" s="19">
        <v>4</v>
      </c>
      <c r="DK138" s="19">
        <v>8</v>
      </c>
      <c r="DL138" s="19">
        <v>8</v>
      </c>
      <c r="DM138" s="19">
        <v>8</v>
      </c>
      <c r="DN138" s="19">
        <v>10</v>
      </c>
      <c r="DO138" s="19">
        <v>10</v>
      </c>
      <c r="DP138" s="19">
        <v>14</v>
      </c>
      <c r="DQ138" s="19">
        <v>14</v>
      </c>
      <c r="DR138" s="19">
        <v>14</v>
      </c>
      <c r="DS138" s="19">
        <v>18</v>
      </c>
      <c r="DT138" s="19">
        <v>18</v>
      </c>
      <c r="DU138" s="19">
        <v>18</v>
      </c>
      <c r="DV138" s="19">
        <v>22</v>
      </c>
      <c r="DW138" s="19">
        <v>20</v>
      </c>
      <c r="DX138" s="19">
        <v>24</v>
      </c>
      <c r="DY138" s="19">
        <v>24</v>
      </c>
      <c r="DZ138" s="19"/>
      <c r="EA138" s="19"/>
      <c r="EB138" s="19"/>
      <c r="GC138" s="19"/>
      <c r="GD138" s="19"/>
      <c r="GE138" s="26" t="s">
        <v>237</v>
      </c>
      <c r="GF138" s="19">
        <v>0</v>
      </c>
      <c r="GG138" s="19">
        <v>2</v>
      </c>
      <c r="GH138" s="19">
        <v>2</v>
      </c>
      <c r="GI138" s="19">
        <v>2</v>
      </c>
      <c r="GJ138" s="19">
        <v>6</v>
      </c>
      <c r="GK138" s="19">
        <v>6</v>
      </c>
      <c r="GL138" s="19">
        <v>4</v>
      </c>
      <c r="GM138" s="19">
        <v>6</v>
      </c>
      <c r="GN138" s="19">
        <v>4</v>
      </c>
      <c r="GO138" s="19">
        <v>2</v>
      </c>
      <c r="GP138" s="19">
        <v>2</v>
      </c>
      <c r="GQ138" s="19">
        <v>16</v>
      </c>
      <c r="GR138" s="19">
        <v>0</v>
      </c>
      <c r="GS138" s="19">
        <v>0</v>
      </c>
      <c r="GT138" s="19">
        <v>12</v>
      </c>
      <c r="GU138" s="19">
        <v>10</v>
      </c>
      <c r="GV138" s="19">
        <v>22</v>
      </c>
      <c r="GW138" s="19">
        <v>8</v>
      </c>
      <c r="GX138" s="19">
        <v>22</v>
      </c>
      <c r="GY138" s="19">
        <v>20</v>
      </c>
      <c r="GZ138" s="19">
        <v>4</v>
      </c>
      <c r="HA138" s="19">
        <v>18</v>
      </c>
      <c r="HB138" s="19">
        <v>8</v>
      </c>
      <c r="HC138" s="19">
        <v>0</v>
      </c>
      <c r="HD138" s="19">
        <v>14</v>
      </c>
      <c r="HE138" s="19">
        <v>28</v>
      </c>
      <c r="HF138" s="19">
        <v>0</v>
      </c>
      <c r="HG138" s="19">
        <v>10</v>
      </c>
      <c r="HH138" s="19">
        <v>24</v>
      </c>
      <c r="HI138" s="19">
        <v>0</v>
      </c>
      <c r="HJ138" s="19">
        <v>6</v>
      </c>
      <c r="HK138" s="19">
        <v>20</v>
      </c>
      <c r="HL138" s="19">
        <v>14</v>
      </c>
      <c r="HM138" s="19">
        <v>4</v>
      </c>
      <c r="HN138" s="19">
        <v>4</v>
      </c>
      <c r="HO138" s="19">
        <v>30</v>
      </c>
      <c r="HP138" s="19">
        <v>0</v>
      </c>
      <c r="HQ138" s="19">
        <v>12</v>
      </c>
      <c r="HR138" s="19">
        <v>26</v>
      </c>
      <c r="HS138" s="19">
        <v>0</v>
      </c>
      <c r="HT138" s="19">
        <v>10</v>
      </c>
      <c r="HU138" s="19">
        <v>22</v>
      </c>
      <c r="HV138" s="19">
        <v>0</v>
      </c>
      <c r="HW138" s="19">
        <v>6</v>
      </c>
      <c r="HX138" s="19">
        <v>4</v>
      </c>
      <c r="HY138" s="19">
        <v>0</v>
      </c>
      <c r="HZ138" s="19">
        <v>2</v>
      </c>
      <c r="IA138" s="19">
        <v>0</v>
      </c>
      <c r="IB138" s="19">
        <v>28</v>
      </c>
      <c r="IC138" s="19">
        <v>0</v>
      </c>
      <c r="ID138" s="19">
        <v>12</v>
      </c>
    </row>
    <row r="139" spans="1:238" x14ac:dyDescent="0.25">
      <c r="A139" s="8"/>
      <c r="B139" s="5" t="s">
        <v>61</v>
      </c>
      <c r="C139" s="8"/>
      <c r="D139" s="6" t="s">
        <v>459</v>
      </c>
      <c r="E139" s="8" t="s">
        <v>469</v>
      </c>
      <c r="F139" s="222" t="str">
        <f>IF(E139="30x32 hliník","možno použiť vo veternej zóne 1 a snehovej zóne 1,2,3 s maximálnou vzdialenosťou podpier 0,8 m podľa noriem PN-EN 1991-1-3 a PN-EN 1991-1-4","")</f>
        <v/>
      </c>
      <c r="G139" s="222"/>
      <c r="H139" s="222"/>
      <c r="I139" s="222"/>
      <c r="J139" s="4"/>
      <c r="K139" s="4"/>
      <c r="L139" s="6" t="s">
        <v>49</v>
      </c>
      <c r="M139" s="14">
        <f>INDEX(cenník!$C$2:$I$568,MATCH($L139,cenník!$B$2:$B$557,0),MATCH(M$24,cenník!$C$1:$I$1,0))</f>
        <v>899501</v>
      </c>
      <c r="N139" s="14" t="str">
        <f>INDEX(cenník!$C$2:$I$568,MATCH($L139,cenník!$B$2:$B$557,0),MATCH(N$24,cenník!$C$1:$I$1,0))</f>
        <v>ks</v>
      </c>
      <c r="O139" s="14">
        <f>SUM(X125:X140)</f>
        <v>0</v>
      </c>
      <c r="P139" s="21">
        <f>INDEX(cenník!$C$2:$I$568,MATCH($L139,cenník!$B$2:$B$557,0),MATCH(P$24,cenník!$C$1:$I$1,0))</f>
        <v>13.62</v>
      </c>
      <c r="Q139" s="21">
        <f t="shared" si="60"/>
        <v>0</v>
      </c>
      <c r="R139" s="22">
        <f t="shared" si="56"/>
        <v>0</v>
      </c>
      <c r="S139" s="21">
        <f t="shared" si="57"/>
        <v>13.62</v>
      </c>
      <c r="T139" s="21">
        <f t="shared" si="58"/>
        <v>0</v>
      </c>
      <c r="U139" s="21">
        <f>INDEX(cenník!$C$2:$I$568,MATCH($L139,cenník!$B$2:$B$557,0),MATCH(U$24,cenník!$C$1:$I$1,0))*O139</f>
        <v>0</v>
      </c>
      <c r="V139" s="19"/>
      <c r="W139" s="19"/>
      <c r="X139" s="25">
        <f t="shared" si="55"/>
        <v>0</v>
      </c>
      <c r="Y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145,$BB$2:$CA$2,0),MATCH($W$125,$AH$22:$AH$47,0)))*C145</f>
        <v>0</v>
      </c>
      <c r="Z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145,$BB$2:$CA$2,0),MATCH($W$125,$AH$22:$AH$47,0)))*C145</f>
        <v>0</v>
      </c>
      <c r="AA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145,$BB$2:$CA$2,0),MATCH($W$125,$AH$22:$AH$47,0)))*C145</f>
        <v>0</v>
      </c>
      <c r="AB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145,$BB$2:$CA$2,0),MATCH($W$125,$AH$22:$AH$47,0)))*C145</f>
        <v>0</v>
      </c>
      <c r="AC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145,$BB$2:$CA$2,0),MATCH($W$125,$AH$22:$AH$47,0)))*C145</f>
        <v>0</v>
      </c>
      <c r="AD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145,$BB$2:$CA$2,0),MATCH($W$125,$AH$22:$AH$47,0)))*C145</f>
        <v>0</v>
      </c>
      <c r="AE139" s="19"/>
      <c r="AF139" s="19"/>
      <c r="AG139" s="19"/>
      <c r="AH139" s="19"/>
      <c r="AI139" s="19"/>
      <c r="AJ139" s="19"/>
      <c r="AK139" s="19"/>
      <c r="AL139" s="19"/>
      <c r="AM139" s="19"/>
      <c r="AN139" s="19"/>
      <c r="AO139" s="19"/>
      <c r="AP139" s="19"/>
      <c r="AQ139" s="19"/>
      <c r="AR139" s="19"/>
      <c r="AS139" s="19"/>
      <c r="AT139" s="19"/>
      <c r="AU139" s="19"/>
      <c r="AV139" s="19"/>
      <c r="AW139" s="19"/>
      <c r="AX139" s="19"/>
      <c r="AY139" s="19"/>
      <c r="AZ139" s="19"/>
      <c r="BA139" s="20" t="s">
        <v>238</v>
      </c>
      <c r="BB139" s="20">
        <v>0</v>
      </c>
      <c r="BC139" s="20">
        <v>0</v>
      </c>
      <c r="BD139" s="20">
        <v>0</v>
      </c>
      <c r="BE139" s="20">
        <v>0</v>
      </c>
      <c r="BF139" s="20">
        <v>0</v>
      </c>
      <c r="BG139" s="20">
        <v>0</v>
      </c>
      <c r="BH139" s="20">
        <v>0</v>
      </c>
      <c r="BI139" s="20">
        <v>4</v>
      </c>
      <c r="BJ139" s="20">
        <v>6</v>
      </c>
      <c r="BK139" s="20">
        <v>0</v>
      </c>
      <c r="BL139" s="20">
        <v>0</v>
      </c>
      <c r="BM139" s="20">
        <v>6</v>
      </c>
      <c r="BN139" s="20">
        <v>10</v>
      </c>
      <c r="BO139" s="20">
        <v>0</v>
      </c>
      <c r="BP139" s="20">
        <v>6</v>
      </c>
      <c r="BQ139" s="20">
        <v>10</v>
      </c>
      <c r="BR139" s="20">
        <v>2</v>
      </c>
      <c r="BS139" s="20">
        <v>2</v>
      </c>
      <c r="BT139" s="20">
        <v>8</v>
      </c>
      <c r="BU139" s="20">
        <v>14</v>
      </c>
      <c r="BV139" s="20">
        <v>4</v>
      </c>
      <c r="BW139" s="20">
        <v>10</v>
      </c>
      <c r="BX139" s="20">
        <v>8</v>
      </c>
      <c r="BY139" s="20">
        <v>4</v>
      </c>
      <c r="BZ139" s="20">
        <v>20</v>
      </c>
      <c r="CA139" s="20">
        <v>0</v>
      </c>
      <c r="DA139" s="17"/>
      <c r="DB139" s="17"/>
      <c r="DC139" s="17"/>
      <c r="DD139" s="19" t="s">
        <v>239</v>
      </c>
      <c r="DE139" s="19">
        <v>0</v>
      </c>
      <c r="DF139" s="19">
        <v>0</v>
      </c>
      <c r="DG139" s="19">
        <v>4</v>
      </c>
      <c r="DH139" s="19">
        <v>4</v>
      </c>
      <c r="DI139" s="19">
        <v>8</v>
      </c>
      <c r="DJ139" s="19">
        <v>12</v>
      </c>
      <c r="DK139" s="19">
        <v>12</v>
      </c>
      <c r="DL139" s="19">
        <v>16</v>
      </c>
      <c r="DM139" s="19">
        <v>20</v>
      </c>
      <c r="DN139" s="19">
        <v>20</v>
      </c>
      <c r="DO139" s="19">
        <v>24</v>
      </c>
      <c r="DP139" s="19">
        <v>24</v>
      </c>
      <c r="DQ139" s="19">
        <v>28</v>
      </c>
      <c r="DR139" s="19">
        <v>32</v>
      </c>
      <c r="DS139" s="19">
        <v>32</v>
      </c>
      <c r="DT139" s="19">
        <v>36</v>
      </c>
      <c r="DU139" s="19">
        <v>40</v>
      </c>
      <c r="DV139" s="19">
        <v>40</v>
      </c>
      <c r="DW139" s="19">
        <v>44</v>
      </c>
      <c r="DX139" s="19">
        <v>44</v>
      </c>
      <c r="DY139" s="19">
        <v>48</v>
      </c>
      <c r="DZ139" s="19"/>
      <c r="EA139" s="19"/>
      <c r="EB139" s="19"/>
      <c r="GC139" s="19"/>
      <c r="GD139" s="19"/>
      <c r="GE139" s="26" t="s">
        <v>238</v>
      </c>
      <c r="GF139" s="19">
        <v>0</v>
      </c>
      <c r="GG139" s="19">
        <v>0</v>
      </c>
      <c r="GH139" s="19">
        <v>0</v>
      </c>
      <c r="GI139" s="19">
        <v>0</v>
      </c>
      <c r="GJ139" s="19">
        <v>0</v>
      </c>
      <c r="GK139" s="19">
        <v>0</v>
      </c>
      <c r="GL139" s="19">
        <v>2</v>
      </c>
      <c r="GM139" s="19">
        <v>4</v>
      </c>
      <c r="GN139" s="19">
        <v>6</v>
      </c>
      <c r="GO139" s="19">
        <v>8</v>
      </c>
      <c r="GP139" s="19">
        <v>12</v>
      </c>
      <c r="GQ139" s="19">
        <v>0</v>
      </c>
      <c r="GR139" s="19">
        <v>14</v>
      </c>
      <c r="GS139" s="19">
        <v>18</v>
      </c>
      <c r="GT139" s="19">
        <v>8</v>
      </c>
      <c r="GU139" s="19">
        <v>10</v>
      </c>
      <c r="GV139" s="19">
        <v>0</v>
      </c>
      <c r="GW139" s="19">
        <v>16</v>
      </c>
      <c r="GX139" s="19">
        <v>4</v>
      </c>
      <c r="GY139" s="19">
        <v>6</v>
      </c>
      <c r="GZ139" s="19">
        <v>24</v>
      </c>
      <c r="HA139" s="19">
        <v>12</v>
      </c>
      <c r="HB139" s="19">
        <v>20</v>
      </c>
      <c r="HC139" s="19">
        <v>32</v>
      </c>
      <c r="HD139" s="19">
        <v>20</v>
      </c>
      <c r="HE139" s="19">
        <v>8</v>
      </c>
      <c r="HF139" s="19">
        <v>36</v>
      </c>
      <c r="HG139" s="19">
        <v>28</v>
      </c>
      <c r="HH139" s="19">
        <v>16</v>
      </c>
      <c r="HI139" s="19">
        <v>40</v>
      </c>
      <c r="HJ139" s="19">
        <v>36</v>
      </c>
      <c r="HK139" s="19">
        <v>24</v>
      </c>
      <c r="HL139" s="19">
        <v>30</v>
      </c>
      <c r="HM139" s="19">
        <v>42</v>
      </c>
      <c r="HN139" s="19">
        <v>42</v>
      </c>
      <c r="HO139" s="19">
        <v>20</v>
      </c>
      <c r="HP139" s="19">
        <v>50</v>
      </c>
      <c r="HQ139" s="19">
        <v>40</v>
      </c>
      <c r="HR139" s="19">
        <v>28</v>
      </c>
      <c r="HS139" s="19">
        <v>54</v>
      </c>
      <c r="HT139" s="19">
        <v>46</v>
      </c>
      <c r="HU139" s="19">
        <v>36</v>
      </c>
      <c r="HV139" s="19">
        <v>58</v>
      </c>
      <c r="HW139" s="19">
        <v>54</v>
      </c>
      <c r="HX139" s="19">
        <v>56</v>
      </c>
      <c r="HY139" s="19">
        <v>62</v>
      </c>
      <c r="HZ139" s="19">
        <v>62</v>
      </c>
      <c r="IA139" s="19">
        <v>64</v>
      </c>
      <c r="IB139" s="19">
        <v>40</v>
      </c>
      <c r="IC139" s="19">
        <v>68</v>
      </c>
      <c r="ID139" s="19">
        <v>58</v>
      </c>
    </row>
    <row r="140" spans="1:238" x14ac:dyDescent="0.25">
      <c r="A140" s="8"/>
      <c r="B140" s="5" t="s">
        <v>61</v>
      </c>
      <c r="C140" s="8"/>
      <c r="D140" s="6" t="s">
        <v>460</v>
      </c>
      <c r="E140" s="8">
        <v>0</v>
      </c>
      <c r="F140" s="222"/>
      <c r="G140" s="222"/>
      <c r="H140" s="222"/>
      <c r="I140" s="222"/>
      <c r="J140" s="5" t="s">
        <v>461</v>
      </c>
      <c r="K140" s="4"/>
      <c r="L140" s="6" t="s">
        <v>118</v>
      </c>
      <c r="M140" s="14">
        <f>INDEX(cenník!$C$2:$I$568,MATCH($L140,cenník!$B$2:$B$557,0),MATCH(M$24,cenník!$C$1:$I$1,0))</f>
        <v>894824</v>
      </c>
      <c r="N140" s="14" t="str">
        <f>INDEX(cenník!$C$2:$I$568,MATCH($L140,cenník!$B$2:$B$557,0),MATCH(N$24,cenník!$C$1:$I$1,0))</f>
        <v>ks</v>
      </c>
      <c r="O140" s="14">
        <f>O139*4</f>
        <v>0</v>
      </c>
      <c r="P140" s="21">
        <f>INDEX(cenník!$C$2:$I$568,MATCH($L140,cenník!$B$2:$B$557,0),MATCH(P$24,cenník!$C$1:$I$1,0))</f>
        <v>0.65</v>
      </c>
      <c r="Q140" s="21">
        <f t="shared" si="60"/>
        <v>0</v>
      </c>
      <c r="R140" s="22">
        <f t="shared" si="56"/>
        <v>0</v>
      </c>
      <c r="S140" s="21">
        <f t="shared" si="57"/>
        <v>0.65</v>
      </c>
      <c r="T140" s="21">
        <f t="shared" si="58"/>
        <v>0</v>
      </c>
      <c r="U140" s="21">
        <f>INDEX(cenník!$C$2:$I$568,MATCH($L140,cenník!$B$2:$B$557,0),MATCH(U$24,cenník!$C$1:$I$1,0))*O140</f>
        <v>0</v>
      </c>
      <c r="V140" s="19"/>
      <c r="W140" s="19"/>
      <c r="X140" s="25">
        <f t="shared" si="55"/>
        <v>0</v>
      </c>
      <c r="Y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146,$BB$2:$CA$2,0),MATCH($W$125,$AH$22:$AH$47,0)))*C146</f>
        <v>0</v>
      </c>
      <c r="Z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146,$BB$2:$CA$2,0),MATCH($W$125,$AH$22:$AH$47,0)))*C146</f>
        <v>0</v>
      </c>
      <c r="AA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146,$BB$2:$CA$2,0),MATCH($W$125,$AH$22:$AH$47,0)))*C146</f>
        <v>0</v>
      </c>
      <c r="AB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146,$BB$2:$CA$2,0),MATCH($W$125,$AH$22:$AH$47,0)))*C146</f>
        <v>0</v>
      </c>
      <c r="AC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146,$BB$2:$CA$2,0),MATCH($W$125,$AH$22:$AH$47,0)))*C146</f>
        <v>0</v>
      </c>
      <c r="AD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146,$BB$2:$CA$2,0),MATCH($W$125,$AH$22:$AH$47,0)))*C146</f>
        <v>0</v>
      </c>
      <c r="AE140" s="19"/>
      <c r="AF140" s="19"/>
      <c r="AG140" s="19"/>
      <c r="AH140" s="19"/>
      <c r="AI140" s="19"/>
      <c r="AJ140" s="19"/>
      <c r="AK140" s="19"/>
      <c r="AL140" s="19"/>
      <c r="AM140" s="19"/>
      <c r="AN140" s="19"/>
      <c r="AO140" s="19"/>
      <c r="AP140" s="19"/>
      <c r="AQ140" s="19"/>
      <c r="AR140" s="19"/>
      <c r="AS140" s="19"/>
      <c r="AT140" s="19"/>
      <c r="AU140" s="19"/>
      <c r="AV140" s="19"/>
      <c r="AW140" s="19"/>
      <c r="AX140" s="19"/>
      <c r="AY140" s="19"/>
      <c r="AZ140" s="19"/>
      <c r="BA140" s="20" t="s">
        <v>239</v>
      </c>
      <c r="BB140" s="20">
        <v>0</v>
      </c>
      <c r="BC140" s="20">
        <v>0</v>
      </c>
      <c r="BD140" s="20">
        <v>0</v>
      </c>
      <c r="BE140" s="20">
        <v>4</v>
      </c>
      <c r="BF140" s="20">
        <v>8</v>
      </c>
      <c r="BG140" s="20">
        <v>8</v>
      </c>
      <c r="BH140" s="20">
        <v>8</v>
      </c>
      <c r="BI140" s="20">
        <v>8</v>
      </c>
      <c r="BJ140" s="20">
        <v>12</v>
      </c>
      <c r="BK140" s="20">
        <v>12</v>
      </c>
      <c r="BL140" s="20">
        <v>16</v>
      </c>
      <c r="BM140" s="20">
        <v>16</v>
      </c>
      <c r="BN140" s="20">
        <v>16</v>
      </c>
      <c r="BO140" s="20">
        <v>20</v>
      </c>
      <c r="BP140" s="20">
        <v>20</v>
      </c>
      <c r="BQ140" s="20">
        <v>24</v>
      </c>
      <c r="BR140" s="20">
        <v>24</v>
      </c>
      <c r="BS140" s="20">
        <v>28</v>
      </c>
      <c r="BT140" s="20">
        <v>28</v>
      </c>
      <c r="BU140" s="20">
        <v>28</v>
      </c>
      <c r="BV140" s="20">
        <v>32</v>
      </c>
      <c r="BW140" s="20">
        <v>32</v>
      </c>
      <c r="BX140" s="20">
        <v>36</v>
      </c>
      <c r="BY140" s="20">
        <v>36</v>
      </c>
      <c r="BZ140" s="20">
        <v>36</v>
      </c>
      <c r="CA140" s="20">
        <v>40</v>
      </c>
      <c r="DA140" s="17"/>
      <c r="DB140" s="17"/>
      <c r="DC140" s="17"/>
      <c r="DD140" s="26" t="s">
        <v>326</v>
      </c>
      <c r="DE140" s="19">
        <v>0</v>
      </c>
      <c r="DF140" s="19"/>
      <c r="DG140" s="19"/>
      <c r="DH140" s="19"/>
      <c r="DI140" s="19"/>
      <c r="DJ140" s="19"/>
      <c r="DK140" s="19"/>
      <c r="DL140" s="19"/>
      <c r="DM140" s="19"/>
      <c r="DN140" s="19"/>
      <c r="DO140" s="19"/>
      <c r="DP140" s="19"/>
      <c r="DQ140" s="19"/>
      <c r="DR140" s="19"/>
      <c r="DS140" s="19"/>
      <c r="DT140" s="19"/>
      <c r="DU140" s="19"/>
      <c r="DV140" s="19"/>
      <c r="DW140" s="19"/>
      <c r="DX140" s="19"/>
      <c r="DY140" s="19"/>
      <c r="DZ140" s="19"/>
      <c r="EA140" s="19"/>
      <c r="EB140" s="19"/>
      <c r="GC140" s="19"/>
      <c r="GD140" s="19"/>
      <c r="GE140" s="26" t="s">
        <v>239</v>
      </c>
      <c r="GF140" s="19">
        <v>0</v>
      </c>
      <c r="GG140" s="19">
        <v>0</v>
      </c>
      <c r="GH140" s="19">
        <v>4</v>
      </c>
      <c r="GI140" s="19">
        <v>8</v>
      </c>
      <c r="GJ140" s="19">
        <v>8</v>
      </c>
      <c r="GK140" s="19">
        <v>12</v>
      </c>
      <c r="GL140" s="19">
        <v>16</v>
      </c>
      <c r="GM140" s="19">
        <v>16</v>
      </c>
      <c r="GN140" s="19">
        <v>20</v>
      </c>
      <c r="GO140" s="19">
        <v>24</v>
      </c>
      <c r="GP140" s="19">
        <v>24</v>
      </c>
      <c r="GQ140" s="19">
        <v>28</v>
      </c>
      <c r="GR140" s="19">
        <v>32</v>
      </c>
      <c r="GS140" s="19">
        <v>32</v>
      </c>
      <c r="GT140" s="19">
        <v>36</v>
      </c>
      <c r="GU140" s="19">
        <v>40</v>
      </c>
      <c r="GV140" s="19">
        <v>44</v>
      </c>
      <c r="GW140" s="19">
        <v>44</v>
      </c>
      <c r="GX140" s="19">
        <v>48</v>
      </c>
      <c r="GY140" s="19">
        <v>52</v>
      </c>
      <c r="GZ140" s="19">
        <v>52</v>
      </c>
      <c r="HA140" s="19">
        <v>56</v>
      </c>
      <c r="HB140" s="19">
        <v>60</v>
      </c>
      <c r="HC140" s="19">
        <v>60</v>
      </c>
      <c r="HD140" s="19">
        <v>64</v>
      </c>
      <c r="HE140" s="19">
        <v>68</v>
      </c>
      <c r="HF140" s="19">
        <v>68</v>
      </c>
      <c r="HG140" s="19">
        <v>72</v>
      </c>
      <c r="HH140" s="19">
        <v>76</v>
      </c>
      <c r="HI140" s="19">
        <v>76</v>
      </c>
      <c r="HJ140" s="19">
        <v>80</v>
      </c>
      <c r="HK140" s="19">
        <v>84</v>
      </c>
      <c r="HL140" s="19">
        <v>88</v>
      </c>
      <c r="HM140" s="19">
        <v>88</v>
      </c>
      <c r="HN140" s="19">
        <v>88</v>
      </c>
      <c r="HO140" s="19">
        <v>96</v>
      </c>
      <c r="HP140" s="19">
        <v>96</v>
      </c>
      <c r="HQ140" s="19">
        <v>100</v>
      </c>
      <c r="HR140" s="19">
        <v>104</v>
      </c>
      <c r="HS140" s="19">
        <v>104</v>
      </c>
      <c r="HT140" s="19">
        <v>108</v>
      </c>
      <c r="HU140" s="19">
        <v>112</v>
      </c>
      <c r="HV140" s="19">
        <v>112</v>
      </c>
      <c r="HW140" s="19">
        <v>116</v>
      </c>
      <c r="HX140" s="19">
        <v>120</v>
      </c>
      <c r="HY140" s="19">
        <v>120</v>
      </c>
      <c r="HZ140" s="19">
        <v>124</v>
      </c>
      <c r="IA140" s="19">
        <v>128</v>
      </c>
      <c r="IB140" s="19">
        <v>132</v>
      </c>
      <c r="IC140" s="19">
        <v>132</v>
      </c>
      <c r="ID140" s="19">
        <v>136</v>
      </c>
    </row>
    <row r="141" spans="1:238" x14ac:dyDescent="0.25">
      <c r="A141" s="8"/>
      <c r="B141" s="5" t="s">
        <v>61</v>
      </c>
      <c r="C141" s="8"/>
      <c r="D141" s="6" t="s">
        <v>474</v>
      </c>
      <c r="E141" s="4"/>
      <c r="F141" s="222"/>
      <c r="G141" s="222"/>
      <c r="H141" s="222"/>
      <c r="I141" s="222"/>
      <c r="J141" s="4"/>
      <c r="K141" s="4"/>
      <c r="L141" s="6" t="str">
        <f>IF(E139=$AK$22,"SSZ10x20E A2",IF(E139=$AK$23,"SSZ10x20E A2",IF(E139=$AK$24,"SGKFM10X20PV",0)))</f>
        <v>SSZ10x20E A2</v>
      </c>
      <c r="M141" s="14">
        <f>INDEX(cenník!$C$2:$I$568,MATCH($L141,cenník!$B$2:$B$557,0),MATCH(M$24,cenník!$C$1:$I$1,0))</f>
        <v>991020</v>
      </c>
      <c r="N141" s="14" t="str">
        <f>INDEX(cenník!$C$2:$I$568,MATCH($L141,cenník!$B$2:$B$557,0),MATCH(N$24,cenník!$C$1:$I$1,0))</f>
        <v>100ks</v>
      </c>
      <c r="O141" s="14">
        <f>ROUNDUP(((O139+IF(E139=$AK$24,E140+O138*4,0))/100),0)</f>
        <v>0</v>
      </c>
      <c r="P141" s="21">
        <f>INDEX(cenník!$C$2:$I$568,MATCH($L141,cenník!$B$2:$B$557,0),MATCH(P$24,cenník!$C$1:$I$1,0))</f>
        <v>24.13</v>
      </c>
      <c r="Q141" s="21">
        <f t="shared" si="60"/>
        <v>0</v>
      </c>
      <c r="R141" s="22">
        <f t="shared" si="56"/>
        <v>0</v>
      </c>
      <c r="S141" s="21">
        <f t="shared" si="57"/>
        <v>24.13</v>
      </c>
      <c r="T141" s="21">
        <f t="shared" si="58"/>
        <v>0</v>
      </c>
      <c r="U141" s="21">
        <f>INDEX(cenník!$C$2:$I$568,MATCH($L141,cenník!$B$2:$B$557,0),MATCH(U$24,cenník!$C$1:$I$1,0))*O141</f>
        <v>0</v>
      </c>
      <c r="V141" s="19"/>
      <c r="W141" s="19"/>
      <c r="X141" s="25"/>
      <c r="Y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$138,$BA$3:$BA$17,0),MATCH(A147,$BB$2:$CA$2,0),MATCH($W$125,$AH$22:$AH$47,0)))*C147</f>
        <v>0</v>
      </c>
      <c r="Z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$133,$BA$3:$BA$17,0),MATCH(A147,$BB$2:$CA$2,0),MATCH($W$125,$AH$22:$AH$47,0)))*C147</f>
        <v>0</v>
      </c>
      <c r="AA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$134,$BA$3:$BA$17,0),MATCH(A147,$BB$2:$CA$2,0),MATCH($W$125,$AH$22:$AH$47,0)))*C147</f>
        <v>0</v>
      </c>
      <c r="AB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$135,$BA$3:$BA$17,0),MATCH(A147,$BB$2:$CA$2,0),MATCH($W$125,$AH$22:$AH$47,0)))*C147</f>
        <v>0</v>
      </c>
      <c r="AC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$136,$BA$3:$BA$17,0),MATCH(A147,$BB$2:$CA$2,0),MATCH($W$125,$AH$22:$AH$47,0)))*C147</f>
        <v>0</v>
      </c>
      <c r="AD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$137,$BA$3:$BA$17,0),MATCH(A147,$BB$2:$CA$2,0),MATCH($W$125,$AH$22:$AH$47,0)))*C147</f>
        <v>0</v>
      </c>
      <c r="AE141" s="19">
        <f>INDEX(($AH$53:$AI$62),MATCH(I133,$AG$53:$AG$62,0),MATCH(E136,$AH$52:$AI$52,0))</f>
        <v>0</v>
      </c>
      <c r="AF141" s="19"/>
      <c r="AG141" s="19"/>
      <c r="AH141" s="19"/>
      <c r="AI141" s="19"/>
      <c r="AJ141" s="19"/>
      <c r="AK141" s="19"/>
      <c r="AL141" s="19"/>
      <c r="AM141" s="19"/>
      <c r="AN141" s="19"/>
      <c r="AO141" s="19"/>
      <c r="AP141" s="19"/>
      <c r="AQ141" s="19"/>
      <c r="AR141" s="19"/>
      <c r="AS141" s="19"/>
      <c r="AT141" s="19"/>
      <c r="AU141" s="19"/>
      <c r="AV141" s="19"/>
      <c r="AW141" s="19"/>
      <c r="AX141" s="19"/>
      <c r="AY141" s="19"/>
      <c r="AZ141" s="19"/>
      <c r="BA141" s="20" t="s">
        <v>326</v>
      </c>
      <c r="BB141" s="20">
        <v>0</v>
      </c>
      <c r="BC141" s="20">
        <v>2</v>
      </c>
      <c r="BD141" s="20">
        <v>0</v>
      </c>
      <c r="BE141" s="20">
        <v>4</v>
      </c>
      <c r="BF141" s="20">
        <v>0</v>
      </c>
      <c r="BG141" s="20">
        <v>4</v>
      </c>
      <c r="BH141" s="20">
        <v>2</v>
      </c>
      <c r="BI141" s="20">
        <v>0</v>
      </c>
      <c r="BJ141" s="20">
        <v>2</v>
      </c>
      <c r="BK141" s="20">
        <v>0</v>
      </c>
      <c r="BL141" s="20">
        <v>4</v>
      </c>
      <c r="BM141" s="20">
        <v>2</v>
      </c>
      <c r="BN141" s="20">
        <v>0</v>
      </c>
      <c r="BO141" s="20">
        <v>2</v>
      </c>
      <c r="BP141" s="20">
        <v>0</v>
      </c>
      <c r="BQ141" s="20">
        <v>4</v>
      </c>
      <c r="BR141" s="20">
        <v>2</v>
      </c>
      <c r="BS141" s="20">
        <v>4</v>
      </c>
      <c r="BT141" s="20">
        <v>2</v>
      </c>
      <c r="BU141" s="20">
        <v>0</v>
      </c>
      <c r="BV141" s="20">
        <v>4</v>
      </c>
      <c r="BW141" s="20">
        <v>0</v>
      </c>
      <c r="BX141" s="20">
        <v>4</v>
      </c>
      <c r="BY141" s="20">
        <v>2</v>
      </c>
      <c r="BZ141" s="20">
        <v>0</v>
      </c>
      <c r="CA141" s="20">
        <v>2</v>
      </c>
      <c r="DA141" s="17"/>
      <c r="DB141" s="17"/>
      <c r="DC141" s="17"/>
      <c r="DD141" s="26" t="s">
        <v>327</v>
      </c>
      <c r="DE141" s="19">
        <v>0</v>
      </c>
      <c r="DF141" s="19"/>
      <c r="DG141" s="19"/>
      <c r="DH141" s="19"/>
      <c r="DI141" s="19"/>
      <c r="DJ141" s="19"/>
      <c r="DK141" s="19"/>
      <c r="DL141" s="19"/>
      <c r="DM141" s="19"/>
      <c r="DN141" s="19"/>
      <c r="DO141" s="19"/>
      <c r="DP141" s="19"/>
      <c r="DQ141" s="19"/>
      <c r="DR141" s="19"/>
      <c r="DS141" s="19"/>
      <c r="DT141" s="19"/>
      <c r="DU141" s="19"/>
      <c r="DV141" s="19"/>
      <c r="DW141" s="19"/>
      <c r="DX141" s="19"/>
      <c r="DY141" s="19"/>
      <c r="DZ141" s="19"/>
      <c r="EA141" s="19"/>
      <c r="EB141" s="19"/>
      <c r="GC141" s="19"/>
      <c r="GD141" s="19"/>
      <c r="GE141" s="26" t="s">
        <v>326</v>
      </c>
      <c r="GF141" s="19">
        <v>0</v>
      </c>
      <c r="GG141" s="19">
        <v>0</v>
      </c>
      <c r="GH141" s="19">
        <v>2</v>
      </c>
      <c r="GI141" s="19">
        <v>4</v>
      </c>
      <c r="GJ141" s="19">
        <v>0</v>
      </c>
      <c r="GK141" s="19">
        <v>2</v>
      </c>
      <c r="GL141" s="19">
        <v>4</v>
      </c>
      <c r="GM141" s="19">
        <v>0</v>
      </c>
      <c r="GN141" s="19">
        <v>2</v>
      </c>
      <c r="GO141" s="19">
        <v>4</v>
      </c>
      <c r="GP141" s="19">
        <v>0</v>
      </c>
      <c r="GQ141" s="19">
        <v>2</v>
      </c>
      <c r="GR141" s="19">
        <v>4</v>
      </c>
      <c r="GS141" s="19">
        <v>0</v>
      </c>
      <c r="GT141" s="19">
        <v>2</v>
      </c>
      <c r="GU141" s="19">
        <v>2</v>
      </c>
      <c r="GV141" s="19">
        <v>4</v>
      </c>
      <c r="GW141" s="19">
        <v>0</v>
      </c>
      <c r="GX141" s="19">
        <v>2</v>
      </c>
      <c r="GY141" s="19">
        <v>4</v>
      </c>
      <c r="GZ141" s="19">
        <v>0</v>
      </c>
      <c r="HA141" s="19">
        <v>2</v>
      </c>
      <c r="HB141" s="19">
        <v>4</v>
      </c>
      <c r="HC141" s="19">
        <v>0</v>
      </c>
      <c r="HD141" s="19">
        <v>2</v>
      </c>
      <c r="HE141" s="19">
        <v>4</v>
      </c>
      <c r="HF141" s="19"/>
      <c r="HG141" s="19"/>
      <c r="HH141" s="19"/>
      <c r="HI141" s="19"/>
      <c r="HJ141" s="19"/>
      <c r="HK141" s="19"/>
      <c r="HL141" s="19"/>
      <c r="HM141" s="19"/>
      <c r="HN141" s="19"/>
      <c r="HO141" s="19"/>
      <c r="HP141" s="19"/>
      <c r="HQ141" s="19"/>
      <c r="HR141" s="19"/>
      <c r="HS141" s="19"/>
      <c r="HT141" s="19"/>
      <c r="HU141" s="19"/>
      <c r="HV141" s="19"/>
      <c r="HW141" s="19"/>
      <c r="HX141" s="19"/>
      <c r="HY141" s="19"/>
      <c r="HZ141" s="19"/>
      <c r="IA141" s="19"/>
      <c r="IB141" s="19"/>
      <c r="IC141" s="19"/>
      <c r="ID141" s="19"/>
    </row>
    <row r="142" spans="1:238" x14ac:dyDescent="0.25">
      <c r="A142" s="8"/>
      <c r="B142" s="5" t="s">
        <v>61</v>
      </c>
      <c r="C142" s="8"/>
      <c r="D142" s="44" t="s">
        <v>563</v>
      </c>
      <c r="E142" s="4"/>
      <c r="F142" s="222"/>
      <c r="G142" s="222"/>
      <c r="H142" s="222"/>
      <c r="I142" s="222"/>
      <c r="J142" s="4"/>
      <c r="K142" s="4"/>
      <c r="L142" s="6" t="str">
        <f>IF(E139=$AK$22,"NKZM10E A2",IF(E139=$AK$23,"NKZM10E A2",IF(E139=$AK$24,"-------",0)))</f>
        <v>NKZM10E A2</v>
      </c>
      <c r="M142" s="14">
        <f>INDEX(cenník!$C$2:$I$568,MATCH($L142,cenník!$B$2:$B$557,0),MATCH(M$24,cenník!$C$1:$I$1,0))</f>
        <v>890009</v>
      </c>
      <c r="N142" s="14" t="str">
        <f>INDEX(cenník!$C$2:$I$568,MATCH($L142,cenník!$B$2:$B$557,0),MATCH(N$24,cenník!$C$1:$I$1,0))</f>
        <v>100ks</v>
      </c>
      <c r="O142" s="14">
        <f>IF(L142="-------",0,ROUNDUP((O139/100),0))</f>
        <v>0</v>
      </c>
      <c r="P142" s="21">
        <f>INDEX(cenník!$C$2:$I$568,MATCH($L142,cenník!$B$2:$B$557,0),MATCH(P$24,cenník!$C$1:$I$1,0))</f>
        <v>15.96</v>
      </c>
      <c r="Q142" s="21">
        <f t="shared" si="60"/>
        <v>0</v>
      </c>
      <c r="R142" s="22">
        <f t="shared" si="56"/>
        <v>0</v>
      </c>
      <c r="S142" s="21">
        <f t="shared" si="57"/>
        <v>15.96</v>
      </c>
      <c r="T142" s="21">
        <f t="shared" si="58"/>
        <v>0</v>
      </c>
      <c r="U142" s="21">
        <f>INDEX(cenník!$C$2:$I$568,MATCH($L142,cenník!$B$2:$B$557,0),MATCH(U$24,cenník!$C$1:$I$1,0))*O142</f>
        <v>0</v>
      </c>
      <c r="V142" s="19"/>
      <c r="W142" s="19"/>
      <c r="X142" s="19"/>
      <c r="Y142" s="19"/>
      <c r="Z142" s="19"/>
      <c r="AA142" s="19"/>
      <c r="AB142" s="19"/>
      <c r="AC142" s="19"/>
      <c r="AD142" s="19"/>
      <c r="AE142" s="19"/>
      <c r="AF142" s="19"/>
      <c r="AG142" s="19"/>
      <c r="AH142" s="19"/>
      <c r="AI142" s="19"/>
      <c r="AJ142" s="19"/>
      <c r="AK142" s="19"/>
      <c r="AL142" s="19"/>
      <c r="AM142" s="19"/>
      <c r="AN142" s="19"/>
      <c r="AO142" s="19"/>
      <c r="AP142" s="19"/>
      <c r="AQ142" s="19"/>
      <c r="AR142" s="19"/>
      <c r="AS142" s="19"/>
      <c r="AT142" s="19"/>
      <c r="AU142" s="19"/>
      <c r="AV142" s="19"/>
      <c r="AW142" s="19"/>
      <c r="AX142" s="19"/>
      <c r="AY142" s="19"/>
      <c r="AZ142" s="19"/>
      <c r="BA142" s="20" t="s">
        <v>327</v>
      </c>
      <c r="BB142" s="20">
        <v>0</v>
      </c>
      <c r="BC142" s="20">
        <v>0</v>
      </c>
      <c r="BD142" s="20">
        <v>2</v>
      </c>
      <c r="BE142" s="20">
        <v>0</v>
      </c>
      <c r="BF142" s="20">
        <v>4</v>
      </c>
      <c r="BG142" s="20">
        <v>2</v>
      </c>
      <c r="BH142" s="20">
        <v>4</v>
      </c>
      <c r="BI142" s="20">
        <v>6</v>
      </c>
      <c r="BJ142" s="20">
        <v>6</v>
      </c>
      <c r="BK142" s="20">
        <v>8</v>
      </c>
      <c r="BL142" s="20">
        <v>6</v>
      </c>
      <c r="BM142" s="20">
        <v>8</v>
      </c>
      <c r="BN142" s="20">
        <v>10</v>
      </c>
      <c r="BO142" s="20">
        <v>10</v>
      </c>
      <c r="BP142" s="20">
        <v>12</v>
      </c>
      <c r="BQ142" s="20">
        <v>10</v>
      </c>
      <c r="BR142" s="20">
        <v>12</v>
      </c>
      <c r="BS142" s="20">
        <v>12</v>
      </c>
      <c r="BT142" s="20">
        <v>14</v>
      </c>
      <c r="BU142" s="20">
        <v>16</v>
      </c>
      <c r="BV142" s="20">
        <v>14</v>
      </c>
      <c r="BW142" s="20">
        <v>18</v>
      </c>
      <c r="BX142" s="20">
        <v>16</v>
      </c>
      <c r="BY142" s="20">
        <v>18</v>
      </c>
      <c r="BZ142" s="20">
        <v>20</v>
      </c>
      <c r="CA142" s="20">
        <v>20</v>
      </c>
      <c r="DA142" s="17"/>
      <c r="DB142" s="17"/>
      <c r="DC142" s="17"/>
      <c r="DD142" s="26" t="s">
        <v>328</v>
      </c>
      <c r="DE142" s="19">
        <v>0</v>
      </c>
      <c r="DF142" s="19"/>
      <c r="DG142" s="19"/>
      <c r="DH142" s="19"/>
      <c r="DI142" s="19"/>
      <c r="DJ142" s="19"/>
      <c r="DK142" s="19"/>
      <c r="DL142" s="19"/>
      <c r="DM142" s="19"/>
      <c r="DN142" s="19"/>
      <c r="DO142" s="19"/>
      <c r="DP142" s="19"/>
      <c r="DQ142" s="19"/>
      <c r="DR142" s="19"/>
      <c r="DS142" s="19"/>
      <c r="DT142" s="19"/>
      <c r="DU142" s="19"/>
      <c r="DV142" s="19"/>
      <c r="DW142" s="19"/>
      <c r="DX142" s="19"/>
      <c r="DY142" s="19"/>
      <c r="DZ142" s="19"/>
      <c r="EA142" s="19"/>
      <c r="EB142" s="19"/>
      <c r="GC142" s="19"/>
      <c r="GD142" s="19"/>
      <c r="GE142" s="26" t="s">
        <v>327</v>
      </c>
      <c r="GF142" s="19">
        <v>0</v>
      </c>
      <c r="GG142" s="19">
        <v>2</v>
      </c>
      <c r="GH142" s="19">
        <v>2</v>
      </c>
      <c r="GI142" s="19">
        <v>2</v>
      </c>
      <c r="GJ142" s="19">
        <v>6</v>
      </c>
      <c r="GK142" s="19">
        <v>6</v>
      </c>
      <c r="GL142" s="19">
        <v>6</v>
      </c>
      <c r="GM142" s="19">
        <v>10</v>
      </c>
      <c r="GN142" s="19">
        <v>10</v>
      </c>
      <c r="GO142" s="19">
        <v>10</v>
      </c>
      <c r="GP142" s="19">
        <v>14</v>
      </c>
      <c r="GQ142" s="19">
        <v>14</v>
      </c>
      <c r="GR142" s="19">
        <v>14</v>
      </c>
      <c r="GS142" s="19">
        <v>18</v>
      </c>
      <c r="GT142" s="19">
        <v>18</v>
      </c>
      <c r="GU142" s="19">
        <v>20</v>
      </c>
      <c r="GV142" s="19">
        <v>20</v>
      </c>
      <c r="GW142" s="19">
        <v>24</v>
      </c>
      <c r="GX142" s="19">
        <v>24</v>
      </c>
      <c r="GY142" s="19">
        <v>24</v>
      </c>
      <c r="GZ142" s="19">
        <v>28</v>
      </c>
      <c r="HA142" s="19">
        <v>28</v>
      </c>
      <c r="HB142" s="19">
        <v>28</v>
      </c>
      <c r="HC142" s="19">
        <v>32</v>
      </c>
      <c r="HD142" s="19">
        <v>32</v>
      </c>
      <c r="HE142" s="19">
        <v>32</v>
      </c>
      <c r="HF142" s="19"/>
      <c r="HG142" s="19"/>
      <c r="HH142" s="19"/>
      <c r="HI142" s="19"/>
      <c r="HJ142" s="19"/>
      <c r="HK142" s="19"/>
      <c r="HL142" s="19"/>
      <c r="HM142" s="19"/>
      <c r="HN142" s="19"/>
      <c r="HO142" s="19"/>
      <c r="HP142" s="19"/>
      <c r="HQ142" s="19"/>
      <c r="HR142" s="19"/>
      <c r="HS142" s="19"/>
      <c r="HT142" s="19"/>
      <c r="HU142" s="19"/>
      <c r="HV142" s="19"/>
      <c r="HW142" s="19"/>
      <c r="HX142" s="19"/>
      <c r="HY142" s="19"/>
      <c r="HZ142" s="19"/>
      <c r="IA142" s="19"/>
      <c r="IB142" s="19"/>
      <c r="IC142" s="19"/>
      <c r="ID142" s="19"/>
    </row>
    <row r="143" spans="1:238" x14ac:dyDescent="0.25">
      <c r="A143" s="8"/>
      <c r="B143" s="5" t="s">
        <v>61</v>
      </c>
      <c r="C143" s="8"/>
      <c r="D143" s="4"/>
      <c r="E143" s="4"/>
      <c r="F143" s="222"/>
      <c r="G143" s="222"/>
      <c r="H143" s="222"/>
      <c r="I143" s="222"/>
      <c r="J143" s="4"/>
      <c r="K143" s="4"/>
      <c r="L143" s="6" t="str">
        <f>IF(E136=$AC$1,INDEX(($AN$28:$AO$37,$AN$42:$AO$51,$AN$56:$AO$65),MATCH(I133,$AM$28:$AM$37,0),MATCH(E137,$AN$27:$AO$27,0),MATCH(E139,$AK$22:$AK$24,0)),IF(E136=$AC$2,INDEX(($AT$28:$AU$37,$AT$42:$AU$51,$AT$56:$AU$65),MATCH(I133,$AS$28:$AS$37,0),MATCH(E137,$AT$27:$AU$27,0),MATCH(E139,$AK$22:$AK$24,0)),0))</f>
        <v>BUFK35</v>
      </c>
      <c r="M143" s="14">
        <f>INDEX(cenník!$C$2:$I$568,MATCH($L143,cenník!$B$2:$B$557,0),MATCH(M$24,cenník!$C$1:$I$1,0))</f>
        <v>897435</v>
      </c>
      <c r="N143" s="14" t="str">
        <f>INDEX(cenník!$C$2:$I$568,MATCH($L143,cenník!$B$2:$B$557,0),MATCH(N$24,cenník!$C$1:$I$1,0))</f>
        <v>ks</v>
      </c>
      <c r="O143" s="14">
        <f>SUM(IF(A132=0,0,IF((A132&gt;0),C132*4)),IF(A133=0,0,IF((A133&gt;0),C133*4)),IF(A134=0,0,IF((A134&gt;0),C134*4)),IF(A135=0,0,IF((A135&gt;0),C135*4)),IF(A136=0,0,IF((A136&gt;0),C136*4)),IF(A137=0,0,IF((A137&gt;0),C137*4)),IF(A138=0,0,IF((A138&gt;0),C138*4)),IF(A139=0,0,IF((A139&gt;0),C139*4)),IF(A140=0,0,IF((A140&gt;0),C140*4)),IF(A141=0,0,IF((A141&gt;0),C141*4)),IF(A142=0,0,IF((A142&gt;0),C142*4)),IF(A143=0,0,IF((A143&gt;0),C143*4)),IF(A144=0,0,IF((A144&gt;0),C144*4)),IF(A145=0,0,IF((A145&gt;0),C145*4)),IF(A146=0,0,IF((A146&gt;0),C146*4)),,IF(A147=0,0,IF((A147&gt;0),C147*4)))</f>
        <v>0</v>
      </c>
      <c r="P143" s="21">
        <f>INDEX(cenník!$C$2:$I$568,MATCH($L143,cenník!$B$2:$B$557,0),MATCH(P$24,cenník!$C$1:$I$1,0))</f>
        <v>1.9</v>
      </c>
      <c r="Q143" s="21">
        <f t="shared" si="60"/>
        <v>0</v>
      </c>
      <c r="R143" s="22">
        <f t="shared" si="56"/>
        <v>0</v>
      </c>
      <c r="S143" s="21">
        <f t="shared" si="57"/>
        <v>1.9</v>
      </c>
      <c r="T143" s="21">
        <f t="shared" si="58"/>
        <v>0</v>
      </c>
      <c r="U143" s="21">
        <f>INDEX(cenník!$C$2:$I$568,MATCH($L143,cenník!$B$2:$B$557,0),MATCH(U$24,cenník!$C$1:$I$1,0))*O143</f>
        <v>0</v>
      </c>
      <c r="V143" s="19"/>
      <c r="W143" s="19"/>
      <c r="X143" s="19"/>
      <c r="Y143" s="19"/>
      <c r="Z143" s="19"/>
      <c r="AA143" s="19"/>
      <c r="AB143" s="19"/>
      <c r="AC143" s="19"/>
      <c r="AD143" s="19"/>
      <c r="AE143" s="19"/>
      <c r="AF143" s="19"/>
      <c r="AG143" s="19"/>
      <c r="AH143" s="19"/>
      <c r="AI143" s="19"/>
      <c r="AJ143" s="19"/>
      <c r="AK143" s="19"/>
      <c r="AL143" s="19"/>
      <c r="AM143" s="19"/>
      <c r="AN143" s="19"/>
      <c r="AO143" s="19"/>
      <c r="AP143" s="19"/>
      <c r="AQ143" s="19"/>
      <c r="AR143" s="19"/>
      <c r="AS143" s="19"/>
      <c r="AT143" s="19"/>
      <c r="AU143" s="19"/>
      <c r="AV143" s="19"/>
      <c r="AW143" s="19"/>
      <c r="AX143" s="19"/>
      <c r="AY143" s="19"/>
      <c r="AZ143" s="19"/>
      <c r="BA143" s="20" t="s">
        <v>328</v>
      </c>
      <c r="BB143" s="20">
        <v>0</v>
      </c>
      <c r="BC143" s="20">
        <v>0</v>
      </c>
      <c r="BD143" s="20">
        <v>0</v>
      </c>
      <c r="BE143" s="20">
        <v>2</v>
      </c>
      <c r="BF143" s="20">
        <v>2</v>
      </c>
      <c r="BG143" s="20">
        <v>4</v>
      </c>
      <c r="BH143" s="20">
        <v>4</v>
      </c>
      <c r="BI143" s="20">
        <v>4</v>
      </c>
      <c r="BJ143" s="20">
        <v>6</v>
      </c>
      <c r="BK143" s="20">
        <v>6</v>
      </c>
      <c r="BL143" s="20">
        <v>8</v>
      </c>
      <c r="BM143" s="20">
        <v>8</v>
      </c>
      <c r="BN143" s="20">
        <v>8</v>
      </c>
      <c r="BO143" s="20">
        <v>10</v>
      </c>
      <c r="BP143" s="20">
        <v>10</v>
      </c>
      <c r="BQ143" s="20">
        <v>12</v>
      </c>
      <c r="BR143" s="20">
        <v>12</v>
      </c>
      <c r="BS143" s="20">
        <v>14</v>
      </c>
      <c r="BT143" s="20">
        <v>14</v>
      </c>
      <c r="BU143" s="20">
        <v>14</v>
      </c>
      <c r="BV143" s="20">
        <v>16</v>
      </c>
      <c r="BW143" s="20">
        <v>16</v>
      </c>
      <c r="BX143" s="20">
        <v>18</v>
      </c>
      <c r="BY143" s="20">
        <v>18</v>
      </c>
      <c r="BZ143" s="20">
        <v>18</v>
      </c>
      <c r="CA143" s="20">
        <v>20</v>
      </c>
      <c r="DA143" s="17"/>
      <c r="DB143" s="17"/>
      <c r="DC143" s="17"/>
      <c r="DD143" s="19"/>
      <c r="DE143" s="19"/>
      <c r="DF143" s="19"/>
      <c r="DG143" s="19"/>
      <c r="DH143" s="19"/>
      <c r="DI143" s="19"/>
      <c r="DJ143" s="19"/>
      <c r="DK143" s="19"/>
      <c r="DL143" s="19"/>
      <c r="DM143" s="19"/>
      <c r="DN143" s="19"/>
      <c r="DO143" s="19"/>
      <c r="DP143" s="19"/>
      <c r="DQ143" s="19"/>
      <c r="DR143" s="19"/>
      <c r="DS143" s="19"/>
      <c r="DT143" s="19"/>
      <c r="DU143" s="19"/>
      <c r="DV143" s="19"/>
      <c r="DW143" s="19"/>
      <c r="DX143" s="19"/>
      <c r="DY143" s="19"/>
      <c r="DZ143" s="19"/>
      <c r="EA143" s="19"/>
      <c r="EB143" s="19"/>
      <c r="GC143" s="19"/>
      <c r="GD143" s="19"/>
      <c r="GE143" s="26" t="s">
        <v>328</v>
      </c>
      <c r="GF143" s="19">
        <v>0</v>
      </c>
      <c r="GG143" s="19">
        <v>0</v>
      </c>
      <c r="GH143" s="19">
        <v>2</v>
      </c>
      <c r="GI143" s="19">
        <v>4</v>
      </c>
      <c r="GJ143" s="19">
        <v>4</v>
      </c>
      <c r="GK143" s="19">
        <v>6</v>
      </c>
      <c r="GL143" s="19">
        <v>8</v>
      </c>
      <c r="GM143" s="19">
        <v>8</v>
      </c>
      <c r="GN143" s="19">
        <v>10</v>
      </c>
      <c r="GO143" s="19">
        <v>12</v>
      </c>
      <c r="GP143" s="19">
        <v>12</v>
      </c>
      <c r="GQ143" s="19">
        <v>14</v>
      </c>
      <c r="GR143" s="19">
        <v>16</v>
      </c>
      <c r="GS143" s="19">
        <v>16</v>
      </c>
      <c r="GT143" s="19">
        <v>18</v>
      </c>
      <c r="GU143" s="19">
        <v>20</v>
      </c>
      <c r="GV143" s="19">
        <v>22</v>
      </c>
      <c r="GW143" s="19">
        <v>22</v>
      </c>
      <c r="GX143" s="19">
        <v>24</v>
      </c>
      <c r="GY143" s="19">
        <v>26</v>
      </c>
      <c r="GZ143" s="19">
        <v>26</v>
      </c>
      <c r="HA143" s="19">
        <v>28</v>
      </c>
      <c r="HB143" s="19">
        <v>30</v>
      </c>
      <c r="HC143" s="19">
        <v>30</v>
      </c>
      <c r="HD143" s="19">
        <v>32</v>
      </c>
      <c r="HE143" s="19">
        <v>34</v>
      </c>
      <c r="HF143" s="19"/>
      <c r="HG143" s="19"/>
      <c r="HH143" s="19"/>
      <c r="HI143" s="19"/>
      <c r="HJ143" s="19"/>
      <c r="HK143" s="19"/>
      <c r="HL143" s="19"/>
      <c r="HM143" s="19"/>
      <c r="HN143" s="19"/>
      <c r="HO143" s="19"/>
      <c r="HP143" s="19"/>
      <c r="HQ143" s="19"/>
      <c r="HR143" s="19"/>
      <c r="HS143" s="19"/>
      <c r="HT143" s="19"/>
      <c r="HU143" s="19"/>
      <c r="HV143" s="19"/>
      <c r="HW143" s="19"/>
      <c r="HX143" s="19"/>
      <c r="HY143" s="19"/>
      <c r="HZ143" s="19"/>
      <c r="IA143" s="19"/>
      <c r="IB143" s="19"/>
      <c r="IC143" s="19"/>
      <c r="ID143" s="19"/>
    </row>
    <row r="144" spans="1:238" x14ac:dyDescent="0.25">
      <c r="A144" s="8"/>
      <c r="B144" s="5" t="s">
        <v>61</v>
      </c>
      <c r="C144" s="8"/>
      <c r="D144" s="4"/>
      <c r="E144" s="4"/>
      <c r="F144" s="4"/>
      <c r="G144" s="4"/>
      <c r="H144" s="4"/>
      <c r="I144" s="4"/>
      <c r="J144" s="4"/>
      <c r="K144" s="4"/>
      <c r="L144" s="6" t="str">
        <f>IF(E136=$AC$1,INDEX(($AN$38:$AO$38,$AN$52:$AO$52,$AN$66:$AO$66),1,MATCH($E$137,$AN$27:$AO$27,0),MATCH($E$139,$AK$22:$AK$24,0)),IF(E136=$AC$2,INDEX(($AT$38:$AU$38,$AT$52:$AU$52,$AT$66:$AU$66),1,MATCH($E$137,$AT$27:$AU$27,0),MATCH($E$139,$AK$22:$AK$24,0)),0))</f>
        <v>PUFK</v>
      </c>
      <c r="M144" s="14">
        <f>INDEX(cenník!$C$2:$I$568,MATCH($L144,cenník!$B$2:$B$557,0),MATCH(M$24,cenník!$C$1:$I$1,0))</f>
        <v>890300</v>
      </c>
      <c r="N144" s="14" t="str">
        <f>INDEX(cenník!$C$2:$I$568,MATCH($L144,cenník!$B$2:$B$557,0),MATCH(N$24,cenník!$C$1:$I$1,0))</f>
        <v>ks</v>
      </c>
      <c r="O144" s="14">
        <f>SUM(IF(A132=0,0,IF(A132&gt;0,(A132-1)*2*C132)),IF(A133=0,0,IF(A133&gt;0,(A133-1)*2*C133)),IF(A134=0,0,IF(A134&gt;0,(A134-1)*2*C134)),IF(A135=0,0,IF(A135&gt;0,(A135-1)*2*C135)),IF(A136=0,0,IF(A136&gt;0,(A136-1)*2*C136)),IF(A137=0,0,IF(A137&gt;0,(A137-1)*2*C137)),IF(A138=0,0,IF(A138&gt;0,(A138-1)*2*C138)),IF(A139=0,0,IF(A139&gt;0,(A139-1)*2*C139)),IF(A140=0,0,IF(A140&gt;0,(A140-1)*2*C140)),IF(A141=0,0,IF(A141&gt;0,(A141-1)*2*C141)),IF(A142=0,0,IF(A142&gt;0,(A142-1)*2*C142)),IF(A143=0,0,IF(A143&gt;0,(A143-1)*2*C143)),IF(A144=0,0,IF(A144&gt;0,(A144-1)*2*C144)),IF(A145=0,0,IF(A145&gt;0,(A145-1)*2*C145)),IF(A146=0,0,IF(A146&gt;0,(A146-1)*2*C146)),IF(A147=0,0,IF(A147&gt;0,(A147-1)*2*C147)))</f>
        <v>0</v>
      </c>
      <c r="P144" s="21">
        <f>INDEX(cenník!$C$2:$I$568,MATCH($L144,cenník!$B$2:$B$557,0),MATCH(P$24,cenník!$C$1:$I$1,0))</f>
        <v>2.08</v>
      </c>
      <c r="Q144" s="21">
        <f t="shared" si="60"/>
        <v>0</v>
      </c>
      <c r="R144" s="22">
        <f t="shared" si="56"/>
        <v>0</v>
      </c>
      <c r="S144" s="21">
        <f t="shared" si="57"/>
        <v>2.08</v>
      </c>
      <c r="T144" s="21">
        <f t="shared" si="58"/>
        <v>0</v>
      </c>
      <c r="U144" s="21">
        <f>INDEX(cenník!$C$2:$I$568,MATCH($L144,cenník!$B$2:$B$557,0),MATCH(U$24,cenník!$C$1:$I$1,0))*O144</f>
        <v>0</v>
      </c>
      <c r="V144" s="19"/>
      <c r="W144" s="19"/>
      <c r="X144" s="19"/>
      <c r="Y144" s="19"/>
      <c r="Z144" s="19"/>
      <c r="AA144" s="19"/>
      <c r="AB144" s="19"/>
      <c r="AC144" s="19"/>
      <c r="AD144" s="19"/>
      <c r="AE144" s="19"/>
      <c r="AF144" s="19"/>
      <c r="AG144" s="19"/>
      <c r="AH144" s="19"/>
      <c r="AI144" s="19"/>
      <c r="AJ144" s="19"/>
      <c r="AK144" s="19"/>
      <c r="AL144" s="19"/>
      <c r="AM144" s="19"/>
      <c r="AN144" s="19"/>
      <c r="AO144" s="19"/>
      <c r="AP144" s="19"/>
      <c r="AQ144" s="19"/>
      <c r="AR144" s="19"/>
      <c r="AS144" s="19"/>
      <c r="AT144" s="19"/>
      <c r="AU144" s="19"/>
      <c r="AV144" s="19"/>
      <c r="AW144" s="19"/>
      <c r="AX144" s="19"/>
      <c r="AY144" s="19"/>
      <c r="AZ144" s="19"/>
      <c r="DA144" s="17"/>
      <c r="DB144" s="17"/>
      <c r="DC144" s="17"/>
      <c r="DD144" s="19" t="s">
        <v>72</v>
      </c>
      <c r="DE144" s="19">
        <v>0</v>
      </c>
      <c r="DF144" s="19">
        <v>1</v>
      </c>
      <c r="DG144" s="19">
        <v>2</v>
      </c>
      <c r="DH144" s="19">
        <v>3</v>
      </c>
      <c r="DI144" s="19">
        <v>4</v>
      </c>
      <c r="DJ144" s="19">
        <v>5</v>
      </c>
      <c r="DK144" s="19">
        <v>6</v>
      </c>
      <c r="DL144" s="19">
        <v>7</v>
      </c>
      <c r="DM144" s="19">
        <v>8</v>
      </c>
      <c r="DN144" s="19">
        <v>9</v>
      </c>
      <c r="DO144" s="19">
        <v>10</v>
      </c>
      <c r="DP144" s="19">
        <v>11</v>
      </c>
      <c r="DQ144" s="19">
        <v>12</v>
      </c>
      <c r="DR144" s="19">
        <v>13</v>
      </c>
      <c r="DS144" s="19">
        <v>14</v>
      </c>
      <c r="DT144" s="19">
        <v>15</v>
      </c>
      <c r="DU144" s="19">
        <v>16</v>
      </c>
      <c r="DV144" s="19">
        <v>17</v>
      </c>
      <c r="DW144" s="19">
        <v>18</v>
      </c>
      <c r="DX144" s="19">
        <v>19</v>
      </c>
      <c r="DY144" s="19">
        <v>20</v>
      </c>
      <c r="DZ144" s="19"/>
      <c r="EA144" s="19"/>
      <c r="EB144" s="19"/>
      <c r="GC144" s="19"/>
      <c r="GD144" s="19"/>
      <c r="GE144" s="19"/>
      <c r="GF144" s="19"/>
      <c r="GG144" s="19"/>
      <c r="GH144" s="19"/>
      <c r="GI144" s="19"/>
      <c r="GJ144" s="19"/>
      <c r="GK144" s="19"/>
      <c r="GL144" s="19"/>
      <c r="GM144" s="19"/>
      <c r="GN144" s="19"/>
      <c r="GO144" s="19"/>
      <c r="GP144" s="19"/>
      <c r="GQ144" s="19"/>
      <c r="GR144" s="19"/>
      <c r="GS144" s="19"/>
      <c r="GT144" s="19"/>
      <c r="GU144" s="19"/>
      <c r="GV144" s="19"/>
      <c r="GW144" s="19"/>
      <c r="GX144" s="19"/>
      <c r="GY144" s="19"/>
      <c r="GZ144" s="19"/>
      <c r="HA144" s="19"/>
      <c r="HB144" s="19"/>
      <c r="HC144" s="19"/>
      <c r="HD144" s="19"/>
      <c r="HE144" s="19"/>
      <c r="HF144" s="19"/>
      <c r="HG144" s="19"/>
      <c r="HH144" s="19"/>
      <c r="HI144" s="19"/>
      <c r="HJ144" s="19"/>
      <c r="HK144" s="19"/>
      <c r="HL144" s="19"/>
      <c r="HM144" s="19"/>
      <c r="HN144" s="19"/>
      <c r="HO144" s="19"/>
      <c r="HP144" s="19"/>
      <c r="HQ144" s="19"/>
      <c r="HR144" s="19"/>
      <c r="HS144" s="19"/>
      <c r="HT144" s="19"/>
      <c r="HU144" s="19"/>
      <c r="HV144" s="19"/>
      <c r="HW144" s="19"/>
      <c r="HX144" s="19"/>
      <c r="HY144" s="19"/>
      <c r="HZ144" s="19"/>
      <c r="IA144" s="19"/>
      <c r="IB144" s="19"/>
      <c r="IC144" s="19"/>
      <c r="ID144" s="19"/>
    </row>
    <row r="145" spans="1:238" x14ac:dyDescent="0.25">
      <c r="A145" s="8"/>
      <c r="B145" s="5" t="s">
        <v>61</v>
      </c>
      <c r="C145" s="8"/>
      <c r="D145" s="4"/>
      <c r="E145" s="4"/>
      <c r="F145" s="4"/>
      <c r="G145" s="4"/>
      <c r="H145" s="4"/>
      <c r="I145" s="4"/>
      <c r="J145" s="4"/>
      <c r="K145" s="4"/>
      <c r="L145" s="6" t="str">
        <f>IF(E136=$AC$1,INDEX(($AP$28:$AP$37,$AP$42:$AP$51,$AP$56:$AP$65),MATCH(I133,$AM$28:$AM$37,0),1,MATCH(E139,$AK$22:$AK$24,0)),IF(E136=$AC$2,INDEX(($AV$28:$AV$37,$AV$42:$AV$51,$AV$56:$AV$65),MATCH(I133,$AS$28:$AS$37,0),1,MATCH(E139,$AK$22:$AK$24,0)),0))</f>
        <v>-------</v>
      </c>
      <c r="M145" s="14" t="str">
        <f>INDEX(cenník!$C$2:$I$568,MATCH($L145,cenník!$B$2:$B$557,0),MATCH(M$24,cenník!$C$1:$I$1,0))</f>
        <v>-------</v>
      </c>
      <c r="N145" s="14">
        <f>INDEX(cenník!$C$2:$I$568,MATCH($L145,cenník!$B$2:$B$557,0),MATCH(N$24,cenník!$C$1:$I$1,0))</f>
        <v>0</v>
      </c>
      <c r="O145" s="14">
        <f>IF(AE141="suma",SUM(O143:O144),IF(AE141="len buff",O143,IF(AE141=0,0,0)))</f>
        <v>0</v>
      </c>
      <c r="P145" s="21">
        <f>INDEX(cenník!$C$2:$I$568,MATCH($L145,cenník!$B$2:$B$557,0),MATCH(P$24,cenník!$C$1:$I$1,0))</f>
        <v>0</v>
      </c>
      <c r="Q145" s="21">
        <f>O145*P145</f>
        <v>0</v>
      </c>
      <c r="R145" s="22">
        <f t="shared" si="56"/>
        <v>0</v>
      </c>
      <c r="S145" s="21">
        <f t="shared" si="57"/>
        <v>0</v>
      </c>
      <c r="T145" s="21">
        <f t="shared" si="58"/>
        <v>0</v>
      </c>
      <c r="U145" s="21">
        <f>INDEX(cenník!$C$2:$I$568,MATCH($L145,cenník!$B$2:$B$557,0),MATCH(U$24,cenník!$C$1:$I$1,0))*O145</f>
        <v>0</v>
      </c>
      <c r="V145" s="19"/>
      <c r="W145" s="19"/>
      <c r="X145" s="19"/>
      <c r="Y145" s="19"/>
      <c r="Z145" s="19"/>
      <c r="AA145" s="19"/>
      <c r="AB145" s="19"/>
      <c r="AC145" s="19"/>
      <c r="AD145" s="19"/>
      <c r="AE145" s="19"/>
      <c r="AF145" s="19"/>
      <c r="AG145" s="19"/>
      <c r="AH145" s="19"/>
      <c r="AI145" s="19"/>
      <c r="AJ145" s="19"/>
      <c r="AK145" s="19"/>
      <c r="AL145" s="19"/>
      <c r="AM145" s="19"/>
      <c r="AN145" s="19"/>
      <c r="AO145" s="19"/>
      <c r="AP145" s="19"/>
      <c r="AQ145" s="19"/>
      <c r="AR145" s="19"/>
      <c r="AS145" s="19"/>
      <c r="AT145" s="19"/>
      <c r="AU145" s="19"/>
      <c r="AV145" s="19"/>
      <c r="AW145" s="19"/>
      <c r="AX145" s="19"/>
      <c r="AY145" s="19"/>
      <c r="AZ145" s="19"/>
      <c r="DA145" s="17"/>
      <c r="DB145" s="17"/>
      <c r="DC145" s="17"/>
      <c r="DD145" s="19" t="s">
        <v>64</v>
      </c>
      <c r="DE145" s="19">
        <v>0</v>
      </c>
      <c r="DF145" s="19">
        <v>2</v>
      </c>
      <c r="DG145" s="19">
        <v>4</v>
      </c>
      <c r="DH145" s="19">
        <v>0</v>
      </c>
      <c r="DI145" s="19">
        <v>2</v>
      </c>
      <c r="DJ145" s="19">
        <v>4</v>
      </c>
      <c r="DK145" s="19">
        <v>0</v>
      </c>
      <c r="DL145" s="19">
        <v>2</v>
      </c>
      <c r="DM145" s="19">
        <v>4</v>
      </c>
      <c r="DN145" s="19">
        <v>0</v>
      </c>
      <c r="DO145" s="19">
        <v>2</v>
      </c>
      <c r="DP145" s="19">
        <v>4</v>
      </c>
      <c r="DQ145" s="19">
        <v>0</v>
      </c>
      <c r="DR145" s="19">
        <v>2</v>
      </c>
      <c r="DS145" s="19">
        <v>4</v>
      </c>
      <c r="DT145" s="19">
        <v>2</v>
      </c>
      <c r="DU145" s="19">
        <v>4</v>
      </c>
      <c r="DV145" s="19">
        <v>0</v>
      </c>
      <c r="DW145" s="19">
        <v>2</v>
      </c>
      <c r="DX145" s="19">
        <v>4</v>
      </c>
      <c r="DY145" s="19">
        <v>0</v>
      </c>
      <c r="DZ145" s="19"/>
      <c r="EA145" s="19"/>
      <c r="EB145" s="19"/>
      <c r="GC145" s="19"/>
      <c r="GD145" s="19"/>
      <c r="GE145" s="19" t="s">
        <v>231</v>
      </c>
      <c r="GF145" s="19"/>
      <c r="GG145" s="19"/>
      <c r="GH145" s="19"/>
      <c r="GI145" s="19"/>
      <c r="GJ145" s="19"/>
      <c r="GK145" s="19"/>
      <c r="GL145" s="19"/>
      <c r="GM145" s="19"/>
      <c r="GN145" s="19"/>
      <c r="GO145" s="19"/>
      <c r="GP145" s="19"/>
      <c r="GQ145" s="19"/>
      <c r="GR145" s="19"/>
      <c r="GS145" s="19"/>
      <c r="GT145" s="19"/>
      <c r="GU145" s="19"/>
      <c r="GV145" s="19"/>
      <c r="GW145" s="19"/>
      <c r="GX145" s="19"/>
      <c r="GY145" s="19"/>
      <c r="GZ145" s="19"/>
      <c r="HA145" s="19"/>
      <c r="HB145" s="19"/>
      <c r="HC145" s="19"/>
      <c r="HD145" s="19"/>
      <c r="HE145" s="19"/>
      <c r="HF145" s="19"/>
      <c r="HG145" s="19"/>
      <c r="HH145" s="19"/>
      <c r="HI145" s="19"/>
      <c r="HJ145" s="19"/>
      <c r="HK145" s="19"/>
      <c r="HL145" s="19"/>
      <c r="HM145" s="19"/>
      <c r="HN145" s="19"/>
      <c r="HO145" s="19"/>
      <c r="HP145" s="19"/>
      <c r="HQ145" s="19"/>
      <c r="HR145" s="19"/>
      <c r="HS145" s="19"/>
      <c r="HT145" s="19"/>
      <c r="HU145" s="19"/>
      <c r="HV145" s="19"/>
      <c r="HW145" s="19"/>
      <c r="HX145" s="19"/>
      <c r="HY145" s="19"/>
      <c r="HZ145" s="19"/>
      <c r="IA145" s="19"/>
      <c r="IB145" s="19"/>
      <c r="IC145" s="19"/>
      <c r="ID145" s="19"/>
    </row>
    <row r="146" spans="1:238" x14ac:dyDescent="0.25">
      <c r="A146" s="8"/>
      <c r="B146" s="5" t="s">
        <v>61</v>
      </c>
      <c r="C146" s="8"/>
      <c r="D146" s="4"/>
      <c r="E146" s="4"/>
      <c r="F146" s="4"/>
      <c r="G146" s="4"/>
      <c r="H146" s="4"/>
      <c r="I146" s="4"/>
      <c r="J146" s="4"/>
      <c r="K146" s="4"/>
      <c r="L146" s="6" t="str">
        <f>IF(E136=$AC$1,INDEX(($AQ$28:$AQ$37,$AQ$42:$AQ$51,$AQ$56:$AQ$65),MATCH(I133,$AM$28:$AM$37,0),1,MATCH(E139,$AK$22:$AK$24,0)),IF(E136=$AC$2,INDEX(($AW$28:$AW$37,$AW$42:$AW$51,$AW$56:$AW$65),MATCH(I133,$AS$28:$AS$37,0),1,MATCH(E139,$AK$22:$AK$24,0)),0))</f>
        <v>-------</v>
      </c>
      <c r="M146" s="14" t="str">
        <f>INDEX(cenník!$C$2:$I$568,MATCH($L146,cenník!$B$2:$B$557,0),MATCH(M$24,cenník!$C$1:$I$1,0))</f>
        <v>-------</v>
      </c>
      <c r="N146" s="14">
        <f>INDEX(cenník!$C$2:$I$568,MATCH($L146,cenník!$B$2:$B$557,0),MATCH(N$24,cenník!$C$1:$I$1,0))</f>
        <v>0</v>
      </c>
      <c r="O146" s="14">
        <f>O145</f>
        <v>0</v>
      </c>
      <c r="P146" s="21">
        <f>INDEX(cenník!$C$2:$I$568,MATCH($L146,cenník!$B$2:$B$557,0),MATCH(P$24,cenník!$C$1:$I$1,0))</f>
        <v>0</v>
      </c>
      <c r="Q146" s="21">
        <f t="shared" si="60"/>
        <v>0</v>
      </c>
      <c r="R146" s="22">
        <f t="shared" si="56"/>
        <v>0</v>
      </c>
      <c r="S146" s="21">
        <f t="shared" si="57"/>
        <v>0</v>
      </c>
      <c r="T146" s="21">
        <f t="shared" si="58"/>
        <v>0</v>
      </c>
      <c r="U146" s="21">
        <f>INDEX(cenník!$C$2:$I$568,MATCH($L146,cenník!$B$2:$B$557,0),MATCH(U$24,cenník!$C$1:$I$1,0))*O146</f>
        <v>0</v>
      </c>
      <c r="V146" s="19"/>
      <c r="W146" s="28" t="s">
        <v>93</v>
      </c>
      <c r="X146" s="19" t="s">
        <v>416</v>
      </c>
      <c r="Y146" s="19"/>
      <c r="Z146" s="19"/>
      <c r="AA146" s="19"/>
      <c r="AB146" s="19"/>
      <c r="AC146" s="19"/>
      <c r="AD146" s="19"/>
      <c r="AE146" s="19"/>
      <c r="AF146" s="19"/>
      <c r="AG146" s="19"/>
      <c r="AH146" s="19"/>
      <c r="AI146" s="19"/>
      <c r="AJ146" s="19"/>
      <c r="AK146" s="19"/>
      <c r="AL146" s="19"/>
      <c r="AM146" s="19"/>
      <c r="AN146" s="19"/>
      <c r="AO146" s="19"/>
      <c r="AP146" s="19"/>
      <c r="AQ146" s="19"/>
      <c r="AR146" s="19"/>
      <c r="AS146" s="19"/>
      <c r="AT146" s="19"/>
      <c r="AU146" s="19"/>
      <c r="AV146" s="19"/>
      <c r="AW146" s="19"/>
      <c r="AX146" s="19"/>
      <c r="AY146" s="19"/>
      <c r="AZ146" s="19"/>
      <c r="DA146" s="17"/>
      <c r="DB146" s="17"/>
      <c r="DC146" s="17"/>
      <c r="DD146" s="19" t="s">
        <v>18</v>
      </c>
      <c r="DE146" s="19">
        <v>0</v>
      </c>
      <c r="DF146" s="19">
        <v>0</v>
      </c>
      <c r="DG146" s="19">
        <v>0</v>
      </c>
      <c r="DH146" s="19">
        <v>4</v>
      </c>
      <c r="DI146" s="19">
        <v>4</v>
      </c>
      <c r="DJ146" s="19">
        <v>4</v>
      </c>
      <c r="DK146" s="19">
        <v>8</v>
      </c>
      <c r="DL146" s="19">
        <v>8</v>
      </c>
      <c r="DM146" s="19">
        <v>8</v>
      </c>
      <c r="DN146" s="19">
        <v>12</v>
      </c>
      <c r="DO146" s="19">
        <v>12</v>
      </c>
      <c r="DP146" s="19">
        <v>12</v>
      </c>
      <c r="DQ146" s="19">
        <v>16</v>
      </c>
      <c r="DR146" s="19">
        <v>16</v>
      </c>
      <c r="DS146" s="19">
        <v>16</v>
      </c>
      <c r="DT146" s="19">
        <v>18</v>
      </c>
      <c r="DU146" s="19">
        <v>18</v>
      </c>
      <c r="DV146" s="19">
        <v>22</v>
      </c>
      <c r="DW146" s="19">
        <v>22</v>
      </c>
      <c r="DX146" s="19">
        <v>22</v>
      </c>
      <c r="DY146" s="19">
        <v>26</v>
      </c>
      <c r="DZ146" s="19"/>
      <c r="EA146" s="19"/>
      <c r="EB146" s="19"/>
      <c r="GC146" s="19"/>
      <c r="GD146" s="19"/>
      <c r="GE146" s="19"/>
      <c r="GF146" s="19">
        <v>0</v>
      </c>
      <c r="GG146" s="19">
        <v>1</v>
      </c>
      <c r="GH146" s="19">
        <v>2</v>
      </c>
      <c r="GI146" s="19">
        <v>3</v>
      </c>
      <c r="GJ146" s="19">
        <v>4</v>
      </c>
      <c r="GK146" s="19">
        <v>5</v>
      </c>
      <c r="GL146" s="19">
        <v>6</v>
      </c>
      <c r="GM146" s="19">
        <v>7</v>
      </c>
      <c r="GN146" s="19">
        <v>8</v>
      </c>
      <c r="GO146" s="19">
        <v>9</v>
      </c>
      <c r="GP146" s="19">
        <v>10</v>
      </c>
      <c r="GQ146" s="19">
        <v>11</v>
      </c>
      <c r="GR146" s="19">
        <v>12</v>
      </c>
      <c r="GS146" s="19">
        <v>13</v>
      </c>
      <c r="GT146" s="19">
        <v>14</v>
      </c>
      <c r="GU146" s="19">
        <v>15</v>
      </c>
      <c r="GV146" s="19">
        <v>16</v>
      </c>
      <c r="GW146" s="19">
        <v>17</v>
      </c>
      <c r="GX146" s="19">
        <v>18</v>
      </c>
      <c r="GY146" s="19">
        <v>19</v>
      </c>
      <c r="GZ146" s="19">
        <v>20</v>
      </c>
      <c r="HA146" s="19">
        <v>21</v>
      </c>
      <c r="HB146" s="19">
        <v>22</v>
      </c>
      <c r="HC146" s="19">
        <v>23</v>
      </c>
      <c r="HD146" s="19">
        <v>24</v>
      </c>
      <c r="HE146" s="19">
        <v>25</v>
      </c>
      <c r="HF146" s="19">
        <v>26</v>
      </c>
      <c r="HG146" s="19">
        <v>27</v>
      </c>
      <c r="HH146" s="19">
        <v>28</v>
      </c>
      <c r="HI146" s="19">
        <v>29</v>
      </c>
      <c r="HJ146" s="19">
        <v>30</v>
      </c>
      <c r="HK146" s="19">
        <v>31</v>
      </c>
      <c r="HL146" s="19">
        <v>32</v>
      </c>
      <c r="HM146" s="19">
        <v>33</v>
      </c>
      <c r="HN146" s="19">
        <v>34</v>
      </c>
      <c r="HO146" s="19">
        <v>35</v>
      </c>
      <c r="HP146" s="19">
        <v>36</v>
      </c>
      <c r="HQ146" s="19">
        <v>37</v>
      </c>
      <c r="HR146" s="19">
        <v>38</v>
      </c>
      <c r="HS146" s="19">
        <v>39</v>
      </c>
      <c r="HT146" s="19">
        <v>40</v>
      </c>
      <c r="HU146" s="19">
        <v>41</v>
      </c>
      <c r="HV146" s="19">
        <v>42</v>
      </c>
      <c r="HW146" s="19">
        <v>43</v>
      </c>
      <c r="HX146" s="19">
        <v>44</v>
      </c>
      <c r="HY146" s="19">
        <v>45</v>
      </c>
      <c r="HZ146" s="19">
        <v>46</v>
      </c>
      <c r="IA146" s="19">
        <v>47</v>
      </c>
      <c r="IB146" s="19">
        <v>48</v>
      </c>
      <c r="IC146" s="19">
        <v>49</v>
      </c>
      <c r="ID146" s="19">
        <v>50</v>
      </c>
    </row>
    <row r="147" spans="1:238" x14ac:dyDescent="0.25">
      <c r="A147" s="8"/>
      <c r="B147" s="5" t="s">
        <v>61</v>
      </c>
      <c r="C147" s="8"/>
      <c r="D147" s="4"/>
      <c r="E147" s="4"/>
      <c r="F147" s="4"/>
      <c r="G147" s="4"/>
      <c r="H147" s="4"/>
      <c r="I147" s="4"/>
      <c r="J147" s="4"/>
      <c r="K147" s="4"/>
      <c r="L147" s="6" t="str">
        <f>IF(L144="PUFK","PUPK",IF(L144="PUFKL","PUPK","PUP"))</f>
        <v>PUPK</v>
      </c>
      <c r="M147" s="14">
        <f>INDEX(cenník!$C$2:$I$568,MATCH($L147,cenník!$B$2:$B$557,0),MATCH(M$24,cenník!$C$1:$I$1,0))</f>
        <v>897304</v>
      </c>
      <c r="N147" s="14" t="str">
        <f>INDEX(cenník!$C$2:$I$568,MATCH($L147,cenník!$B$2:$B$557,0),MATCH(N$24,cenník!$C$1:$I$1,0))</f>
        <v>ks</v>
      </c>
      <c r="O147" s="14">
        <f>SUM((IF(MOD(A132,2)=0,A132/2,IF(MOD(A132,2)=1,FLOOR(A132/2,1)+1,0))*C132),(IF(MOD(A133,2)=0,A133/2,IF(MOD(A133,2)=1,FLOOR(A133/2,1)+1,0))*C133),(IF(MOD(A134,2)=0,A134/2,IF(MOD(A134,2)=1,FLOOR(A134/2,1)+1,0))*C134),(IF(MOD(A135,2)=0,A135/2,IF(MOD(A135,2)=1,FLOOR(A135/2,1)+1,0))*C135),(IF(MOD(A136,2)=0,A136/2,IF(MOD(A136,2)=1,FLOOR(A136/2,1)+1,0))*C136),(IF(MOD(A137,2)=0,A137/2,IF(MOD(A137,2)=1,FLOOR(A137/2,1)+1,0))*C137),(IF(MOD(A138,2)=0,A138/2,IF(MOD(A138,2)=1,FLOOR(A138/2,1)+1,0))*C138),(IF(MOD(A139,2)=0,A139/2,IF(MOD(A139,2)=1,FLOOR(A139/2,1)+1,0))*C139),(IF(MOD(A140,2)=0,A140/2,IF(MOD(A140,2)=1,FLOOR(A140/2,1)+1,0))*C140),(IF(MOD(A141,2)=0,A141/2,IF(MOD(A141,2)=1,FLOOR(A141/2,1)+1,0))*C141),(IF(MOD(A142,2)=0,A142/2,IF(MOD(A142,2)=1,FLOOR(A142/2,1)+1,0))*C142),(IF(MOD(A143,2)=0,A143/2,IF(MOD(A143,2)=1,FLOOR(A143/2,1)+1,0))*C143),(IF(MOD(A144,2)=0,A144/2,IF(MOD(A144,2)=1,FLOOR(A144/2,1)+1,0))*C144),(IF(MOD(A145,2)=0,A145/2,IF(MOD(A145,2)=1,FLOOR(A145/2,1)+1,0))*C145),(IF(MOD(A146,2)=0,A146/2,IF(MOD(A146,2)=1,FLOOR(A146/2,1)+1,0))*C146),(IF(MOD(A147,2)=0,A147/2,IF(MOD(A147,2)=1,FLOOR(A147/2,1)+1,0))*C147))</f>
        <v>0</v>
      </c>
      <c r="P147" s="21">
        <f>INDEX(cenník!$C$2:$I$568,MATCH($L147,cenník!$B$2:$B$557,0),MATCH(P$24,cenník!$C$1:$I$1,0))</f>
        <v>0.83</v>
      </c>
      <c r="Q147" s="21">
        <f t="shared" si="60"/>
        <v>0</v>
      </c>
      <c r="R147" s="22">
        <f t="shared" si="56"/>
        <v>0</v>
      </c>
      <c r="S147" s="21">
        <f t="shared" si="57"/>
        <v>0.83</v>
      </c>
      <c r="T147" s="21">
        <f t="shared" si="58"/>
        <v>0</v>
      </c>
      <c r="U147" s="21">
        <f>INDEX(cenník!$C$2:$I$568,MATCH($L147,cenník!$B$2:$B$557,0),MATCH(U$24,cenník!$C$1:$I$1,0))*O147</f>
        <v>0</v>
      </c>
      <c r="W147" s="25" t="str">
        <f>IF(E157="vertikálne",G155,IF(E157="horizontálne",E155,0))</f>
        <v>1000-1050</v>
      </c>
      <c r="X147" s="25">
        <f t="shared" ref="X147:X162" si="61">((IF($E$157=$AB$1,(IF(A154=0,0,IF(A154&gt;0,IF((((INT(((A154*$W$151)+((A154-1)*20)+80)/$E$156))-1)*$E$156)+500&gt;=((A154*$W$151)+((A154-1)*20)+80),(INT(((A154*$W$151)+((A154-1)*20)+80)/$E$156)),((INT(((A154*$W$151)+((A154-1)*20)+80)/$E$156))+1))))),IF($E$157=$AB$2,(IF(A154=0,0,IF(A154&gt;0,IF((((INT(((A154*$W$152)+((A154-1)*20)+80)/$E$156))-1)*$E$156)+500&gt;=((A154*$W$152)+((A154-1)*20)+80),(INT(((A154*$W$152)+((A154-1)*20)+80)/$E$156)),((INT(((A154*$W$152)+((A154-1)*20)+80)/$E$156))+1))))))))*C154)</f>
        <v>0</v>
      </c>
      <c r="Y147" s="28" t="s">
        <v>94</v>
      </c>
      <c r="AB147" s="28">
        <v>2.2000000000000002</v>
      </c>
      <c r="AC147" s="28"/>
      <c r="AD147" s="28">
        <v>3.3</v>
      </c>
      <c r="AH147" s="19"/>
      <c r="DD147" s="19" t="s">
        <v>179</v>
      </c>
      <c r="DE147" s="19">
        <v>0</v>
      </c>
      <c r="DF147" s="19">
        <v>0</v>
      </c>
      <c r="DG147" s="19">
        <v>4</v>
      </c>
      <c r="DH147" s="19">
        <v>4</v>
      </c>
      <c r="DI147" s="19">
        <v>8</v>
      </c>
      <c r="DJ147" s="19">
        <v>12</v>
      </c>
      <c r="DK147" s="19">
        <v>12</v>
      </c>
      <c r="DL147" s="19">
        <v>16</v>
      </c>
      <c r="DM147" s="19">
        <v>20</v>
      </c>
      <c r="DN147" s="19">
        <v>20</v>
      </c>
      <c r="DO147" s="19">
        <v>24</v>
      </c>
      <c r="DP147" s="19">
        <v>28</v>
      </c>
      <c r="DQ147" s="19">
        <v>28</v>
      </c>
      <c r="DR147" s="19">
        <v>32</v>
      </c>
      <c r="DS147" s="19">
        <v>36</v>
      </c>
      <c r="DT147" s="19">
        <v>36</v>
      </c>
      <c r="DU147" s="19">
        <v>40</v>
      </c>
      <c r="DV147" s="19">
        <v>40</v>
      </c>
      <c r="DW147" s="19">
        <v>44</v>
      </c>
      <c r="DX147" s="19">
        <v>48</v>
      </c>
      <c r="DY147" s="19">
        <v>48</v>
      </c>
      <c r="GE147" s="19" t="s">
        <v>63</v>
      </c>
      <c r="GF147" s="19">
        <v>0</v>
      </c>
      <c r="GG147" s="19">
        <v>0</v>
      </c>
      <c r="GH147" s="19">
        <v>0</v>
      </c>
      <c r="GI147" s="19">
        <v>0</v>
      </c>
      <c r="GJ147" s="19">
        <v>0</v>
      </c>
      <c r="GK147" s="19">
        <v>0</v>
      </c>
      <c r="GL147" s="19">
        <v>0</v>
      </c>
      <c r="GM147" s="19">
        <v>0</v>
      </c>
      <c r="GN147" s="19">
        <v>0</v>
      </c>
      <c r="GO147" s="19">
        <v>0</v>
      </c>
      <c r="GP147" s="19">
        <v>0</v>
      </c>
      <c r="GQ147" s="19">
        <v>0</v>
      </c>
      <c r="GR147" s="19">
        <v>0</v>
      </c>
      <c r="GS147" s="19">
        <v>0</v>
      </c>
      <c r="GT147" s="19">
        <v>0</v>
      </c>
      <c r="GU147" s="19">
        <v>0</v>
      </c>
      <c r="GV147" s="19">
        <v>0</v>
      </c>
      <c r="GW147" s="19">
        <v>0</v>
      </c>
      <c r="GX147" s="19">
        <v>0</v>
      </c>
      <c r="GY147" s="19">
        <v>0</v>
      </c>
      <c r="GZ147" s="19">
        <v>0</v>
      </c>
      <c r="HA147" s="19">
        <v>0</v>
      </c>
      <c r="HB147" s="19">
        <v>0</v>
      </c>
      <c r="HC147" s="19">
        <v>0</v>
      </c>
      <c r="HD147" s="19">
        <v>0</v>
      </c>
      <c r="HE147" s="19">
        <v>0</v>
      </c>
      <c r="HF147" s="19">
        <v>0</v>
      </c>
      <c r="HG147" s="19">
        <v>0</v>
      </c>
      <c r="HH147" s="19">
        <v>0</v>
      </c>
      <c r="HI147" s="19">
        <v>0</v>
      </c>
      <c r="HJ147" s="19">
        <v>0</v>
      </c>
      <c r="HK147" s="19">
        <v>0</v>
      </c>
      <c r="HL147" s="19">
        <v>0</v>
      </c>
      <c r="HM147" s="19">
        <v>0</v>
      </c>
      <c r="HN147" s="19">
        <v>0</v>
      </c>
      <c r="HO147" s="19">
        <v>0</v>
      </c>
      <c r="HP147" s="19">
        <v>0</v>
      </c>
      <c r="HQ147" s="19">
        <v>2</v>
      </c>
      <c r="HR147" s="19">
        <v>0</v>
      </c>
      <c r="HS147" s="19">
        <v>0</v>
      </c>
      <c r="HT147" s="19">
        <v>0</v>
      </c>
      <c r="HU147" s="19">
        <v>0</v>
      </c>
      <c r="HV147" s="19">
        <v>0</v>
      </c>
      <c r="HW147" s="19">
        <v>0</v>
      </c>
      <c r="HX147" s="19">
        <v>0</v>
      </c>
      <c r="HY147" s="19">
        <v>0</v>
      </c>
      <c r="HZ147" s="19">
        <v>0</v>
      </c>
      <c r="IA147" s="19">
        <v>0</v>
      </c>
      <c r="IB147" s="19">
        <v>0</v>
      </c>
      <c r="IC147" s="19">
        <v>0</v>
      </c>
      <c r="ID147" s="19">
        <v>0</v>
      </c>
    </row>
    <row r="148" spans="1:238" x14ac:dyDescent="0.25">
      <c r="A148" s="4"/>
      <c r="B148" s="6"/>
      <c r="C148" s="4"/>
      <c r="D148" s="4"/>
      <c r="E148" s="4"/>
      <c r="F148" s="4"/>
      <c r="G148" s="4"/>
      <c r="H148" s="4"/>
      <c r="I148" s="4"/>
      <c r="J148" s="4"/>
      <c r="K148" s="4"/>
      <c r="L148" s="6" t="s">
        <v>233</v>
      </c>
      <c r="M148" s="14">
        <f>INDEX(cenník!$C$2:$I$568,MATCH($L148,cenník!$B$2:$B$557,0),MATCH(M$24,cenník!$C$1:$I$1,0))</f>
        <v>808251</v>
      </c>
      <c r="N148" s="14" t="str">
        <f>INDEX(cenník!$C$2:$I$568,MATCH($L148,cenník!$B$2:$B$557,0),MATCH(N$24,cenník!$C$1:$I$1,0))</f>
        <v>ks</v>
      </c>
      <c r="O148" s="14">
        <f>IF(E139=$AK$24,0,E140)</f>
        <v>0</v>
      </c>
      <c r="P148" s="21">
        <f>INDEX(cenník!$C$2:$I$568,MATCH($L148,cenník!$B$2:$B$557,0),MATCH(P$24,cenník!$C$1:$I$1,0))</f>
        <v>0.21</v>
      </c>
      <c r="Q148" s="21">
        <f t="shared" si="60"/>
        <v>0</v>
      </c>
      <c r="R148" s="22">
        <f t="shared" si="56"/>
        <v>0</v>
      </c>
      <c r="S148" s="21">
        <f t="shared" si="57"/>
        <v>0.21</v>
      </c>
      <c r="T148" s="21">
        <f>O148*S148</f>
        <v>0</v>
      </c>
      <c r="U148" s="21">
        <f>INDEX(cenník!$C$2:$I$568,MATCH($L148,cenník!$B$2:$B$557,0),MATCH(U$24,cenník!$C$1:$I$1,0))*O148</f>
        <v>0</v>
      </c>
      <c r="X148" s="25">
        <f t="shared" si="61"/>
        <v>0</v>
      </c>
      <c r="Y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154,$BB$2:$CA$2,0),MATCH($W$147,$AH$22:$AH$47,0)))*C154</f>
        <v>0</v>
      </c>
      <c r="AB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154,$BB$2:$CA$2,0),MATCH($W$147,$AH$22:$AH$47,0)))*C154</f>
        <v>0</v>
      </c>
      <c r="AC148" s="25"/>
      <c r="AD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154,$BB$2:$CA$2,0),MATCH($W$147,$AH$22:$AH$47,0)))*C154</f>
        <v>0</v>
      </c>
      <c r="AH148" s="19"/>
      <c r="DD148" s="19" t="s">
        <v>236</v>
      </c>
      <c r="DE148" s="19">
        <v>0</v>
      </c>
      <c r="DF148" s="19">
        <v>2</v>
      </c>
      <c r="DG148" s="19">
        <v>4</v>
      </c>
      <c r="DH148" s="19">
        <v>0</v>
      </c>
      <c r="DI148" s="19">
        <v>2</v>
      </c>
      <c r="DJ148" s="19">
        <v>4</v>
      </c>
      <c r="DK148" s="19">
        <v>0</v>
      </c>
      <c r="DL148" s="19">
        <v>2</v>
      </c>
      <c r="DM148" s="19">
        <v>4</v>
      </c>
      <c r="DN148" s="19">
        <v>0</v>
      </c>
      <c r="DO148" s="19">
        <v>2</v>
      </c>
      <c r="DP148" s="19">
        <v>4</v>
      </c>
      <c r="DQ148" s="19">
        <v>0</v>
      </c>
      <c r="DR148" s="19">
        <v>2</v>
      </c>
      <c r="DS148" s="19">
        <v>4</v>
      </c>
      <c r="DT148" s="19">
        <v>2</v>
      </c>
      <c r="DU148" s="19">
        <v>4</v>
      </c>
      <c r="DV148" s="19">
        <v>0</v>
      </c>
      <c r="DW148" s="19">
        <v>2</v>
      </c>
      <c r="DX148" s="19">
        <v>4</v>
      </c>
      <c r="DY148" s="19">
        <v>0</v>
      </c>
      <c r="GE148" s="19" t="s">
        <v>11</v>
      </c>
      <c r="GF148" s="19">
        <v>0</v>
      </c>
      <c r="GG148" s="19">
        <v>0</v>
      </c>
      <c r="GH148" s="19">
        <v>2</v>
      </c>
      <c r="GI148" s="19">
        <v>4</v>
      </c>
      <c r="GJ148" s="19">
        <v>0</v>
      </c>
      <c r="GK148" s="19">
        <v>2</v>
      </c>
      <c r="GL148" s="19">
        <v>4</v>
      </c>
      <c r="GM148" s="19">
        <v>0</v>
      </c>
      <c r="GN148" s="19">
        <v>0</v>
      </c>
      <c r="GO148" s="19">
        <v>0</v>
      </c>
      <c r="GP148" s="19">
        <v>0</v>
      </c>
      <c r="GQ148" s="19">
        <v>0</v>
      </c>
      <c r="GR148" s="19">
        <v>0</v>
      </c>
      <c r="GS148" s="19">
        <v>2</v>
      </c>
      <c r="GT148" s="19">
        <v>0</v>
      </c>
      <c r="GU148" s="19">
        <v>0</v>
      </c>
      <c r="GV148" s="19">
        <v>2</v>
      </c>
      <c r="GW148" s="19">
        <v>0</v>
      </c>
      <c r="GX148" s="19">
        <v>0</v>
      </c>
      <c r="GY148" s="19">
        <v>0</v>
      </c>
      <c r="GZ148" s="19">
        <v>0</v>
      </c>
      <c r="HA148" s="19">
        <v>0</v>
      </c>
      <c r="HB148" s="19">
        <v>0</v>
      </c>
      <c r="HC148" s="19">
        <v>0</v>
      </c>
      <c r="HD148" s="19">
        <v>0</v>
      </c>
      <c r="HE148" s="19">
        <v>0</v>
      </c>
      <c r="HF148" s="19">
        <v>0</v>
      </c>
      <c r="HG148" s="19">
        <v>0</v>
      </c>
      <c r="HH148" s="19">
        <v>0</v>
      </c>
      <c r="HI148" s="19">
        <v>0</v>
      </c>
      <c r="HJ148" s="19">
        <v>0</v>
      </c>
      <c r="HK148" s="19">
        <v>0</v>
      </c>
      <c r="HL148" s="19">
        <v>0</v>
      </c>
      <c r="HM148" s="19">
        <v>0</v>
      </c>
      <c r="HN148" s="19">
        <v>0</v>
      </c>
      <c r="HO148" s="19">
        <v>0</v>
      </c>
      <c r="HP148" s="19">
        <v>0</v>
      </c>
      <c r="HQ148" s="19">
        <v>0</v>
      </c>
      <c r="HR148" s="19">
        <v>0</v>
      </c>
      <c r="HS148" s="19">
        <v>0</v>
      </c>
      <c r="HT148" s="19">
        <v>0</v>
      </c>
      <c r="HU148" s="19">
        <v>0</v>
      </c>
      <c r="HV148" s="19">
        <v>0</v>
      </c>
      <c r="HW148" s="19">
        <v>0</v>
      </c>
      <c r="HX148" s="19">
        <v>0</v>
      </c>
      <c r="HY148" s="19">
        <v>0</v>
      </c>
      <c r="HZ148" s="19">
        <v>0</v>
      </c>
      <c r="IA148" s="19">
        <v>0</v>
      </c>
      <c r="IB148" s="19">
        <v>0</v>
      </c>
      <c r="IC148" s="19">
        <v>0</v>
      </c>
      <c r="ID148" s="19">
        <v>0</v>
      </c>
    </row>
    <row r="149" spans="1:238" x14ac:dyDescent="0.25">
      <c r="A149" s="4"/>
      <c r="B149" s="6"/>
      <c r="C149" s="4"/>
      <c r="D149" s="4"/>
      <c r="E149" s="4"/>
      <c r="F149" s="4"/>
      <c r="G149" s="4"/>
      <c r="H149" s="4"/>
      <c r="I149" s="4"/>
      <c r="J149" s="4"/>
      <c r="K149" s="4"/>
      <c r="L149" s="6" t="s">
        <v>45</v>
      </c>
      <c r="M149" s="14">
        <f>INDEX(cenník!$C$2:$I$568,MATCH($L149,cenník!$B$2:$B$557,0),MATCH(M$24,cenník!$C$1:$I$1,0))</f>
        <v>890008</v>
      </c>
      <c r="N149" s="14" t="str">
        <f>INDEX(cenník!$C$2:$I$568,MATCH($L149,cenník!$B$2:$B$557,0),MATCH(N$24,cenník!$C$1:$I$1,0))</f>
        <v>100ks</v>
      </c>
      <c r="O149" s="14">
        <f>ROUNDUP((O148/100),0)</f>
        <v>0</v>
      </c>
      <c r="P149" s="21">
        <f>INDEX(cenník!$C$2:$I$568,MATCH($L149,cenník!$B$2:$B$557,0),MATCH(P$24,cenník!$C$1:$I$1,0))</f>
        <v>9.75</v>
      </c>
      <c r="Q149" s="21">
        <f t="shared" si="60"/>
        <v>0</v>
      </c>
      <c r="R149" s="22">
        <f t="shared" si="56"/>
        <v>0</v>
      </c>
      <c r="S149" s="21">
        <f t="shared" si="57"/>
        <v>9.75</v>
      </c>
      <c r="T149" s="21">
        <f>O149*S149</f>
        <v>0</v>
      </c>
      <c r="U149" s="21">
        <f>INDEX(cenník!$C$2:$I$568,MATCH($L149,cenník!$B$2:$B$557,0),MATCH(U$24,cenník!$C$1:$I$1,0))*O149</f>
        <v>0</v>
      </c>
      <c r="X149" s="25">
        <f t="shared" si="61"/>
        <v>0</v>
      </c>
      <c r="Y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155,$BB$2:$CA$2,0),MATCH($W$147,$AH$22:$AH$47,0)))*C155</f>
        <v>0</v>
      </c>
      <c r="AB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155,$BB$2:$CA$2,0),MATCH($W$147,$AH$22:$AH$47,0)))*C155</f>
        <v>0</v>
      </c>
      <c r="AC149" s="25"/>
      <c r="AD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155,$BB$2:$CA$2,0),MATCH($W$147,$AH$22:$AH$47,0)))*C155</f>
        <v>0</v>
      </c>
      <c r="AH149" s="19"/>
      <c r="DD149" s="19" t="s">
        <v>238</v>
      </c>
      <c r="DE149" s="19">
        <v>0</v>
      </c>
      <c r="DF149" s="19">
        <v>0</v>
      </c>
      <c r="DG149" s="19">
        <v>0</v>
      </c>
      <c r="DH149" s="19">
        <v>4</v>
      </c>
      <c r="DI149" s="19">
        <v>4</v>
      </c>
      <c r="DJ149" s="19">
        <v>4</v>
      </c>
      <c r="DK149" s="19">
        <v>8</v>
      </c>
      <c r="DL149" s="19">
        <v>8</v>
      </c>
      <c r="DM149" s="19">
        <v>8</v>
      </c>
      <c r="DN149" s="19">
        <v>12</v>
      </c>
      <c r="DO149" s="19">
        <v>12</v>
      </c>
      <c r="DP149" s="19">
        <v>12</v>
      </c>
      <c r="DQ149" s="19">
        <v>16</v>
      </c>
      <c r="DR149" s="19">
        <v>16</v>
      </c>
      <c r="DS149" s="19">
        <v>16</v>
      </c>
      <c r="DT149" s="19">
        <v>18</v>
      </c>
      <c r="DU149" s="19">
        <v>18</v>
      </c>
      <c r="DV149" s="19">
        <v>22</v>
      </c>
      <c r="DW149" s="19">
        <v>22</v>
      </c>
      <c r="DX149" s="19">
        <v>22</v>
      </c>
      <c r="DY149" s="19">
        <v>26</v>
      </c>
      <c r="GE149" s="19" t="s">
        <v>64</v>
      </c>
      <c r="GF149" s="19">
        <v>0</v>
      </c>
      <c r="GG149" s="19">
        <v>0</v>
      </c>
      <c r="GH149" s="19">
        <v>0</v>
      </c>
      <c r="GI149" s="19">
        <v>0</v>
      </c>
      <c r="GJ149" s="19">
        <v>0</v>
      </c>
      <c r="GK149" s="19">
        <v>0</v>
      </c>
      <c r="GL149" s="19">
        <v>0</v>
      </c>
      <c r="GM149" s="19">
        <v>0</v>
      </c>
      <c r="GN149" s="19">
        <v>2</v>
      </c>
      <c r="GO149" s="19">
        <v>2</v>
      </c>
      <c r="GP149" s="19">
        <v>4</v>
      </c>
      <c r="GQ149" s="19">
        <v>0</v>
      </c>
      <c r="GR149" s="19">
        <v>2</v>
      </c>
      <c r="GS149" s="19">
        <v>0</v>
      </c>
      <c r="GT149" s="19">
        <v>0</v>
      </c>
      <c r="GU149" s="19">
        <v>2</v>
      </c>
      <c r="GV149" s="19">
        <v>0</v>
      </c>
      <c r="GW149" s="19">
        <v>0</v>
      </c>
      <c r="GX149" s="19">
        <v>0</v>
      </c>
      <c r="GY149" s="19">
        <v>0</v>
      </c>
      <c r="GZ149" s="19">
        <v>2</v>
      </c>
      <c r="HA149" s="19">
        <v>0</v>
      </c>
      <c r="HB149" s="19">
        <v>2</v>
      </c>
      <c r="HC149" s="19">
        <v>2</v>
      </c>
      <c r="HD149" s="19">
        <v>0</v>
      </c>
      <c r="HE149" s="19">
        <v>0</v>
      </c>
      <c r="HF149" s="19">
        <v>0</v>
      </c>
      <c r="HG149" s="19">
        <v>0</v>
      </c>
      <c r="HH149" s="19">
        <v>0</v>
      </c>
      <c r="HI149" s="19">
        <v>0</v>
      </c>
      <c r="HJ149" s="19">
        <v>0</v>
      </c>
      <c r="HK149" s="19">
        <v>0</v>
      </c>
      <c r="HL149" s="19">
        <v>0</v>
      </c>
      <c r="HM149" s="19">
        <v>2</v>
      </c>
      <c r="HN149" s="19">
        <v>0</v>
      </c>
      <c r="HO149" s="19">
        <v>0</v>
      </c>
      <c r="HP149" s="19">
        <v>2</v>
      </c>
      <c r="HQ149" s="19">
        <v>0</v>
      </c>
      <c r="HR149" s="19">
        <v>0</v>
      </c>
      <c r="HS149" s="19">
        <v>0</v>
      </c>
      <c r="HT149" s="19">
        <v>0</v>
      </c>
      <c r="HU149" s="19">
        <v>0</v>
      </c>
      <c r="HV149" s="19">
        <v>0</v>
      </c>
      <c r="HW149" s="19">
        <v>0</v>
      </c>
      <c r="HX149" s="19">
        <v>0</v>
      </c>
      <c r="HY149" s="19">
        <v>0</v>
      </c>
      <c r="HZ149" s="19">
        <v>0</v>
      </c>
      <c r="IA149" s="19">
        <v>4</v>
      </c>
      <c r="IB149" s="19">
        <v>0</v>
      </c>
      <c r="IC149" s="19">
        <v>0</v>
      </c>
      <c r="ID149" s="19">
        <v>0</v>
      </c>
    </row>
    <row r="150" spans="1:238" x14ac:dyDescent="0.25">
      <c r="A150" s="4"/>
      <c r="B150" s="6"/>
      <c r="C150" s="4"/>
      <c r="D150" s="4"/>
      <c r="E150" s="4"/>
      <c r="F150" s="4"/>
      <c r="G150" s="4"/>
      <c r="H150" s="4"/>
      <c r="I150" s="4"/>
      <c r="J150" s="4"/>
      <c r="K150" s="4"/>
      <c r="L150" s="6" t="str">
        <f>IF(E139=$AK$22,"NOWPAL40x40SR","-------")</f>
        <v>NOWPAL40x40SR</v>
      </c>
      <c r="M150" s="14">
        <f>INDEX(cenník!$C$2:$I$568,MATCH($L150,cenník!$B$2:$B$557,0),MATCH(M$24,cenník!$C$1:$I$1,0))</f>
        <v>890404</v>
      </c>
      <c r="N150" s="14" t="str">
        <f>INDEX(cenník!$C$2:$I$568,MATCH($L150,cenník!$B$2:$B$557,0),MATCH(N$24,cenník!$C$1:$I$1,0))</f>
        <v>ks</v>
      </c>
      <c r="O150" s="14">
        <f>IF(L150="NOWPAL40X40SR",SUM(C132:C147)*4,0)</f>
        <v>0</v>
      </c>
      <c r="P150" s="21">
        <f>INDEX(cenník!$C$2:$I$568,MATCH($L150,cenník!$B$2:$B$557,0),MATCH(P$24,cenník!$C$1:$I$1,0))</f>
        <v>0.26</v>
      </c>
      <c r="Q150" s="21">
        <f>O150*P150</f>
        <v>0</v>
      </c>
      <c r="R150" s="22">
        <f t="shared" si="56"/>
        <v>0</v>
      </c>
      <c r="S150" s="21">
        <f t="shared" si="57"/>
        <v>0.26</v>
      </c>
      <c r="T150" s="21">
        <f>O150*S150</f>
        <v>0</v>
      </c>
      <c r="U150" s="21">
        <f>INDEX(cenník!$C$2:$I$568,MATCH($L150,cenník!$B$2:$B$557,0),MATCH(U$24,cenník!$C$1:$I$1,0))*O150</f>
        <v>0</v>
      </c>
      <c r="X150" s="25">
        <f t="shared" si="61"/>
        <v>0</v>
      </c>
      <c r="Y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156,$BB$2:$CA$2,0),MATCH($W$147,$AH$22:$AH$47,0)))*C156</f>
        <v>0</v>
      </c>
      <c r="AB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156,$BB$2:$CA$2,0),MATCH($W$147,$AH$22:$AH$47,0)))*C156</f>
        <v>0</v>
      </c>
      <c r="AC150" s="25"/>
      <c r="AD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156,$BB$2:$CA$2,0),MATCH($W$147,$AH$22:$AH$47,0)))*C156</f>
        <v>0</v>
      </c>
      <c r="AH150" s="19"/>
      <c r="DD150" s="19" t="s">
        <v>239</v>
      </c>
      <c r="DE150" s="19">
        <v>0</v>
      </c>
      <c r="DF150" s="19">
        <v>0</v>
      </c>
      <c r="DG150" s="19">
        <v>4</v>
      </c>
      <c r="DH150" s="19">
        <v>4</v>
      </c>
      <c r="DI150" s="19">
        <v>8</v>
      </c>
      <c r="DJ150" s="19">
        <v>12</v>
      </c>
      <c r="DK150" s="19">
        <v>12</v>
      </c>
      <c r="DL150" s="19">
        <v>16</v>
      </c>
      <c r="DM150" s="19">
        <v>20</v>
      </c>
      <c r="DN150" s="19">
        <v>20</v>
      </c>
      <c r="DO150" s="19">
        <v>24</v>
      </c>
      <c r="DP150" s="19">
        <v>28</v>
      </c>
      <c r="DQ150" s="19">
        <v>28</v>
      </c>
      <c r="DR150" s="19">
        <v>32</v>
      </c>
      <c r="DS150" s="19">
        <v>36</v>
      </c>
      <c r="DT150" s="19">
        <v>36</v>
      </c>
      <c r="DU150" s="19">
        <v>40</v>
      </c>
      <c r="DV150" s="19">
        <v>40</v>
      </c>
      <c r="DW150" s="19">
        <v>44</v>
      </c>
      <c r="DX150" s="19">
        <v>48</v>
      </c>
      <c r="DY150" s="19">
        <v>48</v>
      </c>
      <c r="GE150" s="19" t="s">
        <v>14</v>
      </c>
      <c r="GF150" s="19">
        <v>0</v>
      </c>
      <c r="GG150" s="19">
        <v>2</v>
      </c>
      <c r="GH150" s="19">
        <v>2</v>
      </c>
      <c r="GI150" s="19">
        <v>2</v>
      </c>
      <c r="GJ150" s="19">
        <v>6</v>
      </c>
      <c r="GK150" s="19">
        <v>4</v>
      </c>
      <c r="GL150" s="19">
        <v>0</v>
      </c>
      <c r="GM150" s="19">
        <v>2</v>
      </c>
      <c r="GN150" s="19">
        <v>0</v>
      </c>
      <c r="GO150" s="19">
        <v>12</v>
      </c>
      <c r="GP150" s="19">
        <v>10</v>
      </c>
      <c r="GQ150" s="19">
        <v>8</v>
      </c>
      <c r="GR150" s="19">
        <v>6</v>
      </c>
      <c r="GS150" s="19">
        <v>18</v>
      </c>
      <c r="GT150" s="19">
        <v>2</v>
      </c>
      <c r="GU150" s="19">
        <v>0</v>
      </c>
      <c r="GV150" s="19">
        <v>12</v>
      </c>
      <c r="GW150" s="19">
        <v>0</v>
      </c>
      <c r="GX150" s="19">
        <v>10</v>
      </c>
      <c r="GY150" s="19">
        <v>22</v>
      </c>
      <c r="GZ150" s="19">
        <v>20</v>
      </c>
      <c r="HA150" s="19">
        <v>4</v>
      </c>
      <c r="HB150" s="19">
        <v>8</v>
      </c>
      <c r="HC150" s="19">
        <v>14</v>
      </c>
      <c r="HD150" s="19">
        <v>0</v>
      </c>
      <c r="HE150" s="19">
        <v>10</v>
      </c>
      <c r="HF150" s="19">
        <v>24</v>
      </c>
      <c r="HG150" s="19">
        <v>0</v>
      </c>
      <c r="HH150" s="19">
        <v>6</v>
      </c>
      <c r="HI150" s="19">
        <v>18</v>
      </c>
      <c r="HJ150" s="19">
        <v>30</v>
      </c>
      <c r="HK150" s="19">
        <v>0</v>
      </c>
      <c r="HL150" s="19">
        <v>12</v>
      </c>
      <c r="HM150" s="19">
        <v>10</v>
      </c>
      <c r="HN150" s="19">
        <v>0</v>
      </c>
      <c r="HO150" s="19">
        <v>6</v>
      </c>
      <c r="HP150" s="19">
        <v>4</v>
      </c>
      <c r="HQ150" s="19">
        <v>14</v>
      </c>
      <c r="HR150" s="19">
        <v>0</v>
      </c>
      <c r="HS150" s="19">
        <v>14</v>
      </c>
      <c r="HT150" s="19">
        <v>26</v>
      </c>
      <c r="HU150" s="19">
        <v>0</v>
      </c>
      <c r="HV150" s="19">
        <v>8</v>
      </c>
      <c r="HW150" s="19">
        <v>20</v>
      </c>
      <c r="HX150" s="19">
        <v>0</v>
      </c>
      <c r="HY150" s="19">
        <v>2</v>
      </c>
      <c r="HZ150" s="19">
        <v>14</v>
      </c>
      <c r="IA150" s="19">
        <v>12</v>
      </c>
      <c r="IB150" s="19">
        <v>0</v>
      </c>
      <c r="IC150" s="19">
        <v>10</v>
      </c>
      <c r="ID150" s="19">
        <v>22</v>
      </c>
    </row>
    <row r="151" spans="1:238" x14ac:dyDescent="0.25">
      <c r="A151" s="4"/>
      <c r="B151" s="6"/>
      <c r="C151" s="4"/>
      <c r="D151" s="4"/>
      <c r="E151" s="4"/>
      <c r="F151" s="4"/>
      <c r="G151" s="4"/>
      <c r="H151" s="4"/>
      <c r="I151" s="4"/>
      <c r="J151" s="4"/>
      <c r="K151" s="4"/>
      <c r="L151" s="6" t="s">
        <v>244</v>
      </c>
      <c r="M151" s="14">
        <f>INDEX(cenník!$C$2:$I$568,MATCH($L151,cenník!$B$2:$B$557,0),MATCH(M$24,cenník!$C$1:$I$1,0))</f>
        <v>166794</v>
      </c>
      <c r="N151" s="14" t="str">
        <f>INDEX(cenník!$C$2:$I$568,MATCH($L151,cenník!$B$2:$B$557,0),MATCH(N$24,cenník!$C$1:$I$1,0))</f>
        <v>100ks</v>
      </c>
      <c r="O151" s="14">
        <f>ROUNDUP((O145/100),0)</f>
        <v>0</v>
      </c>
      <c r="P151" s="21">
        <f>INDEX(cenník!$C$2:$I$568,MATCH($L151,cenník!$B$2:$B$557,0),MATCH(P$24,cenník!$C$1:$I$1,0))</f>
        <v>1.38</v>
      </c>
      <c r="Q151" s="21">
        <f>O151*P151</f>
        <v>0</v>
      </c>
      <c r="R151" s="22">
        <f t="shared" si="56"/>
        <v>0</v>
      </c>
      <c r="S151" s="21">
        <f t="shared" si="57"/>
        <v>1.38</v>
      </c>
      <c r="T151" s="21">
        <f>O151*S151</f>
        <v>0</v>
      </c>
      <c r="U151" s="21">
        <f>INDEX(cenník!$C$2:$I$568,MATCH($L151,cenník!$B$2:$B$557,0),MATCH(U$24,cenník!$C$1:$I$1,0))*O151</f>
        <v>0</v>
      </c>
      <c r="W151" s="19">
        <f>IF(G155=$AH$22,$AJ$22,IF(G155=$AH$23,$AJ$23,IF(G155=$AH$24,$AJ$24,IF(G155=$AH$25,$AJ$25,IF(G155=$AH$26,$AJ$26,IF(G155=$AH$27,$AJ$27,IF(G155=$AH$28,$AJ$28,IF(G155=$AH$29,$AJ$29,0))))))))</f>
        <v>1050</v>
      </c>
      <c r="X151" s="25">
        <f t="shared" si="61"/>
        <v>0</v>
      </c>
      <c r="Y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157,$BB$2:$CA$2,0),MATCH($W$147,$AH$22:$AH$47,0)))*C157</f>
        <v>0</v>
      </c>
      <c r="AB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157,$BB$2:$CA$2,0),MATCH($W$147,$AH$22:$AH$47,0)))*C157</f>
        <v>0</v>
      </c>
      <c r="AC151" s="25"/>
      <c r="AD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157,$BB$2:$CA$2,0),MATCH($W$147,$AH$22:$AH$47,0)))*C157</f>
        <v>0</v>
      </c>
      <c r="DD151" s="26" t="s">
        <v>326</v>
      </c>
      <c r="DE151" s="19">
        <v>0</v>
      </c>
      <c r="DF151" s="19"/>
      <c r="DG151" s="19"/>
      <c r="DH151" s="19"/>
      <c r="DI151" s="19"/>
      <c r="DJ151" s="19"/>
      <c r="DK151" s="19"/>
      <c r="DL151" s="19"/>
      <c r="DM151" s="19"/>
      <c r="DN151" s="19"/>
      <c r="DO151" s="19"/>
      <c r="DP151" s="19"/>
      <c r="DQ151" s="19"/>
      <c r="DR151" s="19"/>
      <c r="DS151" s="19"/>
      <c r="DT151" s="19"/>
      <c r="DU151" s="19"/>
      <c r="DV151" s="19"/>
      <c r="DW151" s="19"/>
      <c r="DX151" s="19"/>
      <c r="DY151" s="19"/>
      <c r="GE151" s="19" t="s">
        <v>18</v>
      </c>
      <c r="GF151" s="19">
        <v>0</v>
      </c>
      <c r="GG151" s="19">
        <v>0</v>
      </c>
      <c r="GH151" s="19">
        <v>0</v>
      </c>
      <c r="GI151" s="19">
        <v>0</v>
      </c>
      <c r="GJ151" s="19">
        <v>0</v>
      </c>
      <c r="GK151" s="19">
        <v>2</v>
      </c>
      <c r="GL151" s="19">
        <v>6</v>
      </c>
      <c r="GM151" s="19">
        <v>8</v>
      </c>
      <c r="GN151" s="19">
        <v>10</v>
      </c>
      <c r="GO151" s="19">
        <v>0</v>
      </c>
      <c r="GP151" s="19">
        <v>2</v>
      </c>
      <c r="GQ151" s="19">
        <v>8</v>
      </c>
      <c r="GR151" s="19">
        <v>10</v>
      </c>
      <c r="GS151" s="19">
        <v>0</v>
      </c>
      <c r="GT151" s="19">
        <v>18</v>
      </c>
      <c r="GU151" s="19">
        <v>20</v>
      </c>
      <c r="GV151" s="19">
        <v>10</v>
      </c>
      <c r="GW151" s="19">
        <v>24</v>
      </c>
      <c r="GX151" s="19">
        <v>16</v>
      </c>
      <c r="GY151" s="19">
        <v>6</v>
      </c>
      <c r="GZ151" s="19">
        <v>8</v>
      </c>
      <c r="HA151" s="19">
        <v>26</v>
      </c>
      <c r="HB151" s="19">
        <v>22</v>
      </c>
      <c r="HC151" s="19">
        <v>18</v>
      </c>
      <c r="HD151" s="19">
        <v>34</v>
      </c>
      <c r="HE151" s="19">
        <v>26</v>
      </c>
      <c r="HF151" s="19">
        <v>14</v>
      </c>
      <c r="HG151" s="19">
        <v>38</v>
      </c>
      <c r="HH151" s="19">
        <v>34</v>
      </c>
      <c r="HI151" s="19">
        <v>24</v>
      </c>
      <c r="HJ151" s="19">
        <v>14</v>
      </c>
      <c r="HK151" s="19">
        <v>44</v>
      </c>
      <c r="HL151" s="19">
        <v>34</v>
      </c>
      <c r="HM151" s="19">
        <v>36</v>
      </c>
      <c r="HN151" s="19">
        <v>48</v>
      </c>
      <c r="HO151" s="19">
        <v>44</v>
      </c>
      <c r="HP151" s="19">
        <v>46</v>
      </c>
      <c r="HQ151" s="19">
        <v>38</v>
      </c>
      <c r="HR151" s="19">
        <v>54</v>
      </c>
      <c r="HS151" s="19">
        <v>42</v>
      </c>
      <c r="HT151" s="19">
        <v>32</v>
      </c>
      <c r="HU151" s="19">
        <v>58</v>
      </c>
      <c r="HV151" s="19">
        <v>52</v>
      </c>
      <c r="HW151" s="19">
        <v>42</v>
      </c>
      <c r="HX151" s="19">
        <v>62</v>
      </c>
      <c r="HY151" s="19">
        <v>62</v>
      </c>
      <c r="HZ151" s="19">
        <v>52</v>
      </c>
      <c r="IA151" s="19">
        <v>52</v>
      </c>
      <c r="IB151" s="19">
        <v>68</v>
      </c>
      <c r="IC151" s="19">
        <v>60</v>
      </c>
      <c r="ID151" s="19">
        <v>50</v>
      </c>
    </row>
    <row r="152" spans="1:238" x14ac:dyDescent="0.25">
      <c r="A152" s="2"/>
      <c r="B152" s="18"/>
      <c r="C152" s="2"/>
      <c r="D152" s="2"/>
      <c r="E152" s="2"/>
      <c r="F152" s="2"/>
      <c r="G152" s="2"/>
      <c r="H152" s="2"/>
      <c r="I152" s="2"/>
      <c r="J152" s="2"/>
      <c r="K152" s="2"/>
      <c r="L152" s="2"/>
      <c r="M152" s="2"/>
      <c r="N152" s="2"/>
      <c r="O152" s="4"/>
      <c r="P152" s="2"/>
      <c r="Q152" s="2"/>
      <c r="R152" s="2"/>
      <c r="S152" s="2"/>
      <c r="T152" s="21">
        <f>SUM(T133:T151)</f>
        <v>0</v>
      </c>
      <c r="U152" s="21">
        <f>SUM(U133:U151)</f>
        <v>0</v>
      </c>
      <c r="W152" s="19">
        <f>IF(E155=$AH$30,$AJ$30,IF(E155=$AH$31,$AJ$31,IF(E155=$AH$32,$AJ$32,IF(E155=$AH$33,$AJ$33,IF(E155=$AH$34,$AJ$34,IF(E155=$AH$35,$AJ$35,IF(E155=$AH$36,$AJ$36,IF(E155=$AH$37,$AJ$37,IF(E155=$AH$38,$AJ$38,IF(E155=$AH$39,$AJ$39,IF(E155=$AH$40,$AJ$40,IF(E155=$AH$41,$AJ$41,IF(E155=$AH$42,$AJ$42,IF(E155=$AH$43,$AJ$43,IF(E155=$AH$44,$AJ$44,IF(E155=$AH$45,$AJ$45,IF(E155=$AH$46,$AJ$46,IF(E155=$AH$47,$AJ$47,0))))))))))))))))))</f>
        <v>2500</v>
      </c>
      <c r="X152" s="25">
        <f t="shared" si="61"/>
        <v>0</v>
      </c>
      <c r="Y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158,$BB$2:$CA$2,0),MATCH($W$147,$AH$22:$AH$47,0)))*C158</f>
        <v>0</v>
      </c>
      <c r="AB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158,$BB$2:$CA$2,0),MATCH($W$147,$AH$22:$AH$47,0)))*C158</f>
        <v>0</v>
      </c>
      <c r="AC152" s="25"/>
      <c r="AD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158,$BB$2:$CA$2,0),MATCH($W$147,$AH$22:$AH$47,0)))*C158</f>
        <v>0</v>
      </c>
      <c r="DD152" s="26" t="s">
        <v>327</v>
      </c>
      <c r="DE152" s="19">
        <v>0</v>
      </c>
      <c r="DF152" s="19"/>
      <c r="DG152" s="19"/>
      <c r="DH152" s="19"/>
      <c r="DI152" s="19"/>
      <c r="DJ152" s="19"/>
      <c r="DK152" s="19"/>
      <c r="DL152" s="19"/>
      <c r="DM152" s="19"/>
      <c r="DN152" s="19"/>
      <c r="DO152" s="19"/>
      <c r="DP152" s="19"/>
      <c r="DQ152" s="19"/>
      <c r="DR152" s="19"/>
      <c r="DS152" s="19"/>
      <c r="DT152" s="19"/>
      <c r="DU152" s="19"/>
      <c r="DV152" s="19"/>
      <c r="DW152" s="19"/>
      <c r="DX152" s="19"/>
      <c r="DY152" s="19"/>
      <c r="GE152" s="19" t="s">
        <v>179</v>
      </c>
      <c r="GF152" s="19">
        <v>0</v>
      </c>
      <c r="GG152" s="19">
        <f>((((SUM(GG147:GG151))/2)-1))*4</f>
        <v>0</v>
      </c>
      <c r="GH152" s="19">
        <f t="shared" ref="GH152:ID152" si="62">((((SUM(GH147:GH151))/2)-1))*4</f>
        <v>4</v>
      </c>
      <c r="GI152" s="19">
        <f t="shared" si="62"/>
        <v>8</v>
      </c>
      <c r="GJ152" s="19">
        <f t="shared" si="62"/>
        <v>8</v>
      </c>
      <c r="GK152" s="19">
        <f t="shared" si="62"/>
        <v>12</v>
      </c>
      <c r="GL152" s="19">
        <f t="shared" si="62"/>
        <v>16</v>
      </c>
      <c r="GM152" s="19">
        <f t="shared" si="62"/>
        <v>16</v>
      </c>
      <c r="GN152" s="19">
        <f t="shared" si="62"/>
        <v>20</v>
      </c>
      <c r="GO152" s="19">
        <f t="shared" si="62"/>
        <v>24</v>
      </c>
      <c r="GP152" s="19">
        <f t="shared" si="62"/>
        <v>28</v>
      </c>
      <c r="GQ152" s="19">
        <f t="shared" si="62"/>
        <v>28</v>
      </c>
      <c r="GR152" s="19">
        <f t="shared" si="62"/>
        <v>32</v>
      </c>
      <c r="GS152" s="19">
        <f t="shared" si="62"/>
        <v>36</v>
      </c>
      <c r="GT152" s="19">
        <f t="shared" si="62"/>
        <v>36</v>
      </c>
      <c r="GU152" s="19">
        <f t="shared" si="62"/>
        <v>40</v>
      </c>
      <c r="GV152" s="19">
        <f t="shared" si="62"/>
        <v>44</v>
      </c>
      <c r="GW152" s="19">
        <f t="shared" si="62"/>
        <v>44</v>
      </c>
      <c r="GX152" s="19">
        <f t="shared" si="62"/>
        <v>48</v>
      </c>
      <c r="GY152" s="19">
        <f t="shared" si="62"/>
        <v>52</v>
      </c>
      <c r="GZ152" s="19">
        <f t="shared" si="62"/>
        <v>56</v>
      </c>
      <c r="HA152" s="19">
        <f t="shared" si="62"/>
        <v>56</v>
      </c>
      <c r="HB152" s="19">
        <f t="shared" si="62"/>
        <v>60</v>
      </c>
      <c r="HC152" s="19">
        <f t="shared" si="62"/>
        <v>64</v>
      </c>
      <c r="HD152" s="19">
        <f t="shared" si="62"/>
        <v>64</v>
      </c>
      <c r="HE152" s="19">
        <f t="shared" si="62"/>
        <v>68</v>
      </c>
      <c r="HF152" s="19">
        <f t="shared" si="62"/>
        <v>72</v>
      </c>
      <c r="HG152" s="19">
        <f t="shared" si="62"/>
        <v>72</v>
      </c>
      <c r="HH152" s="19">
        <f t="shared" si="62"/>
        <v>76</v>
      </c>
      <c r="HI152" s="19">
        <f t="shared" si="62"/>
        <v>80</v>
      </c>
      <c r="HJ152" s="19">
        <f t="shared" si="62"/>
        <v>84</v>
      </c>
      <c r="HK152" s="19">
        <f t="shared" si="62"/>
        <v>84</v>
      </c>
      <c r="HL152" s="19">
        <f t="shared" si="62"/>
        <v>88</v>
      </c>
      <c r="HM152" s="19">
        <f t="shared" si="62"/>
        <v>92</v>
      </c>
      <c r="HN152" s="19">
        <f t="shared" si="62"/>
        <v>92</v>
      </c>
      <c r="HO152" s="19">
        <f t="shared" si="62"/>
        <v>96</v>
      </c>
      <c r="HP152" s="19">
        <f t="shared" si="62"/>
        <v>100</v>
      </c>
      <c r="HQ152" s="19">
        <f t="shared" si="62"/>
        <v>104</v>
      </c>
      <c r="HR152" s="19">
        <f t="shared" si="62"/>
        <v>104</v>
      </c>
      <c r="HS152" s="19">
        <f t="shared" si="62"/>
        <v>108</v>
      </c>
      <c r="HT152" s="19">
        <f t="shared" si="62"/>
        <v>112</v>
      </c>
      <c r="HU152" s="19">
        <f t="shared" si="62"/>
        <v>112</v>
      </c>
      <c r="HV152" s="19">
        <f t="shared" si="62"/>
        <v>116</v>
      </c>
      <c r="HW152" s="19">
        <f t="shared" si="62"/>
        <v>120</v>
      </c>
      <c r="HX152" s="19">
        <f t="shared" si="62"/>
        <v>120</v>
      </c>
      <c r="HY152" s="19">
        <f t="shared" si="62"/>
        <v>124</v>
      </c>
      <c r="HZ152" s="19">
        <f t="shared" si="62"/>
        <v>128</v>
      </c>
      <c r="IA152" s="19">
        <f t="shared" si="62"/>
        <v>132</v>
      </c>
      <c r="IB152" s="19">
        <f t="shared" si="62"/>
        <v>132</v>
      </c>
      <c r="IC152" s="19">
        <f t="shared" si="62"/>
        <v>136</v>
      </c>
      <c r="ID152" s="19">
        <f t="shared" si="62"/>
        <v>140</v>
      </c>
    </row>
    <row r="153" spans="1:238" ht="39" x14ac:dyDescent="0.25">
      <c r="A153" s="3" t="s">
        <v>549</v>
      </c>
      <c r="B153" s="6"/>
      <c r="C153" s="3" t="s">
        <v>550</v>
      </c>
      <c r="D153" s="4"/>
      <c r="E153" s="4"/>
      <c r="F153" s="4"/>
      <c r="G153" s="4"/>
      <c r="H153" s="4"/>
      <c r="I153" s="4"/>
      <c r="J153" s="4"/>
      <c r="K153" s="4"/>
      <c r="L153" s="221" t="str">
        <f>IF(E157="vertikálne","KONŠTRUKCIA DS-V7N",IF(E157="horizontálne","KONŠTRUKCIA DS-H7N"))</f>
        <v>KONŠTRUKCIA DS-V7N</v>
      </c>
      <c r="M153" s="221"/>
      <c r="N153" s="221"/>
      <c r="O153" s="221"/>
      <c r="P153" s="221"/>
      <c r="Q153" s="221"/>
      <c r="R153" s="221"/>
      <c r="S153" s="221"/>
      <c r="T153" s="221"/>
      <c r="U153" s="221"/>
      <c r="W153" s="19"/>
      <c r="X153" s="25">
        <f t="shared" si="61"/>
        <v>0</v>
      </c>
      <c r="Y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159,$BB$2:$CA$2,0),MATCH($W$147,$AH$22:$AH$47,0)))*C159</f>
        <v>0</v>
      </c>
      <c r="AB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159,$BB$2:$CA$2,0),MATCH($W$147,$AH$22:$AH$47,0)))*C159</f>
        <v>0</v>
      </c>
      <c r="AC153" s="25"/>
      <c r="AD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159,$BB$2:$CA$2,0),MATCH($W$147,$AH$22:$AH$47,0)))*C159</f>
        <v>0</v>
      </c>
      <c r="DD153" s="26" t="s">
        <v>328</v>
      </c>
      <c r="DE153" s="19">
        <v>0</v>
      </c>
      <c r="DF153" s="19"/>
      <c r="DG153" s="19"/>
      <c r="DH153" s="19"/>
      <c r="DI153" s="19"/>
      <c r="DJ153" s="19"/>
      <c r="DK153" s="19"/>
      <c r="DL153" s="19"/>
      <c r="DM153" s="19"/>
      <c r="DN153" s="19"/>
      <c r="DO153" s="19"/>
      <c r="DP153" s="19"/>
      <c r="DQ153" s="19"/>
      <c r="DR153" s="19"/>
      <c r="DS153" s="19"/>
      <c r="DT153" s="19"/>
      <c r="DU153" s="19"/>
      <c r="DV153" s="19"/>
      <c r="DW153" s="19"/>
      <c r="DX153" s="19"/>
      <c r="DY153" s="19"/>
      <c r="GE153" s="26" t="s">
        <v>234</v>
      </c>
      <c r="GF153" s="19">
        <v>0</v>
      </c>
      <c r="GG153" s="19">
        <v>0</v>
      </c>
      <c r="GH153" s="19">
        <v>0</v>
      </c>
      <c r="GI153" s="19">
        <v>0</v>
      </c>
      <c r="GJ153" s="19">
        <v>0</v>
      </c>
      <c r="GK153" s="19">
        <v>0</v>
      </c>
      <c r="GL153" s="19">
        <v>0</v>
      </c>
      <c r="GM153" s="19">
        <v>0</v>
      </c>
      <c r="GN153" s="19">
        <v>0</v>
      </c>
      <c r="GO153" s="19">
        <v>0</v>
      </c>
      <c r="GP153" s="19">
        <v>0</v>
      </c>
      <c r="GQ153" s="19">
        <v>0</v>
      </c>
      <c r="GR153" s="19">
        <v>0</v>
      </c>
      <c r="GS153" s="19">
        <v>0</v>
      </c>
      <c r="GT153" s="19">
        <v>0</v>
      </c>
      <c r="GU153" s="19">
        <v>0</v>
      </c>
      <c r="GV153" s="19">
        <v>0</v>
      </c>
      <c r="GW153" s="19">
        <v>0</v>
      </c>
      <c r="GX153" s="19">
        <v>0</v>
      </c>
      <c r="GY153" s="19">
        <v>0</v>
      </c>
      <c r="GZ153" s="19">
        <v>0</v>
      </c>
      <c r="HA153" s="19">
        <v>0</v>
      </c>
      <c r="HB153" s="19">
        <v>0</v>
      </c>
      <c r="HC153" s="19">
        <v>0</v>
      </c>
      <c r="HD153" s="19">
        <v>0</v>
      </c>
      <c r="HE153" s="19">
        <v>0</v>
      </c>
      <c r="HF153" s="19">
        <v>0</v>
      </c>
      <c r="HG153" s="19">
        <v>0</v>
      </c>
      <c r="HH153" s="19">
        <v>0</v>
      </c>
      <c r="HI153" s="19">
        <v>0</v>
      </c>
      <c r="HJ153" s="19">
        <v>0</v>
      </c>
      <c r="HK153" s="19">
        <v>0</v>
      </c>
      <c r="HL153" s="19">
        <v>0</v>
      </c>
      <c r="HM153" s="19">
        <v>0</v>
      </c>
      <c r="HN153" s="19">
        <v>0</v>
      </c>
      <c r="HO153" s="19">
        <v>0</v>
      </c>
      <c r="HP153" s="19">
        <v>0</v>
      </c>
      <c r="HQ153" s="19">
        <v>2</v>
      </c>
      <c r="HR153" s="19">
        <v>0</v>
      </c>
      <c r="HS153" s="19">
        <v>0</v>
      </c>
      <c r="HT153" s="19">
        <v>0</v>
      </c>
      <c r="HU153" s="19">
        <v>0</v>
      </c>
      <c r="HV153" s="19">
        <v>0</v>
      </c>
      <c r="HW153" s="19">
        <v>0</v>
      </c>
      <c r="HX153" s="19">
        <v>0</v>
      </c>
      <c r="HY153" s="19">
        <v>0</v>
      </c>
      <c r="HZ153" s="19">
        <v>0</v>
      </c>
      <c r="IA153" s="19">
        <v>0</v>
      </c>
      <c r="IB153" s="19">
        <v>0</v>
      </c>
      <c r="IC153" s="19">
        <v>0</v>
      </c>
      <c r="ID153" s="19">
        <v>0</v>
      </c>
    </row>
    <row r="154" spans="1:238" x14ac:dyDescent="0.25">
      <c r="A154" s="8"/>
      <c r="B154" s="5" t="s">
        <v>61</v>
      </c>
      <c r="C154" s="8"/>
      <c r="D154" s="4"/>
      <c r="E154" s="4"/>
      <c r="F154" s="4"/>
      <c r="G154" s="4"/>
      <c r="H154" s="4"/>
      <c r="I154" s="4"/>
      <c r="J154" s="4"/>
      <c r="K154" s="4"/>
      <c r="L154" s="5" t="s">
        <v>53</v>
      </c>
      <c r="M154" s="5" t="s">
        <v>559</v>
      </c>
      <c r="N154" s="5" t="s">
        <v>436</v>
      </c>
      <c r="O154" s="5" t="s">
        <v>442</v>
      </c>
      <c r="P154" s="5" t="s">
        <v>443</v>
      </c>
      <c r="Q154" s="5" t="s">
        <v>444</v>
      </c>
      <c r="R154" s="5" t="s">
        <v>445</v>
      </c>
      <c r="S154" s="5" t="s">
        <v>446</v>
      </c>
      <c r="T154" s="5" t="s">
        <v>447</v>
      </c>
      <c r="U154" s="5" t="s">
        <v>438</v>
      </c>
      <c r="X154" s="25">
        <f t="shared" si="61"/>
        <v>0</v>
      </c>
      <c r="Y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160,$BB$2:$CA$2,0),MATCH($W$147,$AH$22:$AH$47,0)))*C160</f>
        <v>0</v>
      </c>
      <c r="AB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160,$BB$2:$CA$2,0),MATCH($W$147,$AH$22:$AH$47,0)))*C160</f>
        <v>0</v>
      </c>
      <c r="AC154" s="25"/>
      <c r="AD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160,$BB$2:$CA$2,0),MATCH($W$147,$AH$22:$AH$47,0)))*C160</f>
        <v>0</v>
      </c>
      <c r="DD154" s="19"/>
      <c r="DE154" s="19"/>
      <c r="DF154" s="19"/>
      <c r="DG154" s="19"/>
      <c r="DH154" s="19"/>
      <c r="DI154" s="19"/>
      <c r="DJ154" s="19"/>
      <c r="DK154" s="19"/>
      <c r="DL154" s="19"/>
      <c r="DM154" s="19"/>
      <c r="DN154" s="19"/>
      <c r="DO154" s="19"/>
      <c r="DP154" s="19"/>
      <c r="DQ154" s="19"/>
      <c r="DR154" s="19"/>
      <c r="DS154" s="19"/>
      <c r="DT154" s="19"/>
      <c r="DU154" s="19"/>
      <c r="DV154" s="19"/>
      <c r="DW154" s="19"/>
      <c r="DX154" s="19"/>
      <c r="DY154" s="19"/>
      <c r="GE154" s="26" t="s">
        <v>235</v>
      </c>
      <c r="GF154" s="19">
        <v>0</v>
      </c>
      <c r="GG154" s="19">
        <v>0</v>
      </c>
      <c r="GH154" s="19">
        <v>2</v>
      </c>
      <c r="GI154" s="19">
        <v>4</v>
      </c>
      <c r="GJ154" s="19">
        <v>0</v>
      </c>
      <c r="GK154" s="19">
        <v>2</v>
      </c>
      <c r="GL154" s="19">
        <v>4</v>
      </c>
      <c r="GM154" s="19">
        <v>0</v>
      </c>
      <c r="GN154" s="19">
        <v>0</v>
      </c>
      <c r="GO154" s="19">
        <v>0</v>
      </c>
      <c r="GP154" s="19">
        <v>0</v>
      </c>
      <c r="GQ154" s="19">
        <v>0</v>
      </c>
      <c r="GR154" s="19">
        <v>0</v>
      </c>
      <c r="GS154" s="19">
        <v>2</v>
      </c>
      <c r="GT154" s="19">
        <v>0</v>
      </c>
      <c r="GU154" s="19">
        <v>0</v>
      </c>
      <c r="GV154" s="19">
        <v>2</v>
      </c>
      <c r="GW154" s="19">
        <v>0</v>
      </c>
      <c r="GX154" s="19">
        <v>0</v>
      </c>
      <c r="GY154" s="19">
        <v>0</v>
      </c>
      <c r="GZ154" s="19">
        <v>0</v>
      </c>
      <c r="HA154" s="19">
        <v>0</v>
      </c>
      <c r="HB154" s="19">
        <v>0</v>
      </c>
      <c r="HC154" s="19">
        <v>0</v>
      </c>
      <c r="HD154" s="19">
        <v>0</v>
      </c>
      <c r="HE154" s="19">
        <v>0</v>
      </c>
      <c r="HF154" s="19">
        <v>0</v>
      </c>
      <c r="HG154" s="19">
        <v>0</v>
      </c>
      <c r="HH154" s="19">
        <v>0</v>
      </c>
      <c r="HI154" s="19">
        <v>0</v>
      </c>
      <c r="HJ154" s="19">
        <v>0</v>
      </c>
      <c r="HK154" s="19">
        <v>0</v>
      </c>
      <c r="HL154" s="19">
        <v>0</v>
      </c>
      <c r="HM154" s="19">
        <v>0</v>
      </c>
      <c r="HN154" s="19">
        <v>0</v>
      </c>
      <c r="HO154" s="19">
        <v>0</v>
      </c>
      <c r="HP154" s="19">
        <v>0</v>
      </c>
      <c r="HQ154" s="19">
        <v>0</v>
      </c>
      <c r="HR154" s="19">
        <v>0</v>
      </c>
      <c r="HS154" s="19">
        <v>0</v>
      </c>
      <c r="HT154" s="19">
        <v>0</v>
      </c>
      <c r="HU154" s="19">
        <v>0</v>
      </c>
      <c r="HV154" s="19">
        <v>0</v>
      </c>
      <c r="HW154" s="19">
        <v>0</v>
      </c>
      <c r="HX154" s="19">
        <v>0</v>
      </c>
      <c r="HY154" s="19">
        <v>0</v>
      </c>
      <c r="HZ154" s="19">
        <v>0</v>
      </c>
      <c r="IA154" s="19">
        <v>0</v>
      </c>
      <c r="IB154" s="19">
        <v>0</v>
      </c>
      <c r="IC154" s="19">
        <v>0</v>
      </c>
      <c r="ID154" s="19">
        <v>0</v>
      </c>
    </row>
    <row r="155" spans="1:238" x14ac:dyDescent="0.25">
      <c r="A155" s="8"/>
      <c r="B155" s="5" t="s">
        <v>61</v>
      </c>
      <c r="C155" s="8"/>
      <c r="D155" s="6" t="s">
        <v>452</v>
      </c>
      <c r="E155" s="8" t="s">
        <v>387</v>
      </c>
      <c r="F155" s="5" t="s">
        <v>61</v>
      </c>
      <c r="G155" s="8" t="s">
        <v>60</v>
      </c>
      <c r="H155" s="5" t="s">
        <v>61</v>
      </c>
      <c r="I155" s="8">
        <v>35</v>
      </c>
      <c r="J155" s="5" t="s">
        <v>62</v>
      </c>
      <c r="K155" s="4"/>
      <c r="L155" s="6" t="s">
        <v>326</v>
      </c>
      <c r="M155" s="14">
        <f>INDEX(cenník!$C$2:$I$568,MATCH($L155,cenník!$B$2:$B$557,0),MATCH(M$24,cenník!$C$1:$I$1,0))</f>
        <v>620412</v>
      </c>
      <c r="N155" s="14" t="str">
        <f>INDEX(cenník!$C$2:$I$568,MATCH($L155,cenník!$B$2:$B$557,0),MATCH(N$24,cenník!$C$1:$I$1,0))</f>
        <v>ks</v>
      </c>
      <c r="O155" s="14">
        <f>SUM(AB148:AB163)</f>
        <v>0</v>
      </c>
      <c r="P155" s="21">
        <f>INDEX(cenník!$C$2:$I$568,MATCH($L155,cenník!$B$2:$B$557,0),MATCH(P$24,cenník!$C$1:$I$1,0))</f>
        <v>14.01</v>
      </c>
      <c r="Q155" s="21">
        <f>O155*P155</f>
        <v>0</v>
      </c>
      <c r="R155" s="22">
        <f>$E$159</f>
        <v>0</v>
      </c>
      <c r="S155" s="21">
        <f>P155*((100-$E$159)/100)</f>
        <v>14.01</v>
      </c>
      <c r="T155" s="21">
        <f>O155*S155</f>
        <v>0</v>
      </c>
      <c r="U155" s="21">
        <f>INDEX(cenník!$C$2:$I$568,MATCH($L155,cenník!$B$2:$B$557,0),MATCH(U$24,cenník!$C$1:$I$1,0))*O155</f>
        <v>0</v>
      </c>
      <c r="X155" s="25">
        <f t="shared" si="61"/>
        <v>0</v>
      </c>
      <c r="Y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161,$BB$2:$CA$2,0),MATCH($W$147,$AH$22:$AH$47,0)))*C161</f>
        <v>0</v>
      </c>
      <c r="AB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161,$BB$2:$CA$2,0),MATCH($W$147,$AH$22:$AH$47,0)))*C161</f>
        <v>0</v>
      </c>
      <c r="AC155" s="25"/>
      <c r="AD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161,$BB$2:$CA$2,0),MATCH($W$147,$AH$22:$AH$47,0)))*C161</f>
        <v>0</v>
      </c>
      <c r="DD155" s="19" t="s">
        <v>203</v>
      </c>
      <c r="DE155" s="19">
        <v>0</v>
      </c>
      <c r="DF155" s="19">
        <v>1</v>
      </c>
      <c r="DG155" s="19">
        <v>2</v>
      </c>
      <c r="DH155" s="19">
        <v>3</v>
      </c>
      <c r="DI155" s="19">
        <v>4</v>
      </c>
      <c r="DJ155" s="19">
        <v>5</v>
      </c>
      <c r="DK155" s="19">
        <v>6</v>
      </c>
      <c r="DL155" s="19">
        <v>7</v>
      </c>
      <c r="DM155" s="19">
        <v>8</v>
      </c>
      <c r="DN155" s="19">
        <v>9</v>
      </c>
      <c r="DO155" s="19">
        <v>10</v>
      </c>
      <c r="DP155" s="19">
        <v>11</v>
      </c>
      <c r="DQ155" s="19">
        <v>12</v>
      </c>
      <c r="DR155" s="19">
        <v>13</v>
      </c>
      <c r="DS155" s="19">
        <v>14</v>
      </c>
      <c r="DT155" s="19">
        <v>15</v>
      </c>
      <c r="DU155" s="19">
        <v>16</v>
      </c>
      <c r="DV155" s="19">
        <v>17</v>
      </c>
      <c r="DW155" s="19">
        <v>18</v>
      </c>
      <c r="DX155" s="19">
        <v>19</v>
      </c>
      <c r="DY155" s="19">
        <v>20</v>
      </c>
      <c r="GE155" s="26" t="s">
        <v>236</v>
      </c>
      <c r="GF155" s="19">
        <v>0</v>
      </c>
      <c r="GG155" s="19">
        <v>0</v>
      </c>
      <c r="GH155" s="19">
        <v>0</v>
      </c>
      <c r="GI155" s="19">
        <v>0</v>
      </c>
      <c r="GJ155" s="19">
        <v>0</v>
      </c>
      <c r="GK155" s="19">
        <v>0</v>
      </c>
      <c r="GL155" s="19">
        <v>0</v>
      </c>
      <c r="GM155" s="19">
        <v>0</v>
      </c>
      <c r="GN155" s="19">
        <v>2</v>
      </c>
      <c r="GO155" s="19">
        <v>2</v>
      </c>
      <c r="GP155" s="19">
        <v>4</v>
      </c>
      <c r="GQ155" s="19">
        <v>0</v>
      </c>
      <c r="GR155" s="19">
        <v>2</v>
      </c>
      <c r="GS155" s="19">
        <v>0</v>
      </c>
      <c r="GT155" s="19">
        <v>0</v>
      </c>
      <c r="GU155" s="19">
        <v>2</v>
      </c>
      <c r="GV155" s="19">
        <v>0</v>
      </c>
      <c r="GW155" s="19">
        <v>0</v>
      </c>
      <c r="GX155" s="19">
        <v>0</v>
      </c>
      <c r="GY155" s="19">
        <v>0</v>
      </c>
      <c r="GZ155" s="19">
        <v>2</v>
      </c>
      <c r="HA155" s="19">
        <v>0</v>
      </c>
      <c r="HB155" s="19">
        <v>2</v>
      </c>
      <c r="HC155" s="19">
        <v>2</v>
      </c>
      <c r="HD155" s="19">
        <v>0</v>
      </c>
      <c r="HE155" s="19">
        <v>0</v>
      </c>
      <c r="HF155" s="19">
        <v>0</v>
      </c>
      <c r="HG155" s="19">
        <v>0</v>
      </c>
      <c r="HH155" s="19">
        <v>0</v>
      </c>
      <c r="HI155" s="19">
        <v>0</v>
      </c>
      <c r="HJ155" s="19">
        <v>0</v>
      </c>
      <c r="HK155" s="19">
        <v>0</v>
      </c>
      <c r="HL155" s="19">
        <v>0</v>
      </c>
      <c r="HM155" s="19">
        <v>2</v>
      </c>
      <c r="HN155" s="19">
        <v>0</v>
      </c>
      <c r="HO155" s="19">
        <v>0</v>
      </c>
      <c r="HP155" s="19">
        <v>2</v>
      </c>
      <c r="HQ155" s="19">
        <v>0</v>
      </c>
      <c r="HR155" s="19">
        <v>0</v>
      </c>
      <c r="HS155" s="19">
        <v>0</v>
      </c>
      <c r="HT155" s="19">
        <v>0</v>
      </c>
      <c r="HU155" s="19">
        <v>0</v>
      </c>
      <c r="HV155" s="19">
        <v>0</v>
      </c>
      <c r="HW155" s="19">
        <v>0</v>
      </c>
      <c r="HX155" s="19">
        <v>0</v>
      </c>
      <c r="HY155" s="19">
        <v>0</v>
      </c>
      <c r="HZ155" s="19">
        <v>0</v>
      </c>
      <c r="IA155" s="19">
        <v>4</v>
      </c>
      <c r="IB155" s="19">
        <v>0</v>
      </c>
      <c r="IC155" s="19">
        <v>0</v>
      </c>
      <c r="ID155" s="19">
        <v>0</v>
      </c>
    </row>
    <row r="156" spans="1:238" x14ac:dyDescent="0.25">
      <c r="A156" s="8"/>
      <c r="B156" s="5" t="s">
        <v>61</v>
      </c>
      <c r="C156" s="8"/>
      <c r="D156" s="6" t="s">
        <v>453</v>
      </c>
      <c r="E156" s="5">
        <v>1200</v>
      </c>
      <c r="F156" s="5"/>
      <c r="G156" s="5"/>
      <c r="H156" s="5"/>
      <c r="I156" s="5"/>
      <c r="J156" s="5" t="s">
        <v>62</v>
      </c>
      <c r="K156" s="4"/>
      <c r="L156" s="6" t="s">
        <v>327</v>
      </c>
      <c r="M156" s="14">
        <f>INDEX(cenník!$C$2:$I$568,MATCH($L156,cenník!$B$2:$B$557,0),MATCH(M$24,cenník!$C$1:$I$1,0))</f>
        <v>620413</v>
      </c>
      <c r="N156" s="14" t="str">
        <f>INDEX(cenník!$C$2:$I$568,MATCH($L156,cenník!$B$2:$B$557,0),MATCH(N$24,cenník!$C$1:$I$1,0))</f>
        <v>ks</v>
      </c>
      <c r="O156" s="14">
        <f>SUM(AD148:AD163)</f>
        <v>0</v>
      </c>
      <c r="P156" s="21">
        <f>INDEX(cenník!$C$2:$I$568,MATCH($L156,cenník!$B$2:$B$557,0),MATCH(P$24,cenník!$C$1:$I$1,0))</f>
        <v>21.01</v>
      </c>
      <c r="Q156" s="21">
        <f>O156*P156</f>
        <v>0</v>
      </c>
      <c r="R156" s="22">
        <f t="shared" ref="R156:R169" si="63">$E$159</f>
        <v>0</v>
      </c>
      <c r="S156" s="21">
        <f t="shared" ref="S156:S169" si="64">P156*((100-$E$159)/100)</f>
        <v>21.01</v>
      </c>
      <c r="T156" s="21">
        <f t="shared" ref="T156:T164" si="65">O156*S156</f>
        <v>0</v>
      </c>
      <c r="U156" s="21">
        <f>INDEX(cenník!$C$2:$I$568,MATCH($L156,cenník!$B$2:$B$557,0),MATCH(U$24,cenník!$C$1:$I$1,0))*O156</f>
        <v>0</v>
      </c>
      <c r="X156" s="25">
        <f t="shared" si="61"/>
        <v>0</v>
      </c>
      <c r="Y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162,$BB$2:$CA$2,0),MATCH($W$147,$AH$22:$AH$47,0)))*C162</f>
        <v>0</v>
      </c>
      <c r="AB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162,$BB$2:$CA$2,0),MATCH($W$147,$AH$22:$AH$47,0)))*C162</f>
        <v>0</v>
      </c>
      <c r="AC156" s="25"/>
      <c r="AD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162,$BB$2:$CA$2,0),MATCH($W$147,$AH$22:$AH$47,0)))*C162</f>
        <v>0</v>
      </c>
      <c r="DD156" s="19" t="s">
        <v>64</v>
      </c>
      <c r="DE156" s="19">
        <v>0</v>
      </c>
      <c r="DF156" s="19">
        <v>0</v>
      </c>
      <c r="DG156" s="19">
        <v>4</v>
      </c>
      <c r="DH156" s="19">
        <v>0</v>
      </c>
      <c r="DI156" s="19">
        <v>2</v>
      </c>
      <c r="DJ156" s="19">
        <v>4</v>
      </c>
      <c r="DK156" s="19">
        <v>0</v>
      </c>
      <c r="DL156" s="19">
        <v>2</v>
      </c>
      <c r="DM156" s="19">
        <v>4</v>
      </c>
      <c r="DN156" s="19">
        <v>0</v>
      </c>
      <c r="DO156" s="19">
        <v>2</v>
      </c>
      <c r="DP156" s="19">
        <v>4</v>
      </c>
      <c r="DQ156" s="19">
        <v>0</v>
      </c>
      <c r="DR156" s="19">
        <v>2</v>
      </c>
      <c r="DS156" s="19">
        <v>4</v>
      </c>
      <c r="DT156" s="19">
        <v>0</v>
      </c>
      <c r="DU156" s="19">
        <v>2</v>
      </c>
      <c r="DV156" s="19">
        <v>4</v>
      </c>
      <c r="DW156" s="19">
        <v>0</v>
      </c>
      <c r="DX156" s="19">
        <v>2</v>
      </c>
      <c r="DY156" s="19">
        <v>4</v>
      </c>
      <c r="GE156" s="26" t="s">
        <v>237</v>
      </c>
      <c r="GF156" s="19">
        <v>0</v>
      </c>
      <c r="GG156" s="19">
        <v>2</v>
      </c>
      <c r="GH156" s="19">
        <v>2</v>
      </c>
      <c r="GI156" s="19">
        <v>2</v>
      </c>
      <c r="GJ156" s="19">
        <v>6</v>
      </c>
      <c r="GK156" s="19">
        <v>4</v>
      </c>
      <c r="GL156" s="19">
        <v>0</v>
      </c>
      <c r="GM156" s="19">
        <v>2</v>
      </c>
      <c r="GN156" s="19">
        <v>0</v>
      </c>
      <c r="GO156" s="19">
        <v>12</v>
      </c>
      <c r="GP156" s="19">
        <v>10</v>
      </c>
      <c r="GQ156" s="19">
        <v>8</v>
      </c>
      <c r="GR156" s="19">
        <v>6</v>
      </c>
      <c r="GS156" s="19">
        <v>18</v>
      </c>
      <c r="GT156" s="19">
        <v>2</v>
      </c>
      <c r="GU156" s="19">
        <v>0</v>
      </c>
      <c r="GV156" s="19">
        <v>12</v>
      </c>
      <c r="GW156" s="19">
        <v>0</v>
      </c>
      <c r="GX156" s="19">
        <v>10</v>
      </c>
      <c r="GY156" s="19">
        <v>22</v>
      </c>
      <c r="GZ156" s="19">
        <v>20</v>
      </c>
      <c r="HA156" s="19">
        <v>4</v>
      </c>
      <c r="HB156" s="19">
        <v>8</v>
      </c>
      <c r="HC156" s="19">
        <v>14</v>
      </c>
      <c r="HD156" s="19">
        <v>0</v>
      </c>
      <c r="HE156" s="19">
        <v>10</v>
      </c>
      <c r="HF156" s="19">
        <v>24</v>
      </c>
      <c r="HG156" s="19">
        <v>0</v>
      </c>
      <c r="HH156" s="19">
        <v>6</v>
      </c>
      <c r="HI156" s="19">
        <v>18</v>
      </c>
      <c r="HJ156" s="19">
        <v>30</v>
      </c>
      <c r="HK156" s="19">
        <v>0</v>
      </c>
      <c r="HL156" s="19">
        <v>12</v>
      </c>
      <c r="HM156" s="19">
        <v>10</v>
      </c>
      <c r="HN156" s="19">
        <v>0</v>
      </c>
      <c r="HO156" s="19">
        <v>6</v>
      </c>
      <c r="HP156" s="19">
        <v>4</v>
      </c>
      <c r="HQ156" s="19">
        <v>14</v>
      </c>
      <c r="HR156" s="19">
        <v>0</v>
      </c>
      <c r="HS156" s="19">
        <v>14</v>
      </c>
      <c r="HT156" s="19">
        <v>26</v>
      </c>
      <c r="HU156" s="19">
        <v>0</v>
      </c>
      <c r="HV156" s="19">
        <v>8</v>
      </c>
      <c r="HW156" s="19">
        <v>20</v>
      </c>
      <c r="HX156" s="19">
        <v>0</v>
      </c>
      <c r="HY156" s="19">
        <v>2</v>
      </c>
      <c r="HZ156" s="19">
        <v>14</v>
      </c>
      <c r="IA156" s="19">
        <v>12</v>
      </c>
      <c r="IB156" s="19">
        <v>0</v>
      </c>
      <c r="IC156" s="19">
        <v>10</v>
      </c>
      <c r="ID156" s="19">
        <v>22</v>
      </c>
    </row>
    <row r="157" spans="1:238" x14ac:dyDescent="0.25">
      <c r="A157" s="8"/>
      <c r="B157" s="5" t="s">
        <v>61</v>
      </c>
      <c r="C157" s="8"/>
      <c r="D157" s="6" t="s">
        <v>454</v>
      </c>
      <c r="E157" s="8" t="s">
        <v>462</v>
      </c>
      <c r="F157" s="57" t="str">
        <f>IF(E157=AB2,"MONTAŻ KLEM PO KRÓTSZYM BOKU","")</f>
        <v/>
      </c>
      <c r="G157" s="5"/>
      <c r="H157" s="5"/>
      <c r="I157" s="5"/>
      <c r="J157" s="5"/>
      <c r="K157" s="4"/>
      <c r="L157" s="6" t="s">
        <v>328</v>
      </c>
      <c r="M157" s="14">
        <f>INDEX(cenník!$C$2:$I$568,MATCH($L157,cenník!$B$2:$B$557,0),MATCH(M$24,cenník!$C$1:$I$1,0))</f>
        <v>620414</v>
      </c>
      <c r="N157" s="14" t="str">
        <f>INDEX(cenník!$C$2:$I$568,MATCH($L157,cenník!$B$2:$B$557,0),MATCH(N$24,cenník!$C$1:$I$1,0))</f>
        <v>ks</v>
      </c>
      <c r="O157" s="14">
        <f>SUM(Y148:Y163)</f>
        <v>0</v>
      </c>
      <c r="P157" s="21">
        <f>INDEX(cenník!$C$2:$I$568,MATCH($L157,cenník!$B$2:$B$557,0),MATCH(P$24,cenník!$C$1:$I$1,0))</f>
        <v>1.69</v>
      </c>
      <c r="Q157" s="21">
        <f t="shared" ref="Q157:Q165" si="66">O157*P157</f>
        <v>0</v>
      </c>
      <c r="R157" s="22">
        <f t="shared" si="63"/>
        <v>0</v>
      </c>
      <c r="S157" s="21">
        <f t="shared" si="64"/>
        <v>1.69</v>
      </c>
      <c r="T157" s="21">
        <f t="shared" si="65"/>
        <v>0</v>
      </c>
      <c r="U157" s="21">
        <f>INDEX(cenník!$C$2:$I$568,MATCH($L157,cenník!$B$2:$B$557,0),MATCH(U$24,cenník!$C$1:$I$1,0))*O157</f>
        <v>0</v>
      </c>
      <c r="X157" s="25">
        <f t="shared" si="61"/>
        <v>0</v>
      </c>
      <c r="Y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163,$BB$2:$CA$2,0),MATCH($W$147,$AH$22:$AH$47,0)))*C163</f>
        <v>0</v>
      </c>
      <c r="AB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163,$BB$2:$CA$2,0),MATCH($W$147,$AH$22:$AH$47,0)))*C163</f>
        <v>0</v>
      </c>
      <c r="AC157" s="25"/>
      <c r="AD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163,$BB$2:$CA$2,0),MATCH($W$147,$AH$22:$AH$47,0)))*C163</f>
        <v>0</v>
      </c>
      <c r="DD157" s="19" t="s">
        <v>18</v>
      </c>
      <c r="DE157" s="19">
        <v>0</v>
      </c>
      <c r="DF157" s="19">
        <v>2</v>
      </c>
      <c r="DG157" s="19">
        <v>0</v>
      </c>
      <c r="DH157" s="19">
        <v>4</v>
      </c>
      <c r="DI157" s="19">
        <v>4</v>
      </c>
      <c r="DJ157" s="19">
        <v>4</v>
      </c>
      <c r="DK157" s="19">
        <v>8</v>
      </c>
      <c r="DL157" s="19">
        <v>8</v>
      </c>
      <c r="DM157" s="19">
        <v>8</v>
      </c>
      <c r="DN157" s="19">
        <v>12</v>
      </c>
      <c r="DO157" s="19">
        <v>12</v>
      </c>
      <c r="DP157" s="19">
        <v>12</v>
      </c>
      <c r="DQ157" s="19">
        <v>16</v>
      </c>
      <c r="DR157" s="19">
        <v>16</v>
      </c>
      <c r="DS157" s="19">
        <v>16</v>
      </c>
      <c r="DT157" s="19">
        <v>20</v>
      </c>
      <c r="DU157" s="19">
        <v>20</v>
      </c>
      <c r="DV157" s="19">
        <v>20</v>
      </c>
      <c r="DW157" s="19">
        <v>24</v>
      </c>
      <c r="DX157" s="19">
        <v>24</v>
      </c>
      <c r="DY157" s="19">
        <v>24</v>
      </c>
      <c r="GE157" s="26" t="s">
        <v>238</v>
      </c>
      <c r="GF157" s="19">
        <v>0</v>
      </c>
      <c r="GG157" s="19">
        <v>0</v>
      </c>
      <c r="GH157" s="19">
        <v>0</v>
      </c>
      <c r="GI157" s="19">
        <v>0</v>
      </c>
      <c r="GJ157" s="19">
        <v>0</v>
      </c>
      <c r="GK157" s="19">
        <v>2</v>
      </c>
      <c r="GL157" s="19">
        <v>6</v>
      </c>
      <c r="GM157" s="19">
        <v>8</v>
      </c>
      <c r="GN157" s="19">
        <v>10</v>
      </c>
      <c r="GO157" s="19">
        <v>0</v>
      </c>
      <c r="GP157" s="19">
        <v>2</v>
      </c>
      <c r="GQ157" s="19">
        <v>8</v>
      </c>
      <c r="GR157" s="19">
        <v>10</v>
      </c>
      <c r="GS157" s="19">
        <v>0</v>
      </c>
      <c r="GT157" s="19">
        <v>18</v>
      </c>
      <c r="GU157" s="19">
        <v>20</v>
      </c>
      <c r="GV157" s="19">
        <v>10</v>
      </c>
      <c r="GW157" s="19">
        <v>24</v>
      </c>
      <c r="GX157" s="19">
        <v>16</v>
      </c>
      <c r="GY157" s="19">
        <v>6</v>
      </c>
      <c r="GZ157" s="19">
        <v>8</v>
      </c>
      <c r="HA157" s="19">
        <v>26</v>
      </c>
      <c r="HB157" s="19">
        <v>22</v>
      </c>
      <c r="HC157" s="19">
        <v>18</v>
      </c>
      <c r="HD157" s="19">
        <v>34</v>
      </c>
      <c r="HE157" s="19">
        <v>26</v>
      </c>
      <c r="HF157" s="19">
        <v>14</v>
      </c>
      <c r="HG157" s="19">
        <v>38</v>
      </c>
      <c r="HH157" s="19">
        <v>34</v>
      </c>
      <c r="HI157" s="19">
        <v>24</v>
      </c>
      <c r="HJ157" s="19">
        <v>14</v>
      </c>
      <c r="HK157" s="19">
        <v>44</v>
      </c>
      <c r="HL157" s="19">
        <v>34</v>
      </c>
      <c r="HM157" s="19">
        <v>36</v>
      </c>
      <c r="HN157" s="19">
        <v>48</v>
      </c>
      <c r="HO157" s="19">
        <v>44</v>
      </c>
      <c r="HP157" s="19">
        <v>46</v>
      </c>
      <c r="HQ157" s="19">
        <v>38</v>
      </c>
      <c r="HR157" s="19">
        <v>54</v>
      </c>
      <c r="HS157" s="19">
        <v>42</v>
      </c>
      <c r="HT157" s="19">
        <v>32</v>
      </c>
      <c r="HU157" s="19">
        <v>58</v>
      </c>
      <c r="HV157" s="19">
        <v>52</v>
      </c>
      <c r="HW157" s="19">
        <v>42</v>
      </c>
      <c r="HX157" s="19">
        <v>62</v>
      </c>
      <c r="HY157" s="19">
        <v>62</v>
      </c>
      <c r="HZ157" s="19">
        <v>52</v>
      </c>
      <c r="IA157" s="19">
        <v>52</v>
      </c>
      <c r="IB157" s="19">
        <v>68</v>
      </c>
      <c r="IC157" s="19">
        <v>60</v>
      </c>
      <c r="ID157" s="19">
        <v>50</v>
      </c>
    </row>
    <row r="158" spans="1:238" x14ac:dyDescent="0.25">
      <c r="A158" s="8"/>
      <c r="B158" s="5" t="s">
        <v>61</v>
      </c>
      <c r="C158" s="8"/>
      <c r="D158" s="6" t="s">
        <v>456</v>
      </c>
      <c r="E158" s="8" t="s">
        <v>466</v>
      </c>
      <c r="F158" s="5"/>
      <c r="G158" s="5"/>
      <c r="H158" s="5"/>
      <c r="I158" s="5"/>
      <c r="J158" s="5"/>
      <c r="K158" s="4"/>
      <c r="L158" s="6" t="str">
        <f>IF(E157=AB1,"CMP41H41/1,7MC",IF(E157=AB2,"CMP41H41/1MC",0))</f>
        <v>CMP41H41/1,7MC</v>
      </c>
      <c r="M158" s="14">
        <f>INDEX(cenník!$C$2:$I$568,MATCH($L158,cenník!$B$2:$B$557,0),MATCH(M$24,cenník!$C$1:$I$1,0))</f>
        <v>851117</v>
      </c>
      <c r="N158" s="14" t="str">
        <f>INDEX(cenník!$C$2:$I$568,MATCH($L158,cenník!$B$2:$B$557,0),MATCH(N$24,cenník!$C$1:$I$1,0))</f>
        <v>ks</v>
      </c>
      <c r="O158" s="14">
        <f>O159</f>
        <v>0</v>
      </c>
      <c r="P158" s="21">
        <f>INDEX(cenník!$C$2:$I$568,MATCH($L158,cenník!$B$2:$B$557,0),MATCH(P$24,cenník!$C$1:$I$1,0))</f>
        <v>12.35</v>
      </c>
      <c r="Q158" s="21">
        <f t="shared" si="66"/>
        <v>0</v>
      </c>
      <c r="R158" s="22">
        <f t="shared" si="63"/>
        <v>0</v>
      </c>
      <c r="S158" s="21">
        <f t="shared" si="64"/>
        <v>12.35</v>
      </c>
      <c r="T158" s="21">
        <f t="shared" si="65"/>
        <v>0</v>
      </c>
      <c r="U158" s="21">
        <f>INDEX(cenník!$C$2:$I$568,MATCH($L158,cenník!$B$2:$B$557,0),MATCH(U$24,cenník!$C$1:$I$1,0))*O158</f>
        <v>0</v>
      </c>
      <c r="X158" s="25">
        <f t="shared" si="61"/>
        <v>0</v>
      </c>
      <c r="Y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164,$BB$2:$CA$2,0),MATCH($W$147,$AH$22:$AH$47,0)))*C164</f>
        <v>0</v>
      </c>
      <c r="AB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164,$BB$2:$CA$2,0),MATCH($W$147,$AH$22:$AH$47,0)))*C164</f>
        <v>0</v>
      </c>
      <c r="AC158" s="25"/>
      <c r="AD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164,$BB$2:$CA$2,0),MATCH($W$147,$AH$22:$AH$47,0)))*C164</f>
        <v>0</v>
      </c>
      <c r="DD158" s="19" t="s">
        <v>179</v>
      </c>
      <c r="DE158" s="19">
        <v>0</v>
      </c>
      <c r="DF158" s="19">
        <v>0</v>
      </c>
      <c r="DG158" s="19">
        <v>4</v>
      </c>
      <c r="DH158" s="19">
        <v>4</v>
      </c>
      <c r="DI158" s="19">
        <v>8</v>
      </c>
      <c r="DJ158" s="19">
        <v>12</v>
      </c>
      <c r="DK158" s="19">
        <v>12</v>
      </c>
      <c r="DL158" s="19">
        <v>16</v>
      </c>
      <c r="DM158" s="19">
        <v>20</v>
      </c>
      <c r="DN158" s="19">
        <v>20</v>
      </c>
      <c r="DO158" s="19">
        <v>24</v>
      </c>
      <c r="DP158" s="19">
        <v>28</v>
      </c>
      <c r="DQ158" s="19">
        <v>28</v>
      </c>
      <c r="DR158" s="19">
        <v>32</v>
      </c>
      <c r="DS158" s="19">
        <v>36</v>
      </c>
      <c r="DT158" s="19">
        <v>36</v>
      </c>
      <c r="DU158" s="19">
        <v>40</v>
      </c>
      <c r="DV158" s="19">
        <v>44</v>
      </c>
      <c r="DW158" s="19">
        <v>44</v>
      </c>
      <c r="DX158" s="19">
        <v>48</v>
      </c>
      <c r="DY158" s="19">
        <v>52</v>
      </c>
      <c r="GE158" s="26" t="s">
        <v>239</v>
      </c>
      <c r="GF158" s="19">
        <v>0</v>
      </c>
      <c r="GG158" s="19">
        <v>0</v>
      </c>
      <c r="GH158" s="19">
        <v>4</v>
      </c>
      <c r="GI158" s="19">
        <v>8</v>
      </c>
      <c r="GJ158" s="19">
        <v>8</v>
      </c>
      <c r="GK158" s="19">
        <v>12</v>
      </c>
      <c r="GL158" s="19">
        <v>16</v>
      </c>
      <c r="GM158" s="19">
        <v>16</v>
      </c>
      <c r="GN158" s="19">
        <v>20</v>
      </c>
      <c r="GO158" s="19">
        <v>24</v>
      </c>
      <c r="GP158" s="19">
        <v>28</v>
      </c>
      <c r="GQ158" s="19">
        <v>28</v>
      </c>
      <c r="GR158" s="19">
        <v>32</v>
      </c>
      <c r="GS158" s="19">
        <v>36</v>
      </c>
      <c r="GT158" s="19">
        <v>36</v>
      </c>
      <c r="GU158" s="19">
        <v>40</v>
      </c>
      <c r="GV158" s="19">
        <v>44</v>
      </c>
      <c r="GW158" s="19">
        <v>44</v>
      </c>
      <c r="GX158" s="19">
        <v>48</v>
      </c>
      <c r="GY158" s="19">
        <v>52</v>
      </c>
      <c r="GZ158" s="19">
        <v>56</v>
      </c>
      <c r="HA158" s="19">
        <v>56</v>
      </c>
      <c r="HB158" s="19">
        <v>60</v>
      </c>
      <c r="HC158" s="19">
        <v>64</v>
      </c>
      <c r="HD158" s="19">
        <v>64</v>
      </c>
      <c r="HE158" s="19">
        <v>68</v>
      </c>
      <c r="HF158" s="19">
        <v>72</v>
      </c>
      <c r="HG158" s="19">
        <v>72</v>
      </c>
      <c r="HH158" s="19">
        <v>76</v>
      </c>
      <c r="HI158" s="19">
        <v>80</v>
      </c>
      <c r="HJ158" s="19">
        <v>84</v>
      </c>
      <c r="HK158" s="19">
        <v>84</v>
      </c>
      <c r="HL158" s="19">
        <v>88</v>
      </c>
      <c r="HM158" s="19">
        <v>92</v>
      </c>
      <c r="HN158" s="19">
        <v>92</v>
      </c>
      <c r="HO158" s="19">
        <v>96</v>
      </c>
      <c r="HP158" s="19">
        <v>100</v>
      </c>
      <c r="HQ158" s="19">
        <v>104</v>
      </c>
      <c r="HR158" s="19">
        <v>104</v>
      </c>
      <c r="HS158" s="19">
        <v>108</v>
      </c>
      <c r="HT158" s="19">
        <v>112</v>
      </c>
      <c r="HU158" s="19">
        <v>112</v>
      </c>
      <c r="HV158" s="19">
        <v>116</v>
      </c>
      <c r="HW158" s="19">
        <v>120</v>
      </c>
      <c r="HX158" s="19">
        <v>120</v>
      </c>
      <c r="HY158" s="19">
        <v>124</v>
      </c>
      <c r="HZ158" s="19">
        <v>128</v>
      </c>
      <c r="IA158" s="19">
        <v>132</v>
      </c>
      <c r="IB158" s="19">
        <v>132</v>
      </c>
      <c r="IC158" s="19">
        <v>136</v>
      </c>
      <c r="ID158" s="19">
        <v>140</v>
      </c>
    </row>
    <row r="159" spans="1:238" x14ac:dyDescent="0.25">
      <c r="A159" s="8"/>
      <c r="B159" s="5" t="s">
        <v>61</v>
      </c>
      <c r="C159" s="8"/>
      <c r="D159" s="6" t="s">
        <v>458</v>
      </c>
      <c r="E159" s="8">
        <v>0</v>
      </c>
      <c r="F159" s="5"/>
      <c r="G159" s="5"/>
      <c r="H159" s="5"/>
      <c r="I159" s="5"/>
      <c r="J159" s="5" t="s">
        <v>95</v>
      </c>
      <c r="K159" s="4"/>
      <c r="L159" s="6" t="s">
        <v>301</v>
      </c>
      <c r="M159" s="14">
        <f>INDEX(cenník!$C$2:$I$568,MATCH($L159,cenník!$B$2:$B$557,0),MATCH(M$24,cenník!$C$1:$I$1,0))</f>
        <v>858024</v>
      </c>
      <c r="N159" s="14" t="str">
        <f>INDEX(cenník!$C$2:$I$568,MATCH($L159,cenník!$B$2:$B$557,0),MATCH(N$24,cenník!$C$1:$I$1,0))</f>
        <v>ks</v>
      </c>
      <c r="O159" s="14">
        <f>SUM(X147:X162)</f>
        <v>0</v>
      </c>
      <c r="P159" s="21">
        <f>INDEX(cenník!$C$2:$I$568,MATCH($L159,cenník!$B$2:$B$557,0),MATCH(P$24,cenník!$C$1:$I$1,0))</f>
        <v>12.92</v>
      </c>
      <c r="Q159" s="21">
        <f t="shared" si="66"/>
        <v>0</v>
      </c>
      <c r="R159" s="22">
        <f t="shared" si="63"/>
        <v>0</v>
      </c>
      <c r="S159" s="21">
        <f t="shared" si="64"/>
        <v>12.92</v>
      </c>
      <c r="T159" s="21">
        <f t="shared" si="65"/>
        <v>0</v>
      </c>
      <c r="U159" s="21">
        <f>INDEX(cenník!$C$2:$I$568,MATCH($L159,cenník!$B$2:$B$557,0),MATCH(U$24,cenník!$C$1:$I$1,0))*O159</f>
        <v>0</v>
      </c>
      <c r="X159" s="25">
        <f t="shared" si="61"/>
        <v>0</v>
      </c>
      <c r="Y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165,$BB$2:$CA$2,0),MATCH($W$147,$AH$22:$AH$47,0)))*C165</f>
        <v>0</v>
      </c>
      <c r="AB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165,$BB$2:$CA$2,0),MATCH($W$147,$AH$22:$AH$47,0)))*C165</f>
        <v>0</v>
      </c>
      <c r="AC159" s="25"/>
      <c r="AD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165,$BB$2:$CA$2,0),MATCH($W$147,$AH$22:$AH$47,0)))*C165</f>
        <v>0</v>
      </c>
      <c r="DD159" s="19" t="s">
        <v>236</v>
      </c>
      <c r="DE159" s="19">
        <v>0</v>
      </c>
      <c r="DF159" s="19">
        <v>0</v>
      </c>
      <c r="DG159" s="19">
        <v>4</v>
      </c>
      <c r="DH159" s="19">
        <v>0</v>
      </c>
      <c r="DI159" s="19">
        <v>2</v>
      </c>
      <c r="DJ159" s="19">
        <v>4</v>
      </c>
      <c r="DK159" s="19">
        <v>0</v>
      </c>
      <c r="DL159" s="19">
        <v>2</v>
      </c>
      <c r="DM159" s="19">
        <v>4</v>
      </c>
      <c r="DN159" s="19">
        <v>0</v>
      </c>
      <c r="DO159" s="19">
        <v>2</v>
      </c>
      <c r="DP159" s="19">
        <v>4</v>
      </c>
      <c r="DQ159" s="19">
        <v>0</v>
      </c>
      <c r="DR159" s="19">
        <v>2</v>
      </c>
      <c r="DS159" s="19">
        <v>4</v>
      </c>
      <c r="DT159" s="19">
        <v>0</v>
      </c>
      <c r="DU159" s="19">
        <v>2</v>
      </c>
      <c r="DV159" s="19">
        <v>4</v>
      </c>
      <c r="DW159" s="19">
        <v>0</v>
      </c>
      <c r="DX159" s="19">
        <v>2</v>
      </c>
      <c r="DY159" s="19">
        <v>4</v>
      </c>
      <c r="GE159" s="26" t="s">
        <v>326</v>
      </c>
      <c r="GF159" s="19">
        <v>0</v>
      </c>
      <c r="GG159" s="19">
        <v>0</v>
      </c>
      <c r="GH159" s="19">
        <v>2</v>
      </c>
      <c r="GI159" s="19">
        <v>4</v>
      </c>
      <c r="GJ159" s="19">
        <v>0</v>
      </c>
      <c r="GK159" s="19">
        <v>2</v>
      </c>
      <c r="GL159" s="19">
        <v>4</v>
      </c>
      <c r="GM159" s="19">
        <v>0</v>
      </c>
      <c r="GN159" s="19">
        <v>2</v>
      </c>
      <c r="GO159" s="19">
        <v>2</v>
      </c>
      <c r="GP159" s="19">
        <v>4</v>
      </c>
      <c r="GQ159" s="19">
        <v>0</v>
      </c>
      <c r="GR159" s="19">
        <v>2</v>
      </c>
      <c r="GS159" s="19">
        <v>4</v>
      </c>
      <c r="GT159" s="19">
        <v>0</v>
      </c>
      <c r="GU159" s="19">
        <v>2</v>
      </c>
      <c r="GV159" s="19">
        <v>4</v>
      </c>
      <c r="GW159" s="19">
        <v>0</v>
      </c>
      <c r="GX159" s="19">
        <v>0</v>
      </c>
      <c r="GY159" s="19">
        <v>2</v>
      </c>
      <c r="GZ159" s="19">
        <v>4</v>
      </c>
      <c r="HA159" s="19">
        <v>0</v>
      </c>
      <c r="HB159" s="19">
        <v>2</v>
      </c>
      <c r="HC159" s="19">
        <v>4</v>
      </c>
      <c r="HD159" s="19">
        <v>0</v>
      </c>
      <c r="HE159" s="19">
        <v>2</v>
      </c>
      <c r="HF159" s="19"/>
      <c r="HG159" s="19"/>
      <c r="HH159" s="19"/>
      <c r="HI159" s="19"/>
      <c r="HJ159" s="19"/>
      <c r="HK159" s="19"/>
      <c r="HL159" s="19"/>
      <c r="HM159" s="19"/>
      <c r="HN159" s="19"/>
      <c r="HO159" s="19"/>
      <c r="HP159" s="19"/>
      <c r="HQ159" s="19"/>
      <c r="HR159" s="19"/>
      <c r="HS159" s="19"/>
      <c r="HT159" s="19"/>
      <c r="HU159" s="19"/>
      <c r="HV159" s="19"/>
      <c r="HW159" s="19"/>
      <c r="HX159" s="19"/>
      <c r="HY159" s="19"/>
      <c r="HZ159" s="19"/>
      <c r="IA159" s="19"/>
      <c r="IB159" s="19"/>
      <c r="IC159" s="19"/>
      <c r="ID159" s="19"/>
    </row>
    <row r="160" spans="1:238" x14ac:dyDescent="0.25">
      <c r="A160" s="8"/>
      <c r="B160" s="5" t="s">
        <v>61</v>
      </c>
      <c r="C160" s="8"/>
      <c r="D160" s="6" t="s">
        <v>460</v>
      </c>
      <c r="E160" s="8">
        <v>0</v>
      </c>
      <c r="F160" s="5"/>
      <c r="G160" s="5"/>
      <c r="H160" s="5"/>
      <c r="I160" s="5"/>
      <c r="J160" s="5" t="s">
        <v>461</v>
      </c>
      <c r="K160" s="4"/>
      <c r="L160" s="6" t="str">
        <f>INDEX((AC5:AD14),MATCH(I155,AB5:AB14,0),MATCH(E158,AC4:AD4,0))</f>
        <v>BUF35</v>
      </c>
      <c r="M160" s="14">
        <f>INDEX(cenník!$C$2:$I$568,MATCH($L160,cenník!$B$2:$B$557,0),MATCH(M$24,cenník!$C$1:$I$1,0))</f>
        <v>897335</v>
      </c>
      <c r="N160" s="14" t="str">
        <f>INDEX(cenník!$C$2:$I$568,MATCH($L160,cenník!$B$2:$B$557,0),MATCH(N$24,cenník!$C$1:$I$1,0))</f>
        <v>ks</v>
      </c>
      <c r="O160" s="14">
        <f>SUM(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IF(A166=0,0,IF((A166&gt;0),C166*4)),IF(A167=0,0,IF((A167&gt;0),C167*4)),IF(A168=0,0,IF((A168&gt;0),C168*4)),,IF(A169=0,0,IF((A169&gt;0),C169*4)))</f>
        <v>0</v>
      </c>
      <c r="P160" s="21">
        <f>INDEX(cenník!$C$2:$I$568,MATCH($L160,cenník!$B$2:$B$557,0),MATCH(P$24,cenník!$C$1:$I$1,0))</f>
        <v>0.62</v>
      </c>
      <c r="Q160" s="21">
        <f t="shared" si="66"/>
        <v>0</v>
      </c>
      <c r="R160" s="22">
        <f t="shared" si="63"/>
        <v>0</v>
      </c>
      <c r="S160" s="21">
        <f t="shared" si="64"/>
        <v>0.62</v>
      </c>
      <c r="T160" s="21">
        <f t="shared" si="65"/>
        <v>0</v>
      </c>
      <c r="U160" s="21">
        <f>INDEX(cenník!$C$2:$I$568,MATCH($L160,cenník!$B$2:$B$557,0),MATCH(U$24,cenník!$C$1:$I$1,0))*O160</f>
        <v>0</v>
      </c>
      <c r="X160" s="25">
        <f t="shared" si="61"/>
        <v>0</v>
      </c>
      <c r="Y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166,$BB$2:$CA$2,0),MATCH($W$147,$AH$22:$AH$47,0)))*C166</f>
        <v>0</v>
      </c>
      <c r="AB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166,$BB$2:$CA$2,0),MATCH($W$147,$AH$22:$AH$47,0)))*C166</f>
        <v>0</v>
      </c>
      <c r="AC160" s="25"/>
      <c r="AD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166,$BB$2:$CA$2,0),MATCH($W$147,$AH$22:$AH$47,0)))*C166</f>
        <v>0</v>
      </c>
      <c r="DD160" s="19" t="s">
        <v>238</v>
      </c>
      <c r="DE160" s="19">
        <v>0</v>
      </c>
      <c r="DF160" s="19">
        <v>2</v>
      </c>
      <c r="DG160" s="19">
        <v>0</v>
      </c>
      <c r="DH160" s="19">
        <v>4</v>
      </c>
      <c r="DI160" s="19">
        <v>4</v>
      </c>
      <c r="DJ160" s="19">
        <v>4</v>
      </c>
      <c r="DK160" s="19">
        <v>8</v>
      </c>
      <c r="DL160" s="19">
        <v>8</v>
      </c>
      <c r="DM160" s="19">
        <v>8</v>
      </c>
      <c r="DN160" s="19">
        <v>12</v>
      </c>
      <c r="DO160" s="19">
        <v>12</v>
      </c>
      <c r="DP160" s="19">
        <v>12</v>
      </c>
      <c r="DQ160" s="19">
        <v>16</v>
      </c>
      <c r="DR160" s="19">
        <v>16</v>
      </c>
      <c r="DS160" s="19">
        <v>16</v>
      </c>
      <c r="DT160" s="19">
        <v>20</v>
      </c>
      <c r="DU160" s="19">
        <v>20</v>
      </c>
      <c r="DV160" s="19">
        <v>20</v>
      </c>
      <c r="DW160" s="19">
        <v>24</v>
      </c>
      <c r="DX160" s="19">
        <v>24</v>
      </c>
      <c r="DY160" s="19">
        <v>24</v>
      </c>
      <c r="GE160" s="26" t="s">
        <v>327</v>
      </c>
      <c r="GF160" s="19">
        <v>0</v>
      </c>
      <c r="GG160" s="19">
        <v>2</v>
      </c>
      <c r="GH160" s="19">
        <v>2</v>
      </c>
      <c r="GI160" s="19">
        <v>2</v>
      </c>
      <c r="GJ160" s="19">
        <v>6</v>
      </c>
      <c r="GK160" s="19">
        <v>6</v>
      </c>
      <c r="GL160" s="19">
        <v>6</v>
      </c>
      <c r="GM160" s="19">
        <v>10</v>
      </c>
      <c r="GN160" s="19">
        <v>10</v>
      </c>
      <c r="GO160" s="19">
        <v>12</v>
      </c>
      <c r="GP160" s="19">
        <v>12</v>
      </c>
      <c r="GQ160" s="19">
        <v>16</v>
      </c>
      <c r="GR160" s="19">
        <v>16</v>
      </c>
      <c r="GS160" s="19">
        <v>16</v>
      </c>
      <c r="GT160" s="19">
        <v>20</v>
      </c>
      <c r="GU160" s="19">
        <v>20</v>
      </c>
      <c r="GV160" s="19">
        <v>20</v>
      </c>
      <c r="GW160" s="19">
        <v>24</v>
      </c>
      <c r="GX160" s="19">
        <v>26</v>
      </c>
      <c r="GY160" s="19">
        <v>26</v>
      </c>
      <c r="GZ160" s="19">
        <v>26</v>
      </c>
      <c r="HA160" s="19">
        <v>30</v>
      </c>
      <c r="HB160" s="19">
        <v>30</v>
      </c>
      <c r="HC160" s="19">
        <v>30</v>
      </c>
      <c r="HD160" s="19">
        <v>34</v>
      </c>
      <c r="HE160" s="19">
        <v>34</v>
      </c>
      <c r="HF160" s="19"/>
      <c r="HG160" s="19"/>
      <c r="HH160" s="19"/>
      <c r="HI160" s="19"/>
      <c r="HJ160" s="19"/>
      <c r="HK160" s="19"/>
      <c r="HL160" s="19"/>
      <c r="HM160" s="19"/>
      <c r="HN160" s="19"/>
      <c r="HO160" s="19"/>
      <c r="HP160" s="19"/>
      <c r="HQ160" s="19"/>
      <c r="HR160" s="19"/>
      <c r="HS160" s="19"/>
      <c r="HT160" s="19"/>
      <c r="HU160" s="19"/>
      <c r="HV160" s="19"/>
      <c r="HW160" s="19"/>
      <c r="HX160" s="19"/>
      <c r="HY160" s="19"/>
      <c r="HZ160" s="19"/>
      <c r="IA160" s="19"/>
      <c r="IB160" s="19"/>
      <c r="IC160" s="19"/>
      <c r="ID160" s="19"/>
    </row>
    <row r="161" spans="1:238" x14ac:dyDescent="0.25">
      <c r="A161" s="8"/>
      <c r="B161" s="5" t="s">
        <v>61</v>
      </c>
      <c r="C161" s="8"/>
      <c r="D161" s="6" t="s">
        <v>474</v>
      </c>
      <c r="E161" s="4"/>
      <c r="F161" s="222"/>
      <c r="G161" s="222"/>
      <c r="H161" s="222"/>
      <c r="I161" s="222"/>
      <c r="J161" s="4"/>
      <c r="K161" s="4"/>
      <c r="L161" s="6" t="str">
        <f>INDEX((AC15:AD15),MATCH(E158,AC4:AD4,0))</f>
        <v>PUF</v>
      </c>
      <c r="M161" s="14">
        <f>INDEX(cenník!$C$2:$I$568,MATCH($L161,cenník!$B$2:$B$557,0),MATCH(M$24,cenník!$C$1:$I$1,0))</f>
        <v>897300</v>
      </c>
      <c r="N161" s="14" t="str">
        <f>INDEX(cenník!$C$2:$I$568,MATCH($L161,cenník!$B$2:$B$557,0),MATCH(N$24,cenník!$C$1:$I$1,0))</f>
        <v>ks</v>
      </c>
      <c r="O161" s="14">
        <f>SUM(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,IF(A167=0,0,IF(A167&gt;0,(A167-1)*2*C167)),IF(A168=0,0,IF(A168&gt;0,(A168-1)*2*C168)),IF(A169=0,0,IF(A169&gt;0,(A169-1)*2*C169)))</f>
        <v>0</v>
      </c>
      <c r="P161" s="21">
        <f>INDEX(cenník!$C$2:$I$568,MATCH($L161,cenník!$B$2:$B$557,0),MATCH(P$24,cenník!$C$1:$I$1,0))</f>
        <v>0.56999999999999995</v>
      </c>
      <c r="Q161" s="21">
        <f t="shared" si="66"/>
        <v>0</v>
      </c>
      <c r="R161" s="22">
        <f>$E$159</f>
        <v>0</v>
      </c>
      <c r="S161" s="21">
        <f t="shared" si="64"/>
        <v>0.56999999999999995</v>
      </c>
      <c r="T161" s="21">
        <f t="shared" si="65"/>
        <v>0</v>
      </c>
      <c r="U161" s="21">
        <f>INDEX(cenník!$C$2:$I$568,MATCH($L161,cenník!$B$2:$B$557,0),MATCH(U$24,cenník!$C$1:$I$1,0))*O161</f>
        <v>0</v>
      </c>
      <c r="X161" s="25">
        <f t="shared" si="61"/>
        <v>0</v>
      </c>
      <c r="Y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167,$BB$2:$CA$2,0),MATCH($W$147,$AH$22:$AH$47,0)))*C167</f>
        <v>0</v>
      </c>
      <c r="AB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167,$BB$2:$CA$2,0),MATCH($W$147,$AH$22:$AH$47,0)))*C167</f>
        <v>0</v>
      </c>
      <c r="AC161" s="25"/>
      <c r="AD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167,$BB$2:$CA$2,0),MATCH($W$147,$AH$22:$AH$47,0)))*C167</f>
        <v>0</v>
      </c>
      <c r="DD161" s="19" t="s">
        <v>239</v>
      </c>
      <c r="DE161" s="19">
        <v>0</v>
      </c>
      <c r="DF161" s="19">
        <v>0</v>
      </c>
      <c r="DG161" s="19">
        <v>4</v>
      </c>
      <c r="DH161" s="19">
        <v>4</v>
      </c>
      <c r="DI161" s="19">
        <v>8</v>
      </c>
      <c r="DJ161" s="19">
        <v>12</v>
      </c>
      <c r="DK161" s="19">
        <v>12</v>
      </c>
      <c r="DL161" s="19">
        <v>16</v>
      </c>
      <c r="DM161" s="19">
        <v>20</v>
      </c>
      <c r="DN161" s="19">
        <v>20</v>
      </c>
      <c r="DO161" s="19">
        <v>24</v>
      </c>
      <c r="DP161" s="19">
        <v>28</v>
      </c>
      <c r="DQ161" s="19">
        <v>28</v>
      </c>
      <c r="DR161" s="19">
        <v>32</v>
      </c>
      <c r="DS161" s="19">
        <v>36</v>
      </c>
      <c r="DT161" s="19">
        <v>36</v>
      </c>
      <c r="DU161" s="19">
        <v>40</v>
      </c>
      <c r="DV161" s="19">
        <v>44</v>
      </c>
      <c r="DW161" s="19">
        <v>44</v>
      </c>
      <c r="DX161" s="19">
        <v>48</v>
      </c>
      <c r="DY161" s="19">
        <v>52</v>
      </c>
      <c r="GE161" s="26" t="s">
        <v>328</v>
      </c>
      <c r="GF161" s="19">
        <v>0</v>
      </c>
      <c r="GG161" s="19">
        <v>0</v>
      </c>
      <c r="GH161" s="19">
        <v>2</v>
      </c>
      <c r="GI161" s="19">
        <v>4</v>
      </c>
      <c r="GJ161" s="19">
        <v>4</v>
      </c>
      <c r="GK161" s="19">
        <v>6</v>
      </c>
      <c r="GL161" s="19">
        <v>8</v>
      </c>
      <c r="GM161" s="19">
        <v>8</v>
      </c>
      <c r="GN161" s="19">
        <v>10</v>
      </c>
      <c r="GO161" s="19">
        <v>12</v>
      </c>
      <c r="GP161" s="19">
        <v>14</v>
      </c>
      <c r="GQ161" s="19">
        <v>14</v>
      </c>
      <c r="GR161" s="19">
        <v>16</v>
      </c>
      <c r="GS161" s="19">
        <v>18</v>
      </c>
      <c r="GT161" s="19">
        <v>18</v>
      </c>
      <c r="GU161" s="19">
        <v>20</v>
      </c>
      <c r="GV161" s="19">
        <v>22</v>
      </c>
      <c r="GW161" s="19">
        <v>22</v>
      </c>
      <c r="GX161" s="19">
        <v>24</v>
      </c>
      <c r="GY161" s="19">
        <v>26</v>
      </c>
      <c r="GZ161" s="19">
        <v>28</v>
      </c>
      <c r="HA161" s="19">
        <v>28</v>
      </c>
      <c r="HB161" s="19">
        <v>30</v>
      </c>
      <c r="HC161" s="19">
        <v>32</v>
      </c>
      <c r="HD161" s="19">
        <v>32</v>
      </c>
      <c r="HE161" s="19">
        <v>34</v>
      </c>
      <c r="HF161" s="19"/>
      <c r="HG161" s="19"/>
      <c r="HH161" s="19"/>
      <c r="HI161" s="19"/>
      <c r="HJ161" s="19"/>
      <c r="HK161" s="19"/>
      <c r="HL161" s="19"/>
      <c r="HM161" s="19"/>
      <c r="HN161" s="19"/>
      <c r="HO161" s="19"/>
      <c r="HP161" s="19"/>
      <c r="HQ161" s="19"/>
      <c r="HR161" s="19"/>
      <c r="HS161" s="19"/>
      <c r="HT161" s="19"/>
      <c r="HU161" s="19"/>
      <c r="HV161" s="19"/>
      <c r="HW161" s="19"/>
      <c r="HX161" s="19"/>
      <c r="HY161" s="19"/>
      <c r="HZ161" s="19"/>
      <c r="IA161" s="19"/>
      <c r="IB161" s="19"/>
      <c r="IC161" s="19"/>
      <c r="ID161" s="19"/>
    </row>
    <row r="162" spans="1:238" x14ac:dyDescent="0.25">
      <c r="A162" s="8"/>
      <c r="B162" s="5" t="s">
        <v>61</v>
      </c>
      <c r="C162" s="8"/>
      <c r="D162" s="44" t="s">
        <v>563</v>
      </c>
      <c r="E162" s="4"/>
      <c r="F162" s="222"/>
      <c r="G162" s="222"/>
      <c r="H162" s="222"/>
      <c r="I162" s="222"/>
      <c r="K162" s="4"/>
      <c r="L162" s="6" t="str">
        <f>INDEX((AE5:AE14),MATCH(I155,AB5:AB14,0))</f>
        <v>SAM8X30E</v>
      </c>
      <c r="M162" s="14">
        <f>INDEX(cenník!$C$2:$I$568,MATCH($L162,cenník!$B$2:$B$557,0),MATCH(M$24,cenník!$C$1:$I$1,0))</f>
        <v>898530</v>
      </c>
      <c r="N162" s="14" t="str">
        <f>INDEX(cenník!$C$2:$I$568,MATCH($L162,cenník!$B$2:$B$557,0),MATCH(N$24,cenník!$C$1:$I$1,0))</f>
        <v>ks</v>
      </c>
      <c r="O162" s="14">
        <f>IF(L162="-------",0,SUM(O160:O161))</f>
        <v>0</v>
      </c>
      <c r="P162" s="21">
        <f>INDEX(cenník!$C$2:$I$568,MATCH($L162,cenník!$B$2:$B$557,0),MATCH(P$24,cenník!$C$1:$I$1,0))</f>
        <v>0.18</v>
      </c>
      <c r="Q162" s="21">
        <f t="shared" si="66"/>
        <v>0</v>
      </c>
      <c r="R162" s="22">
        <f t="shared" si="63"/>
        <v>0</v>
      </c>
      <c r="S162" s="21">
        <f t="shared" si="64"/>
        <v>0.18</v>
      </c>
      <c r="T162" s="21">
        <f t="shared" si="65"/>
        <v>0</v>
      </c>
      <c r="U162" s="21">
        <f>INDEX(cenník!$C$2:$I$568,MATCH($L162,cenník!$B$2:$B$557,0),MATCH(U$24,cenník!$C$1:$I$1,0))*O162</f>
        <v>0</v>
      </c>
      <c r="X162" s="25">
        <f t="shared" si="61"/>
        <v>0</v>
      </c>
      <c r="Y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168,$BB$2:$CA$2,0),MATCH($W$147,$AH$22:$AH$47,0)))*C168</f>
        <v>0</v>
      </c>
      <c r="AB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168,$BB$2:$CA$2,0),MATCH($W$147,$AH$22:$AH$47,0)))*C168</f>
        <v>0</v>
      </c>
      <c r="AC162" s="25"/>
      <c r="AD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168,$BB$2:$CA$2,0),MATCH($W$147,$AH$22:$AH$47,0)))*C168</f>
        <v>0</v>
      </c>
      <c r="DD162" s="26" t="s">
        <v>326</v>
      </c>
      <c r="DE162" s="19">
        <v>0</v>
      </c>
      <c r="DF162" s="19"/>
      <c r="DG162" s="19"/>
      <c r="DH162" s="19"/>
      <c r="DI162" s="19"/>
      <c r="DJ162" s="19"/>
      <c r="DK162" s="19"/>
      <c r="DL162" s="19"/>
      <c r="DM162" s="19"/>
      <c r="DN162" s="19"/>
      <c r="DO162" s="19"/>
      <c r="DP162" s="19"/>
      <c r="DQ162" s="19"/>
      <c r="DR162" s="19"/>
      <c r="DS162" s="19"/>
      <c r="DT162" s="19"/>
      <c r="DU162" s="19"/>
      <c r="DV162" s="19"/>
      <c r="DW162" s="19"/>
      <c r="DX162" s="19"/>
      <c r="DY162" s="19"/>
      <c r="EC162" s="19"/>
      <c r="ED162" s="19"/>
      <c r="EE162" s="19"/>
      <c r="EF162" s="19"/>
      <c r="EG162" s="19"/>
      <c r="EH162" s="19"/>
      <c r="EI162" s="19"/>
      <c r="EJ162" s="19"/>
      <c r="EK162" s="19"/>
      <c r="EL162" s="19"/>
      <c r="EM162" s="19"/>
      <c r="EN162" s="19"/>
      <c r="EO162" s="19"/>
      <c r="EP162" s="19"/>
      <c r="EQ162" s="19"/>
      <c r="ER162" s="19"/>
      <c r="ES162" s="19"/>
      <c r="ET162" s="19"/>
      <c r="EU162" s="19"/>
      <c r="EV162" s="19"/>
      <c r="EW162" s="19"/>
      <c r="EX162" s="19"/>
      <c r="EY162" s="19"/>
      <c r="EZ162" s="19"/>
      <c r="FA162" s="19"/>
      <c r="FB162" s="19"/>
      <c r="FC162" s="19"/>
      <c r="FD162" s="19"/>
      <c r="FE162" s="19"/>
      <c r="FF162" s="19"/>
      <c r="FG162" s="19"/>
      <c r="FH162" s="19"/>
      <c r="FI162" s="19"/>
      <c r="FJ162" s="19"/>
      <c r="FK162" s="19"/>
      <c r="FL162" s="19"/>
      <c r="FM162" s="19"/>
      <c r="FN162" s="19"/>
      <c r="FO162" s="19"/>
      <c r="FP162" s="19"/>
      <c r="FQ162" s="19"/>
      <c r="FR162" s="19"/>
      <c r="FS162" s="19"/>
      <c r="FT162" s="19"/>
      <c r="FU162" s="19"/>
      <c r="FV162" s="19"/>
      <c r="FW162" s="19"/>
      <c r="FX162" s="19"/>
      <c r="FY162" s="19"/>
      <c r="FZ162" s="19"/>
      <c r="GA162" s="19"/>
      <c r="GB162" s="19"/>
    </row>
    <row r="163" spans="1:238" x14ac:dyDescent="0.25">
      <c r="A163" s="8"/>
      <c r="B163" s="5" t="s">
        <v>61</v>
      </c>
      <c r="C163" s="8"/>
      <c r="D163" s="4"/>
      <c r="E163" s="4"/>
      <c r="F163" s="222"/>
      <c r="G163" s="222"/>
      <c r="H163" s="222"/>
      <c r="I163" s="222"/>
      <c r="J163" s="4"/>
      <c r="K163" s="4"/>
      <c r="L163" s="6" t="s">
        <v>129</v>
      </c>
      <c r="M163" s="14">
        <f>INDEX(cenník!$C$2:$I$568,MATCH($L163,cenník!$B$2:$B$557,0),MATCH(M$24,cenník!$C$1:$I$1,0))</f>
        <v>890101</v>
      </c>
      <c r="N163" s="14" t="str">
        <f>INDEX(cenník!$C$2:$I$568,MATCH($L163,cenník!$B$2:$B$557,0),MATCH(N$24,cenník!$C$1:$I$1,0))</f>
        <v>ks</v>
      </c>
      <c r="O163" s="14">
        <f>IF(L163="-------",0,SUM(O160:O161))</f>
        <v>0</v>
      </c>
      <c r="P163" s="21">
        <f>INDEX(cenník!$C$2:$I$568,MATCH($L163,cenník!$B$2:$B$557,0),MATCH(P$24,cenník!$C$1:$I$1,0))</f>
        <v>0.78</v>
      </c>
      <c r="Q163" s="21">
        <f t="shared" si="66"/>
        <v>0</v>
      </c>
      <c r="R163" s="22">
        <f t="shared" si="63"/>
        <v>0</v>
      </c>
      <c r="S163" s="21">
        <f t="shared" si="64"/>
        <v>0.78</v>
      </c>
      <c r="T163" s="21">
        <f t="shared" si="65"/>
        <v>0</v>
      </c>
      <c r="U163" s="21">
        <f>INDEX(cenník!$C$2:$I$568,MATCH($L163,cenník!$B$2:$B$557,0),MATCH(U$24,cenník!$C$1:$I$1,0))*O163</f>
        <v>0</v>
      </c>
      <c r="Y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$157,$BA$3:$BA$17,0),MATCH(A169,$BB$2:$CA$2,0),MATCH($W$147,$AH$22:$AH$47,0)))*C169</f>
        <v>0</v>
      </c>
      <c r="AB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169,$BB$2:$CA$2,0),MATCH($W$147,$AH$22:$AH$47,0)))*C169</f>
        <v>0</v>
      </c>
      <c r="AC163" s="25"/>
      <c r="AD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$156,$BA$3:$BA$17,0),MATCH(A169,$BB$2:$CA$2,0),MATCH($W$147,$AH$22:$AH$47,0)))*C169</f>
        <v>0</v>
      </c>
      <c r="CB163" s="19"/>
      <c r="CC163" s="19"/>
      <c r="CD163" s="19"/>
      <c r="CE163" s="19"/>
      <c r="CF163" s="19"/>
      <c r="CG163" s="19"/>
      <c r="CH163" s="19"/>
      <c r="CI163" s="19"/>
      <c r="CJ163" s="19"/>
      <c r="CK163" s="19"/>
      <c r="CL163" s="19"/>
      <c r="CM163" s="19"/>
      <c r="CN163" s="19"/>
      <c r="CO163" s="19"/>
      <c r="CP163" s="19"/>
      <c r="CQ163" s="19"/>
      <c r="CR163" s="19"/>
      <c r="CS163" s="19"/>
      <c r="CT163" s="19"/>
      <c r="CU163" s="19"/>
      <c r="CV163" s="19"/>
      <c r="CW163" s="19"/>
      <c r="CX163" s="19"/>
      <c r="CY163" s="19"/>
      <c r="CZ163" s="19"/>
      <c r="DD163" s="26" t="s">
        <v>327</v>
      </c>
      <c r="DE163" s="19">
        <v>0</v>
      </c>
      <c r="DF163" s="19"/>
      <c r="DG163" s="19"/>
      <c r="DH163" s="19"/>
      <c r="DI163" s="19"/>
      <c r="DJ163" s="19"/>
      <c r="DK163" s="19"/>
      <c r="DL163" s="19"/>
      <c r="DM163" s="19"/>
      <c r="DN163" s="19"/>
      <c r="DO163" s="19"/>
      <c r="DP163" s="19"/>
      <c r="DQ163" s="19"/>
      <c r="DR163" s="19"/>
      <c r="DS163" s="19"/>
      <c r="DT163" s="19"/>
      <c r="DU163" s="19"/>
      <c r="DV163" s="19"/>
      <c r="DW163" s="19"/>
      <c r="DX163" s="19"/>
      <c r="DY163" s="19"/>
      <c r="EC163" s="19"/>
      <c r="ED163" s="19"/>
      <c r="EE163" s="19"/>
      <c r="EF163" s="19"/>
      <c r="EG163" s="19"/>
      <c r="EH163" s="19"/>
      <c r="EI163" s="19"/>
      <c r="EJ163" s="19"/>
      <c r="EK163" s="19"/>
      <c r="EL163" s="19"/>
      <c r="EM163" s="19"/>
      <c r="EN163" s="19"/>
      <c r="EO163" s="19"/>
      <c r="EP163" s="19"/>
      <c r="EQ163" s="19"/>
      <c r="ER163" s="19"/>
      <c r="ES163" s="19"/>
      <c r="ET163" s="19"/>
      <c r="EU163" s="19"/>
      <c r="EV163" s="19"/>
      <c r="EW163" s="19"/>
      <c r="EX163" s="19"/>
      <c r="EY163" s="19"/>
      <c r="EZ163" s="19"/>
      <c r="FA163" s="19"/>
      <c r="FB163" s="19"/>
      <c r="FC163" s="19"/>
      <c r="FD163" s="19"/>
      <c r="FE163" s="19"/>
      <c r="FF163" s="19"/>
      <c r="FG163" s="19"/>
      <c r="FH163" s="19"/>
      <c r="FI163" s="19"/>
      <c r="FJ163" s="19"/>
      <c r="FK163" s="19"/>
      <c r="FL163" s="19"/>
      <c r="FM163" s="19"/>
      <c r="FN163" s="19"/>
      <c r="FO163" s="19"/>
      <c r="FP163" s="19"/>
      <c r="FQ163" s="19"/>
      <c r="FR163" s="19"/>
      <c r="FS163" s="19"/>
      <c r="FT163" s="19"/>
      <c r="FU163" s="19"/>
      <c r="FV163" s="19"/>
      <c r="FW163" s="19"/>
      <c r="FX163" s="19"/>
      <c r="FY163" s="19"/>
      <c r="FZ163" s="19"/>
      <c r="GA163" s="19"/>
      <c r="GB163" s="19"/>
    </row>
    <row r="164" spans="1:238" x14ac:dyDescent="0.25">
      <c r="A164" s="8"/>
      <c r="B164" s="5" t="s">
        <v>61</v>
      </c>
      <c r="C164" s="8"/>
      <c r="D164" s="4"/>
      <c r="E164" s="4"/>
      <c r="F164" s="222"/>
      <c r="G164" s="222"/>
      <c r="H164" s="222"/>
      <c r="I164" s="222"/>
      <c r="J164" s="4"/>
      <c r="K164" s="4"/>
      <c r="L164" s="6" t="s">
        <v>65</v>
      </c>
      <c r="M164" s="14">
        <f>INDEX(cenník!$C$2:$I$568,MATCH($L164,cenník!$B$2:$B$557,0),MATCH(M$24,cenník!$C$1:$I$1,0))</f>
        <v>897303</v>
      </c>
      <c r="N164" s="14" t="str">
        <f>INDEX(cenník!$C$2:$I$568,MATCH($L164,cenník!$B$2:$B$557,0),MATCH(N$24,cenník!$C$1:$I$1,0))</f>
        <v>ks</v>
      </c>
      <c r="O164" s="14">
        <f>SUM(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,(IF(MOD(A167,2)=0,A167/2,IF(MOD(A167,2)=1,FLOOR(A167/2,1)+1,0))*C167),(IF(MOD(A168,2)=0,A168/2,IF(MOD(A168,2)=1,FLOOR(A168/2,1)+1,0))*C168),(IF(MOD(A169,2)=0,A169/2,IF(MOD(A169,2)=1,FLOOR(A169/2,1)+1,0))*C169))</f>
        <v>0</v>
      </c>
      <c r="P164" s="21">
        <f>INDEX(cenník!$C$2:$I$568,MATCH($L164,cenník!$B$2:$B$557,0),MATCH(P$24,cenník!$C$1:$I$1,0))</f>
        <v>0.83</v>
      </c>
      <c r="Q164" s="21">
        <f t="shared" si="66"/>
        <v>0</v>
      </c>
      <c r="R164" s="22">
        <f t="shared" si="63"/>
        <v>0</v>
      </c>
      <c r="S164" s="21">
        <f t="shared" si="64"/>
        <v>0.83</v>
      </c>
      <c r="T164" s="21">
        <f t="shared" si="65"/>
        <v>0</v>
      </c>
      <c r="U164" s="21">
        <f>INDEX(cenník!$C$2:$I$568,MATCH($L164,cenník!$B$2:$B$557,0),MATCH(U$24,cenník!$C$1:$I$1,0))*O164</f>
        <v>0</v>
      </c>
      <c r="CB164" s="19"/>
      <c r="CC164" s="19"/>
      <c r="CD164" s="19"/>
      <c r="CE164" s="19"/>
      <c r="CF164" s="19"/>
      <c r="CG164" s="19"/>
      <c r="CH164" s="19"/>
      <c r="CI164" s="19"/>
      <c r="CJ164" s="19"/>
      <c r="CK164" s="19"/>
      <c r="CL164" s="19"/>
      <c r="CM164" s="19"/>
      <c r="CN164" s="19"/>
      <c r="CO164" s="19"/>
      <c r="CP164" s="19"/>
      <c r="CQ164" s="19"/>
      <c r="CR164" s="19"/>
      <c r="CS164" s="19"/>
      <c r="CT164" s="19"/>
      <c r="CU164" s="19"/>
      <c r="CV164" s="19"/>
      <c r="CW164" s="19"/>
      <c r="CX164" s="19"/>
      <c r="CY164" s="19"/>
      <c r="CZ164" s="19"/>
      <c r="DD164" s="26" t="s">
        <v>328</v>
      </c>
      <c r="DE164" s="19">
        <v>0</v>
      </c>
      <c r="DF164" s="19"/>
      <c r="DG164" s="19"/>
      <c r="DH164" s="19"/>
      <c r="DI164" s="19"/>
      <c r="DJ164" s="19"/>
      <c r="DK164" s="19"/>
      <c r="DL164" s="19"/>
      <c r="DM164" s="19"/>
      <c r="DN164" s="19"/>
      <c r="DO164" s="19"/>
      <c r="DP164" s="19"/>
      <c r="DQ164" s="19"/>
      <c r="DR164" s="19"/>
      <c r="DS164" s="19"/>
      <c r="DT164" s="19"/>
      <c r="DU164" s="19"/>
      <c r="DV164" s="19"/>
      <c r="DW164" s="19"/>
      <c r="DX164" s="19"/>
      <c r="DY164" s="19"/>
      <c r="EC164" s="19"/>
      <c r="ED164" s="19"/>
      <c r="EE164" s="19"/>
      <c r="EF164" s="19"/>
      <c r="EG164" s="19"/>
      <c r="EH164" s="19"/>
      <c r="EI164" s="19"/>
      <c r="EJ164" s="19"/>
      <c r="EK164" s="19"/>
      <c r="EL164" s="19"/>
      <c r="EM164" s="19"/>
      <c r="EN164" s="19"/>
      <c r="EO164" s="19"/>
      <c r="EP164" s="19"/>
      <c r="EQ164" s="19"/>
      <c r="ER164" s="19"/>
      <c r="ES164" s="19"/>
      <c r="ET164" s="19"/>
      <c r="EU164" s="19"/>
      <c r="EV164" s="19"/>
      <c r="EW164" s="19"/>
      <c r="EX164" s="19"/>
      <c r="EY164" s="19"/>
      <c r="EZ164" s="19"/>
      <c r="FA164" s="19"/>
      <c r="FB164" s="19"/>
      <c r="FC164" s="19"/>
      <c r="FD164" s="19"/>
      <c r="FE164" s="19"/>
      <c r="FF164" s="19"/>
      <c r="FG164" s="19"/>
      <c r="FH164" s="19"/>
      <c r="FI164" s="19"/>
      <c r="FJ164" s="19"/>
      <c r="FK164" s="19"/>
      <c r="FL164" s="19"/>
      <c r="FM164" s="19"/>
      <c r="FN164" s="19"/>
      <c r="FO164" s="19"/>
      <c r="FP164" s="19"/>
      <c r="FQ164" s="19"/>
      <c r="FR164" s="19"/>
      <c r="FS164" s="19"/>
      <c r="FT164" s="19"/>
      <c r="FU164" s="19"/>
      <c r="FV164" s="19"/>
      <c r="FW164" s="19"/>
      <c r="FX164" s="19"/>
      <c r="FY164" s="19"/>
      <c r="FZ164" s="19"/>
      <c r="GA164" s="19"/>
      <c r="GB164" s="19"/>
    </row>
    <row r="165" spans="1:238" x14ac:dyDescent="0.25">
      <c r="A165" s="8"/>
      <c r="B165" s="5" t="s">
        <v>61</v>
      </c>
      <c r="C165" s="8"/>
      <c r="D165" s="4"/>
      <c r="E165" s="4"/>
      <c r="F165" s="222"/>
      <c r="G165" s="222"/>
      <c r="H165" s="222"/>
      <c r="I165" s="222"/>
      <c r="J165" s="4"/>
      <c r="K165" s="4"/>
      <c r="L165" s="6" t="s">
        <v>178</v>
      </c>
      <c r="M165" s="14">
        <f>INDEX(cenník!$C$2:$I$568,MATCH($L165,cenník!$B$2:$B$557,0),MATCH(M$24,cenník!$C$1:$I$1,0))</f>
        <v>651643</v>
      </c>
      <c r="N165" s="14" t="str">
        <f>INDEX(cenník!$C$2:$I$568,MATCH($L165,cenník!$B$2:$B$557,0),MATCH(N$24,cenník!$C$1:$I$1,0))</f>
        <v>100ks</v>
      </c>
      <c r="O165" s="14">
        <f>ROUNDUP((O157*4+E160)/100,0)</f>
        <v>0</v>
      </c>
      <c r="P165" s="21">
        <f>INDEX(cenník!$C$2:$I$568,MATCH($L165,cenník!$B$2:$B$557,0),MATCH(P$24,cenník!$C$1:$I$1,0))</f>
        <v>49.87</v>
      </c>
      <c r="Q165" s="21">
        <f t="shared" si="66"/>
        <v>0</v>
      </c>
      <c r="R165" s="22">
        <f t="shared" si="63"/>
        <v>0</v>
      </c>
      <c r="S165" s="21">
        <f t="shared" si="64"/>
        <v>49.87</v>
      </c>
      <c r="T165" s="21">
        <f>O165*S165</f>
        <v>0</v>
      </c>
      <c r="U165" s="21">
        <f>INDEX(cenník!$C$2:$I$568,MATCH($L165,cenník!$B$2:$B$557,0),MATCH(U$24,cenník!$C$1:$I$1,0))*O165</f>
        <v>0</v>
      </c>
      <c r="CB165" s="19"/>
      <c r="CC165" s="19"/>
      <c r="CD165" s="19"/>
      <c r="CE165" s="19"/>
      <c r="CF165" s="19"/>
      <c r="CG165" s="19"/>
      <c r="CH165" s="19"/>
      <c r="CI165" s="19"/>
      <c r="CJ165" s="19"/>
      <c r="CK165" s="19"/>
      <c r="CL165" s="19"/>
      <c r="CM165" s="19"/>
      <c r="CN165" s="19"/>
      <c r="CO165" s="19"/>
      <c r="CP165" s="19"/>
      <c r="CQ165" s="19"/>
      <c r="CR165" s="19"/>
      <c r="CS165" s="19"/>
      <c r="CT165" s="19"/>
      <c r="CU165" s="19"/>
      <c r="CV165" s="19"/>
      <c r="CW165" s="19"/>
      <c r="CX165" s="19"/>
      <c r="CY165" s="19"/>
      <c r="CZ165" s="19"/>
      <c r="DD165" s="19"/>
      <c r="DE165" s="19"/>
      <c r="DF165" s="19"/>
      <c r="DG165" s="19"/>
      <c r="DH165" s="19"/>
      <c r="DI165" s="19"/>
      <c r="DJ165" s="19"/>
      <c r="DK165" s="19"/>
      <c r="DL165" s="19"/>
      <c r="DM165" s="19"/>
      <c r="DN165" s="19"/>
      <c r="DO165" s="19"/>
      <c r="DP165" s="19"/>
      <c r="DQ165" s="19"/>
      <c r="DR165" s="19"/>
      <c r="DS165" s="19"/>
      <c r="DT165" s="19"/>
      <c r="DU165" s="19"/>
      <c r="DV165" s="19"/>
      <c r="DW165" s="19"/>
      <c r="DX165" s="19"/>
      <c r="DY165" s="19"/>
      <c r="EC165" s="19"/>
      <c r="ED165" s="19"/>
      <c r="EE165" s="19"/>
      <c r="EF165" s="19"/>
      <c r="EG165" s="19"/>
      <c r="EH165" s="19"/>
      <c r="EI165" s="19"/>
      <c r="EJ165" s="19"/>
      <c r="EK165" s="19"/>
      <c r="EL165" s="19"/>
      <c r="EM165" s="19"/>
      <c r="EN165" s="19"/>
      <c r="EO165" s="19"/>
      <c r="EP165" s="19"/>
      <c r="EQ165" s="19"/>
      <c r="ER165" s="19"/>
      <c r="ES165" s="19"/>
      <c r="ET165" s="19"/>
      <c r="EU165" s="19"/>
      <c r="EV165" s="19"/>
      <c r="EW165" s="19"/>
      <c r="EX165" s="19"/>
      <c r="EY165" s="19"/>
      <c r="EZ165" s="19"/>
      <c r="FA165" s="19"/>
      <c r="FB165" s="19"/>
      <c r="FC165" s="19"/>
      <c r="FD165" s="19"/>
      <c r="FE165" s="19"/>
      <c r="FF165" s="19"/>
      <c r="FG165" s="19"/>
      <c r="FH165" s="19"/>
      <c r="FI165" s="19"/>
      <c r="FJ165" s="19"/>
      <c r="FK165" s="19"/>
      <c r="FL165" s="19"/>
      <c r="FM165" s="19"/>
      <c r="FN165" s="19"/>
      <c r="FO165" s="19"/>
      <c r="FP165" s="19"/>
      <c r="FQ165" s="19"/>
      <c r="FR165" s="19"/>
      <c r="FS165" s="19"/>
      <c r="FT165" s="19"/>
      <c r="FU165" s="19"/>
      <c r="FV165" s="19"/>
      <c r="FW165" s="19"/>
      <c r="FX165" s="19"/>
      <c r="FY165" s="19"/>
      <c r="FZ165" s="19"/>
      <c r="GA165" s="19"/>
      <c r="GB165" s="19"/>
    </row>
    <row r="166" spans="1:238" x14ac:dyDescent="0.25">
      <c r="A166" s="8"/>
      <c r="B166" s="5" t="s">
        <v>61</v>
      </c>
      <c r="C166" s="8"/>
      <c r="D166" s="4"/>
      <c r="E166" s="4"/>
      <c r="F166" s="4"/>
      <c r="G166" s="4"/>
      <c r="H166" s="4"/>
      <c r="I166" s="4"/>
      <c r="J166" s="4"/>
      <c r="K166" s="4"/>
      <c r="L166" s="6" t="s">
        <v>981</v>
      </c>
      <c r="M166" s="14">
        <f>INDEX(cenník!$C$2:$I$568,MATCH($L166,cenník!$B$2:$B$557,0),MATCH(M$24,cenník!$C$1:$I$1,0))</f>
        <v>760401</v>
      </c>
      <c r="N166" s="14" t="str">
        <f>INDEX(cenník!$C$2:$I$568,MATCH($L166,cenník!$B$2:$B$557,0),MATCH(N$24,cenník!$C$1:$I$1,0))</f>
        <v>ks</v>
      </c>
      <c r="O166" s="14">
        <f>O158*2</f>
        <v>0</v>
      </c>
      <c r="P166" s="21">
        <f>INDEX(cenník!$C$2:$I$568,MATCH($L166,cenník!$B$2:$B$557,0),MATCH(P$24,cenník!$C$1:$I$1,0))</f>
        <v>0.44</v>
      </c>
      <c r="Q166" s="21">
        <f>O166*P166</f>
        <v>0</v>
      </c>
      <c r="R166" s="22">
        <f t="shared" si="63"/>
        <v>0</v>
      </c>
      <c r="S166" s="21">
        <f t="shared" si="64"/>
        <v>0.44</v>
      </c>
      <c r="T166" s="21">
        <f>O166*S166</f>
        <v>0</v>
      </c>
      <c r="U166" s="21">
        <f>INDEX(cenník!$C$2:$I$568,MATCH($L166,cenník!$B$2:$B$557,0),MATCH(U$24,cenník!$C$1:$I$1,0))*O166</f>
        <v>0</v>
      </c>
      <c r="BA166" s="19"/>
      <c r="BB166" s="19"/>
      <c r="BC166" s="19"/>
      <c r="BD166" s="19"/>
      <c r="BE166" s="19"/>
      <c r="BF166" s="19"/>
      <c r="BG166" s="19"/>
      <c r="BH166" s="19"/>
      <c r="BI166" s="19"/>
      <c r="BJ166" s="19"/>
      <c r="BK166" s="19"/>
      <c r="BL166" s="19"/>
      <c r="BM166" s="19"/>
      <c r="BN166" s="19"/>
      <c r="BO166" s="19"/>
      <c r="BP166" s="19"/>
      <c r="BQ166" s="19"/>
      <c r="BR166" s="19"/>
      <c r="BS166" s="19"/>
      <c r="BT166" s="19"/>
      <c r="BU166" s="19"/>
      <c r="BV166" s="19"/>
      <c r="BW166" s="19"/>
      <c r="BX166" s="19"/>
      <c r="BY166" s="19"/>
      <c r="BZ166" s="19"/>
      <c r="CA166" s="19"/>
      <c r="CB166" s="19"/>
      <c r="CC166" s="19"/>
      <c r="CD166" s="19"/>
      <c r="CE166" s="19"/>
      <c r="CF166" s="19"/>
      <c r="CG166" s="19"/>
      <c r="CH166" s="19"/>
      <c r="CI166" s="19"/>
      <c r="CJ166" s="19"/>
      <c r="CK166" s="19"/>
      <c r="CL166" s="19"/>
      <c r="CM166" s="19"/>
      <c r="CN166" s="19"/>
      <c r="CO166" s="19"/>
      <c r="CP166" s="19"/>
      <c r="CQ166" s="19"/>
      <c r="CR166" s="19"/>
      <c r="CS166" s="19"/>
      <c r="CT166" s="19"/>
      <c r="CU166" s="19"/>
      <c r="CV166" s="19"/>
      <c r="CW166" s="19"/>
      <c r="CX166" s="19"/>
      <c r="CY166" s="19"/>
      <c r="CZ166" s="19"/>
      <c r="DD166" s="19" t="s">
        <v>204</v>
      </c>
      <c r="DE166" s="19">
        <v>0</v>
      </c>
      <c r="DF166" s="19">
        <v>1</v>
      </c>
      <c r="DG166" s="19">
        <v>2</v>
      </c>
      <c r="DH166" s="19">
        <v>3</v>
      </c>
      <c r="DI166" s="19">
        <v>4</v>
      </c>
      <c r="DJ166" s="19">
        <v>5</v>
      </c>
      <c r="DK166" s="19">
        <v>6</v>
      </c>
      <c r="DL166" s="19">
        <v>7</v>
      </c>
      <c r="DM166" s="19">
        <v>8</v>
      </c>
      <c r="DN166" s="19">
        <v>9</v>
      </c>
      <c r="DO166" s="19">
        <v>10</v>
      </c>
      <c r="DP166" s="19">
        <v>11</v>
      </c>
      <c r="DQ166" s="19">
        <v>12</v>
      </c>
      <c r="DR166" s="19">
        <v>13</v>
      </c>
      <c r="DS166" s="19">
        <v>14</v>
      </c>
      <c r="DT166" s="19">
        <v>15</v>
      </c>
      <c r="DU166" s="19">
        <v>16</v>
      </c>
      <c r="DV166" s="19">
        <v>17</v>
      </c>
      <c r="DW166" s="19">
        <v>18</v>
      </c>
      <c r="DX166" s="19">
        <v>19</v>
      </c>
      <c r="DY166" s="19">
        <v>20</v>
      </c>
      <c r="EC166" s="19"/>
      <c r="ED166" s="19"/>
      <c r="EE166" s="19"/>
      <c r="EF166" s="19"/>
      <c r="EG166" s="19"/>
      <c r="EH166" s="19"/>
      <c r="EI166" s="19"/>
      <c r="EJ166" s="19"/>
      <c r="EK166" s="19"/>
      <c r="EL166" s="19"/>
      <c r="EM166" s="19"/>
      <c r="EN166" s="19"/>
      <c r="EO166" s="19"/>
      <c r="EP166" s="19"/>
      <c r="EQ166" s="19"/>
      <c r="ER166" s="19"/>
      <c r="ES166" s="19"/>
      <c r="ET166" s="19"/>
      <c r="EU166" s="19"/>
      <c r="EV166" s="19"/>
      <c r="EW166" s="19"/>
      <c r="EX166" s="19"/>
      <c r="EY166" s="19"/>
      <c r="EZ166" s="19"/>
      <c r="FA166" s="19"/>
      <c r="FB166" s="19"/>
      <c r="FC166" s="19"/>
      <c r="FD166" s="19"/>
      <c r="FE166" s="19"/>
      <c r="FF166" s="19"/>
      <c r="FG166" s="19"/>
      <c r="FH166" s="19"/>
      <c r="FI166" s="19"/>
      <c r="FJ166" s="19"/>
      <c r="FK166" s="19"/>
      <c r="FL166" s="19"/>
      <c r="FM166" s="19"/>
      <c r="FN166" s="19"/>
      <c r="FO166" s="19"/>
      <c r="FP166" s="19"/>
      <c r="FQ166" s="19"/>
      <c r="FR166" s="19"/>
      <c r="FS166" s="19"/>
      <c r="FT166" s="19"/>
      <c r="FU166" s="19"/>
      <c r="FV166" s="19"/>
      <c r="FW166" s="19"/>
      <c r="FX166" s="19"/>
      <c r="FY166" s="19"/>
      <c r="FZ166" s="19"/>
      <c r="GA166" s="19"/>
      <c r="GB166" s="19"/>
    </row>
    <row r="167" spans="1:238" x14ac:dyDescent="0.25">
      <c r="A167" s="8"/>
      <c r="B167" s="5" t="s">
        <v>61</v>
      </c>
      <c r="C167" s="8"/>
      <c r="D167" s="4"/>
      <c r="E167" s="4"/>
      <c r="F167" s="4"/>
      <c r="G167" s="4"/>
      <c r="H167" s="4"/>
      <c r="I167" s="4"/>
      <c r="J167" s="4"/>
      <c r="K167" s="4"/>
      <c r="L167" s="6" t="s">
        <v>244</v>
      </c>
      <c r="M167" s="14">
        <f>INDEX(cenník!$C$2:$I$568,MATCH($L167,cenník!$B$2:$B$557,0),MATCH(M$24,cenník!$C$1:$I$1,0))</f>
        <v>166794</v>
      </c>
      <c r="N167" s="14" t="str">
        <f>INDEX(cenník!$C$2:$I$568,MATCH($L167,cenník!$B$2:$B$557,0),MATCH(N$24,cenník!$C$1:$I$1,0))</f>
        <v>100ks</v>
      </c>
      <c r="O167" s="14">
        <f>ROUNDUP((O162/100),0)</f>
        <v>0</v>
      </c>
      <c r="P167" s="21">
        <f>INDEX(cenník!$C$2:$I$568,MATCH($L167,cenník!$B$2:$B$557,0),MATCH(P$24,cenník!$C$1:$I$1,0))</f>
        <v>1.38</v>
      </c>
      <c r="Q167" s="21">
        <f>O167*P167</f>
        <v>0</v>
      </c>
      <c r="R167" s="22">
        <f t="shared" si="63"/>
        <v>0</v>
      </c>
      <c r="S167" s="21">
        <f t="shared" si="64"/>
        <v>1.38</v>
      </c>
      <c r="T167" s="21">
        <f>O167*S167</f>
        <v>0</v>
      </c>
      <c r="U167" s="21">
        <f>INDEX(cenník!$C$2:$I$568,MATCH($L167,cenník!$B$2:$B$557,0),MATCH(U$24,cenník!$C$1:$I$1,0))*O167</f>
        <v>0</v>
      </c>
      <c r="BA167" s="19"/>
      <c r="BB167" s="19"/>
      <c r="BC167" s="19"/>
      <c r="BD167" s="19"/>
      <c r="BE167" s="19"/>
      <c r="BF167" s="19"/>
      <c r="BG167" s="19"/>
      <c r="BH167" s="19"/>
      <c r="BI167" s="19"/>
      <c r="BJ167" s="19"/>
      <c r="BK167" s="19"/>
      <c r="BL167" s="19"/>
      <c r="BM167" s="19"/>
      <c r="BN167" s="19"/>
      <c r="BO167" s="19"/>
      <c r="BP167" s="19"/>
      <c r="BQ167" s="19"/>
      <c r="BR167" s="19"/>
      <c r="BS167" s="19"/>
      <c r="BT167" s="19"/>
      <c r="BU167" s="19"/>
      <c r="BV167" s="19"/>
      <c r="BW167" s="19"/>
      <c r="BX167" s="19"/>
      <c r="BY167" s="19"/>
      <c r="BZ167" s="19"/>
      <c r="CA167" s="19"/>
      <c r="CB167" s="19"/>
      <c r="CC167" s="19"/>
      <c r="CD167" s="19"/>
      <c r="CE167" s="19"/>
      <c r="CF167" s="19"/>
      <c r="CG167" s="19"/>
      <c r="CH167" s="19"/>
      <c r="CI167" s="19"/>
      <c r="CJ167" s="19"/>
      <c r="CK167" s="19"/>
      <c r="CL167" s="19"/>
      <c r="CM167" s="19"/>
      <c r="CN167" s="19"/>
      <c r="CO167" s="19"/>
      <c r="CP167" s="19"/>
      <c r="CQ167" s="19"/>
      <c r="CR167" s="19"/>
      <c r="CS167" s="19"/>
      <c r="CT167" s="19"/>
      <c r="CU167" s="19"/>
      <c r="CV167" s="19"/>
      <c r="CW167" s="19"/>
      <c r="CX167" s="19"/>
      <c r="CY167" s="19"/>
      <c r="CZ167" s="19"/>
      <c r="DD167" s="19" t="s">
        <v>64</v>
      </c>
      <c r="DE167" s="19">
        <v>0</v>
      </c>
      <c r="DF167" s="19">
        <v>0</v>
      </c>
      <c r="DG167" s="19">
        <v>2</v>
      </c>
      <c r="DH167" s="19">
        <v>4</v>
      </c>
      <c r="DI167" s="19">
        <v>0</v>
      </c>
      <c r="DJ167" s="19">
        <v>2</v>
      </c>
      <c r="DK167" s="19">
        <v>4</v>
      </c>
      <c r="DL167" s="19">
        <v>0</v>
      </c>
      <c r="DM167" s="19">
        <v>2</v>
      </c>
      <c r="DN167" s="19">
        <v>4</v>
      </c>
      <c r="DO167" s="19">
        <v>0</v>
      </c>
      <c r="DP167" s="19">
        <v>2</v>
      </c>
      <c r="DQ167" s="19">
        <v>4</v>
      </c>
      <c r="DR167" s="19">
        <v>0</v>
      </c>
      <c r="DS167" s="19">
        <v>2</v>
      </c>
      <c r="DT167" s="19">
        <v>4</v>
      </c>
      <c r="DU167" s="19">
        <v>0</v>
      </c>
      <c r="DV167" s="19">
        <v>2</v>
      </c>
      <c r="DW167" s="19">
        <v>4</v>
      </c>
      <c r="DX167" s="19">
        <v>0</v>
      </c>
      <c r="DY167" s="19">
        <v>2</v>
      </c>
      <c r="EC167" s="19"/>
      <c r="ED167" s="19"/>
      <c r="EE167" s="19"/>
      <c r="EF167" s="19"/>
      <c r="EG167" s="19"/>
      <c r="EH167" s="19"/>
      <c r="EI167" s="19"/>
      <c r="EJ167" s="19"/>
      <c r="EK167" s="19"/>
      <c r="EL167" s="19"/>
      <c r="EM167" s="19"/>
      <c r="EN167" s="19"/>
      <c r="EO167" s="19"/>
      <c r="EP167" s="19"/>
      <c r="EQ167" s="19"/>
      <c r="ER167" s="19"/>
      <c r="ES167" s="19"/>
      <c r="ET167" s="19"/>
      <c r="EU167" s="19"/>
      <c r="EV167" s="19"/>
      <c r="EW167" s="19"/>
      <c r="EX167" s="19"/>
      <c r="EY167" s="19"/>
      <c r="EZ167" s="19"/>
      <c r="FA167" s="19"/>
      <c r="FB167" s="19"/>
      <c r="FC167" s="19"/>
      <c r="FD167" s="19"/>
      <c r="FE167" s="19"/>
      <c r="FF167" s="19"/>
      <c r="FG167" s="19"/>
      <c r="FH167" s="19"/>
      <c r="FI167" s="19"/>
      <c r="FJ167" s="19"/>
      <c r="FK167" s="19"/>
      <c r="FL167" s="19"/>
      <c r="FM167" s="19"/>
      <c r="FN167" s="19"/>
      <c r="FO167" s="19"/>
      <c r="FP167" s="19"/>
      <c r="FQ167" s="19"/>
      <c r="FR167" s="19"/>
      <c r="FS167" s="19"/>
      <c r="FT167" s="19"/>
      <c r="FU167" s="19"/>
      <c r="FV167" s="19"/>
      <c r="FW167" s="19"/>
      <c r="FX167" s="19"/>
      <c r="FY167" s="19"/>
      <c r="FZ167" s="19"/>
      <c r="GA167" s="19"/>
      <c r="GB167" s="19"/>
    </row>
    <row r="168" spans="1:238" x14ac:dyDescent="0.25">
      <c r="A168" s="8"/>
      <c r="B168" s="5" t="s">
        <v>61</v>
      </c>
      <c r="C168" s="8"/>
      <c r="D168" s="4"/>
      <c r="E168" s="4"/>
      <c r="F168" s="4"/>
      <c r="G168" s="4"/>
      <c r="H168" s="4"/>
      <c r="I168" s="4"/>
      <c r="J168" s="4"/>
      <c r="K168" s="4"/>
      <c r="L168" s="6" t="s">
        <v>19</v>
      </c>
      <c r="M168" s="14">
        <f>INDEX(cenník!$C$2:$I$568,MATCH($L168,cenník!$B$2:$B$557,0),MATCH(M$24,cenník!$C$1:$I$1,0))</f>
        <v>6506513</v>
      </c>
      <c r="N168" s="14" t="str">
        <f>INDEX(cenník!$C$2:$I$568,MATCH($L168,cenník!$B$2:$B$557,0),MATCH(N$24,cenník!$C$1:$I$1,0))</f>
        <v>ks</v>
      </c>
      <c r="O168" s="14">
        <f>2*O158</f>
        <v>0</v>
      </c>
      <c r="P168" s="21">
        <f>INDEX(cenník!$C$2:$I$568,MATCH($L168,cenník!$B$2:$B$557,0),MATCH(P$24,cenník!$C$1:$I$1,0))</f>
        <v>1.46</v>
      </c>
      <c r="Q168" s="21">
        <f>O168*P168</f>
        <v>0</v>
      </c>
      <c r="R168" s="22">
        <f t="shared" si="63"/>
        <v>0</v>
      </c>
      <c r="S168" s="21">
        <f t="shared" si="64"/>
        <v>1.46</v>
      </c>
      <c r="T168" s="21">
        <f>O168*S168</f>
        <v>0</v>
      </c>
      <c r="U168" s="21">
        <f>INDEX(cenník!$C$2:$I$568,MATCH($L168,cenník!$B$2:$B$557,0),MATCH(U$24,cenník!$C$1:$I$1,0))*O168</f>
        <v>0</v>
      </c>
      <c r="BA168" s="19"/>
      <c r="BB168" s="19"/>
      <c r="BC168" s="19"/>
      <c r="BD168" s="19"/>
      <c r="BE168" s="19"/>
      <c r="BF168" s="19"/>
      <c r="BG168" s="19"/>
      <c r="BH168" s="19"/>
      <c r="BI168" s="19"/>
      <c r="BJ168" s="19"/>
      <c r="BK168" s="19"/>
      <c r="BL168" s="19"/>
      <c r="BM168" s="19"/>
      <c r="BN168" s="19"/>
      <c r="BO168" s="19"/>
      <c r="BP168" s="19"/>
      <c r="BQ168" s="19"/>
      <c r="BR168" s="19"/>
      <c r="BS168" s="19"/>
      <c r="BT168" s="19"/>
      <c r="BU168" s="19"/>
      <c r="BV168" s="19"/>
      <c r="BW168" s="19"/>
      <c r="BX168" s="19"/>
      <c r="BY168" s="19"/>
      <c r="BZ168" s="19"/>
      <c r="CA168" s="19"/>
      <c r="CB168" s="19"/>
      <c r="CC168" s="19"/>
      <c r="CD168" s="19"/>
      <c r="CE168" s="19"/>
      <c r="CF168" s="19"/>
      <c r="CG168" s="19"/>
      <c r="CH168" s="19"/>
      <c r="CI168" s="19"/>
      <c r="CJ168" s="19"/>
      <c r="CK168" s="19"/>
      <c r="CL168" s="19"/>
      <c r="CM168" s="19"/>
      <c r="CN168" s="19"/>
      <c r="CO168" s="19"/>
      <c r="CP168" s="19"/>
      <c r="CQ168" s="19"/>
      <c r="CR168" s="19"/>
      <c r="CS168" s="19"/>
      <c r="CT168" s="19"/>
      <c r="CU168" s="19"/>
      <c r="CV168" s="19"/>
      <c r="CW168" s="19"/>
      <c r="CX168" s="19"/>
      <c r="CY168" s="19"/>
      <c r="CZ168" s="19"/>
      <c r="DD168" s="19" t="s">
        <v>18</v>
      </c>
      <c r="DE168" s="19">
        <v>0</v>
      </c>
      <c r="DF168" s="19">
        <v>2</v>
      </c>
      <c r="DG168" s="19">
        <v>2</v>
      </c>
      <c r="DH168" s="19">
        <v>2</v>
      </c>
      <c r="DI168" s="19">
        <v>6</v>
      </c>
      <c r="DJ168" s="19">
        <v>6</v>
      </c>
      <c r="DK168" s="19">
        <v>6</v>
      </c>
      <c r="DL168" s="19">
        <v>10</v>
      </c>
      <c r="DM168" s="19">
        <v>10</v>
      </c>
      <c r="DN168" s="19">
        <v>10</v>
      </c>
      <c r="DO168" s="19">
        <v>14</v>
      </c>
      <c r="DP168" s="19">
        <v>14</v>
      </c>
      <c r="DQ168" s="19">
        <v>14</v>
      </c>
      <c r="DR168" s="19">
        <v>18</v>
      </c>
      <c r="DS168" s="19">
        <v>18</v>
      </c>
      <c r="DT168" s="19">
        <v>18</v>
      </c>
      <c r="DU168" s="19">
        <v>22</v>
      </c>
      <c r="DV168" s="19">
        <v>22</v>
      </c>
      <c r="DW168" s="19">
        <v>22</v>
      </c>
      <c r="DX168" s="19">
        <v>26</v>
      </c>
      <c r="DY168" s="19">
        <v>26</v>
      </c>
      <c r="EC168" s="19"/>
      <c r="ED168" s="19"/>
      <c r="EE168" s="19"/>
      <c r="EF168" s="19"/>
      <c r="EG168" s="19"/>
      <c r="EH168" s="19"/>
      <c r="EI168" s="19"/>
      <c r="EJ168" s="19"/>
      <c r="EK168" s="19"/>
      <c r="EL168" s="19"/>
      <c r="EM168" s="19"/>
      <c r="EN168" s="19"/>
      <c r="EO168" s="19"/>
      <c r="EP168" s="19"/>
      <c r="EQ168" s="19"/>
      <c r="ER168" s="19"/>
      <c r="ES168" s="19"/>
      <c r="ET168" s="19"/>
      <c r="EU168" s="19"/>
      <c r="EV168" s="19"/>
      <c r="EW168" s="19"/>
      <c r="EX168" s="19"/>
      <c r="EY168" s="19"/>
      <c r="EZ168" s="19"/>
      <c r="FA168" s="19"/>
      <c r="FB168" s="19"/>
      <c r="FC168" s="19"/>
      <c r="FD168" s="19"/>
      <c r="FE168" s="19"/>
      <c r="FF168" s="19"/>
      <c r="FG168" s="19"/>
      <c r="FH168" s="19"/>
      <c r="FI168" s="19"/>
      <c r="FJ168" s="19"/>
      <c r="FK168" s="19"/>
      <c r="FL168" s="19"/>
      <c r="FM168" s="19"/>
      <c r="FN168" s="19"/>
      <c r="FO168" s="19"/>
      <c r="FP168" s="19"/>
      <c r="FQ168" s="19"/>
      <c r="FR168" s="19"/>
      <c r="FS168" s="19"/>
      <c r="FT168" s="19"/>
      <c r="FU168" s="19"/>
      <c r="FV168" s="19"/>
      <c r="FW168" s="19"/>
      <c r="FX168" s="19"/>
      <c r="FY168" s="19"/>
      <c r="FZ168" s="19"/>
      <c r="GA168" s="19"/>
      <c r="GB168" s="19"/>
    </row>
    <row r="169" spans="1:238" x14ac:dyDescent="0.25">
      <c r="A169" s="8"/>
      <c r="B169" s="5" t="s">
        <v>61</v>
      </c>
      <c r="C169" s="8"/>
      <c r="D169" s="4"/>
      <c r="E169" s="4"/>
      <c r="F169" s="4"/>
      <c r="G169" s="4"/>
      <c r="H169" s="4"/>
      <c r="I169" s="4"/>
      <c r="J169" s="4"/>
      <c r="K169" s="4"/>
      <c r="L169" s="6" t="s">
        <v>371</v>
      </c>
      <c r="M169" s="14">
        <f>INDEX(cenník!$C$2:$I$568,MATCH($L169,cenník!$B$2:$B$557,0),MATCH(M$24,cenník!$C$1:$I$1,0))</f>
        <v>6510443</v>
      </c>
      <c r="N169" s="14" t="str">
        <f>INDEX(cenník!$C$2:$I$568,MATCH($L169,cenník!$B$2:$B$557,0),MATCH(N$24,cenník!$C$1:$I$1,0))</f>
        <v>100ks</v>
      </c>
      <c r="O169" s="23">
        <f>ROUNDUP((O168/100),0)</f>
        <v>0</v>
      </c>
      <c r="P169" s="21">
        <f>INDEX(cenník!$C$2:$I$568,MATCH($L169,cenník!$B$2:$B$557,0),MATCH(P$24,cenník!$C$1:$I$1,0))</f>
        <v>15.05</v>
      </c>
      <c r="Q169" s="21">
        <f>O169*P169</f>
        <v>0</v>
      </c>
      <c r="R169" s="22">
        <f t="shared" si="63"/>
        <v>0</v>
      </c>
      <c r="S169" s="21">
        <f t="shared" si="64"/>
        <v>15.05</v>
      </c>
      <c r="T169" s="21">
        <f>O169*S169</f>
        <v>0</v>
      </c>
      <c r="U169" s="21">
        <f>INDEX(cenník!$C$2:$I$568,MATCH($L169,cenník!$B$2:$B$557,0),MATCH(U$24,cenník!$C$1:$I$1,0))*O169</f>
        <v>0</v>
      </c>
      <c r="BA169" s="19"/>
      <c r="BB169" s="19"/>
      <c r="BC169" s="19"/>
      <c r="BD169" s="19"/>
      <c r="BE169" s="19"/>
      <c r="BF169" s="19"/>
      <c r="BG169" s="19"/>
      <c r="BH169" s="19"/>
      <c r="BI169" s="19"/>
      <c r="BJ169" s="19"/>
      <c r="BK169" s="19"/>
      <c r="BL169" s="19"/>
      <c r="BM169" s="19"/>
      <c r="BN169" s="19"/>
      <c r="BO169" s="19"/>
      <c r="BP169" s="19"/>
      <c r="BQ169" s="19"/>
      <c r="BR169" s="19"/>
      <c r="BS169" s="19"/>
      <c r="BT169" s="19"/>
      <c r="BU169" s="19"/>
      <c r="BV169" s="19"/>
      <c r="BW169" s="19"/>
      <c r="BX169" s="19"/>
      <c r="BY169" s="19"/>
      <c r="BZ169" s="19"/>
      <c r="CA169" s="19"/>
      <c r="CB169" s="19"/>
      <c r="CC169" s="19"/>
      <c r="CD169" s="19"/>
      <c r="CE169" s="19"/>
      <c r="CF169" s="19"/>
      <c r="CG169" s="19"/>
      <c r="CH169" s="19"/>
      <c r="CI169" s="19"/>
      <c r="CJ169" s="19"/>
      <c r="CK169" s="19"/>
      <c r="CL169" s="19"/>
      <c r="CM169" s="19"/>
      <c r="CN169" s="19"/>
      <c r="CO169" s="19"/>
      <c r="CP169" s="19"/>
      <c r="CQ169" s="19"/>
      <c r="CR169" s="19"/>
      <c r="CS169" s="19"/>
      <c r="CT169" s="19"/>
      <c r="CU169" s="19"/>
      <c r="CV169" s="19"/>
      <c r="CW169" s="19"/>
      <c r="CX169" s="19"/>
      <c r="CY169" s="19"/>
      <c r="CZ169" s="19"/>
      <c r="DD169" s="19" t="s">
        <v>179</v>
      </c>
      <c r="DE169" s="19">
        <v>0</v>
      </c>
      <c r="DF169" s="19">
        <v>0</v>
      </c>
      <c r="DG169" s="19">
        <v>4</v>
      </c>
      <c r="DH169" s="19">
        <v>8</v>
      </c>
      <c r="DI169" s="19">
        <v>8</v>
      </c>
      <c r="DJ169" s="19">
        <v>12</v>
      </c>
      <c r="DK169" s="19">
        <v>16</v>
      </c>
      <c r="DL169" s="19">
        <v>16</v>
      </c>
      <c r="DM169" s="19">
        <v>20</v>
      </c>
      <c r="DN169" s="19">
        <v>24</v>
      </c>
      <c r="DO169" s="19">
        <v>24</v>
      </c>
      <c r="DP169" s="19">
        <v>28</v>
      </c>
      <c r="DQ169" s="19">
        <v>32</v>
      </c>
      <c r="DR169" s="19">
        <v>32</v>
      </c>
      <c r="DS169" s="19">
        <v>36</v>
      </c>
      <c r="DT169" s="19">
        <v>40</v>
      </c>
      <c r="DU169" s="19">
        <v>40</v>
      </c>
      <c r="DV169" s="19">
        <v>44</v>
      </c>
      <c r="DW169" s="19">
        <v>48</v>
      </c>
      <c r="DX169" s="19">
        <v>48</v>
      </c>
      <c r="DY169" s="19">
        <v>52</v>
      </c>
      <c r="EC169" s="19"/>
      <c r="ED169" s="19"/>
      <c r="EE169" s="19"/>
      <c r="EF169" s="19"/>
      <c r="EG169" s="19"/>
      <c r="EH169" s="19"/>
      <c r="EI169" s="19"/>
      <c r="EJ169" s="19"/>
      <c r="EK169" s="19"/>
      <c r="EL169" s="19"/>
      <c r="EM169" s="19"/>
      <c r="EN169" s="19"/>
      <c r="EO169" s="19"/>
      <c r="EP169" s="19"/>
      <c r="EQ169" s="19"/>
      <c r="ER169" s="19"/>
      <c r="ES169" s="19"/>
      <c r="ET169" s="19"/>
      <c r="EU169" s="19"/>
      <c r="EV169" s="19"/>
      <c r="EW169" s="19"/>
      <c r="EX169" s="19"/>
      <c r="EY169" s="19"/>
      <c r="EZ169" s="19"/>
      <c r="FA169" s="19"/>
      <c r="FB169" s="19"/>
      <c r="FC169" s="19"/>
      <c r="FD169" s="19"/>
      <c r="FE169" s="19"/>
      <c r="FF169" s="19"/>
      <c r="FG169" s="19"/>
      <c r="FH169" s="19"/>
      <c r="FI169" s="19"/>
      <c r="FJ169" s="19"/>
      <c r="FK169" s="19"/>
      <c r="FL169" s="19"/>
      <c r="FM169" s="19"/>
      <c r="FN169" s="19"/>
      <c r="FO169" s="19"/>
      <c r="FP169" s="19"/>
      <c r="FQ169" s="19"/>
      <c r="FR169" s="19"/>
      <c r="FS169" s="19"/>
      <c r="FT169" s="19"/>
      <c r="FU169" s="19"/>
      <c r="FV169" s="19"/>
      <c r="FW169" s="19"/>
      <c r="FX169" s="19"/>
      <c r="FY169" s="19"/>
      <c r="FZ169" s="19"/>
      <c r="GA169" s="19"/>
      <c r="GB169" s="19"/>
    </row>
    <row r="170" spans="1:238" x14ac:dyDescent="0.25">
      <c r="A170" s="4"/>
      <c r="B170" s="6"/>
      <c r="C170" s="4"/>
      <c r="D170" s="4"/>
      <c r="E170" s="4"/>
      <c r="F170" s="4"/>
      <c r="G170" s="4"/>
      <c r="H170" s="4"/>
      <c r="I170" s="4"/>
      <c r="J170" s="4"/>
      <c r="K170" s="4"/>
      <c r="T170" s="21">
        <f>SUM(T155:T169)</f>
        <v>0</v>
      </c>
      <c r="U170" s="21">
        <f>SUM(U155:U169)</f>
        <v>0</v>
      </c>
      <c r="BA170" s="19"/>
      <c r="BB170" s="19"/>
      <c r="BC170" s="19"/>
      <c r="BD170" s="19"/>
      <c r="BE170" s="19"/>
      <c r="BF170" s="19"/>
      <c r="BG170" s="19"/>
      <c r="BH170" s="19"/>
      <c r="BI170" s="19"/>
      <c r="BJ170" s="19"/>
      <c r="BK170" s="19"/>
      <c r="BL170" s="19"/>
      <c r="BM170" s="19"/>
      <c r="BN170" s="19"/>
      <c r="BO170" s="19"/>
      <c r="BP170" s="19"/>
      <c r="BQ170" s="19"/>
      <c r="BR170" s="19"/>
      <c r="BS170" s="19"/>
      <c r="BT170" s="19"/>
      <c r="BU170" s="19"/>
      <c r="BV170" s="19"/>
      <c r="BW170" s="19"/>
      <c r="BX170" s="19"/>
      <c r="BY170" s="19"/>
      <c r="BZ170" s="19"/>
      <c r="CA170" s="19"/>
      <c r="CB170" s="19"/>
      <c r="CC170" s="19"/>
      <c r="CD170" s="19"/>
      <c r="CE170" s="19"/>
      <c r="CF170" s="19"/>
      <c r="CG170" s="19"/>
      <c r="CH170" s="19"/>
      <c r="CI170" s="19"/>
      <c r="CJ170" s="19"/>
      <c r="CK170" s="19"/>
      <c r="CL170" s="19"/>
      <c r="CM170" s="19"/>
      <c r="CN170" s="19"/>
      <c r="CO170" s="19"/>
      <c r="CP170" s="19"/>
      <c r="CQ170" s="19"/>
      <c r="CR170" s="19"/>
      <c r="CS170" s="19"/>
      <c r="CT170" s="19"/>
      <c r="CU170" s="19"/>
      <c r="CV170" s="19"/>
      <c r="CW170" s="19"/>
      <c r="CX170" s="19"/>
      <c r="CY170" s="19"/>
      <c r="CZ170" s="19"/>
      <c r="DD170" s="19" t="s">
        <v>236</v>
      </c>
      <c r="DE170" s="19">
        <v>0</v>
      </c>
      <c r="DF170" s="19">
        <v>0</v>
      </c>
      <c r="DG170" s="19">
        <v>2</v>
      </c>
      <c r="DH170" s="19">
        <v>4</v>
      </c>
      <c r="DI170" s="19">
        <v>0</v>
      </c>
      <c r="DJ170" s="19">
        <v>2</v>
      </c>
      <c r="DK170" s="19">
        <v>4</v>
      </c>
      <c r="DL170" s="19">
        <v>0</v>
      </c>
      <c r="DM170" s="19">
        <v>2</v>
      </c>
      <c r="DN170" s="19">
        <v>4</v>
      </c>
      <c r="DO170" s="19">
        <v>0</v>
      </c>
      <c r="DP170" s="19">
        <v>2</v>
      </c>
      <c r="DQ170" s="19">
        <v>4</v>
      </c>
      <c r="DR170" s="19">
        <v>0</v>
      </c>
      <c r="DS170" s="19">
        <v>2</v>
      </c>
      <c r="DT170" s="19">
        <v>4</v>
      </c>
      <c r="DU170" s="19">
        <v>0</v>
      </c>
      <c r="DV170" s="19">
        <v>2</v>
      </c>
      <c r="DW170" s="19">
        <v>4</v>
      </c>
      <c r="DX170" s="19">
        <v>0</v>
      </c>
      <c r="DY170" s="19">
        <v>2</v>
      </c>
      <c r="EC170" s="19"/>
      <c r="ED170" s="19"/>
      <c r="EE170" s="19"/>
      <c r="EF170" s="19"/>
      <c r="EG170" s="19"/>
      <c r="EH170" s="19"/>
      <c r="EI170" s="19"/>
      <c r="EJ170" s="19"/>
      <c r="EK170" s="19"/>
      <c r="EL170" s="19"/>
      <c r="EM170" s="19"/>
      <c r="EN170" s="19"/>
      <c r="EO170" s="19"/>
      <c r="EP170" s="19"/>
      <c r="EQ170" s="19"/>
      <c r="ER170" s="19"/>
      <c r="ES170" s="19"/>
      <c r="ET170" s="19"/>
      <c r="EU170" s="19"/>
      <c r="EV170" s="19"/>
      <c r="EW170" s="19"/>
      <c r="EX170" s="19"/>
      <c r="EY170" s="19"/>
      <c r="EZ170" s="19"/>
      <c r="FA170" s="19"/>
      <c r="FB170" s="19"/>
      <c r="FC170" s="19"/>
      <c r="FD170" s="19"/>
      <c r="FE170" s="19"/>
      <c r="FF170" s="19"/>
      <c r="FG170" s="19"/>
      <c r="FH170" s="19"/>
      <c r="FI170" s="19"/>
      <c r="FJ170" s="19"/>
      <c r="FK170" s="19"/>
      <c r="FL170" s="19"/>
      <c r="FM170" s="19"/>
      <c r="FN170" s="19"/>
      <c r="FO170" s="19"/>
      <c r="FP170" s="19"/>
      <c r="FQ170" s="19"/>
      <c r="FR170" s="19"/>
      <c r="FS170" s="19"/>
      <c r="FT170" s="19"/>
      <c r="FU170" s="19"/>
      <c r="FV170" s="19"/>
      <c r="FW170" s="19"/>
      <c r="FX170" s="19"/>
      <c r="FY170" s="19"/>
      <c r="FZ170" s="19"/>
      <c r="GA170" s="19"/>
      <c r="GB170" s="19"/>
    </row>
    <row r="171" spans="1:238" x14ac:dyDescent="0.25">
      <c r="A171" s="4"/>
      <c r="B171" s="6"/>
      <c r="C171" s="4"/>
      <c r="D171" s="4"/>
      <c r="E171" s="4"/>
      <c r="F171" s="4"/>
      <c r="G171" s="4"/>
      <c r="H171" s="4"/>
      <c r="I171" s="4"/>
      <c r="J171" s="4"/>
      <c r="K171" s="4"/>
      <c r="BA171" s="19"/>
      <c r="BB171" s="19"/>
      <c r="BC171" s="19"/>
      <c r="BD171" s="19"/>
      <c r="BE171" s="19"/>
      <c r="BF171" s="19"/>
      <c r="BG171" s="19"/>
      <c r="BH171" s="19"/>
      <c r="BI171" s="19"/>
      <c r="BJ171" s="19"/>
      <c r="BK171" s="19"/>
      <c r="BL171" s="19"/>
      <c r="BM171" s="19"/>
      <c r="BN171" s="19"/>
      <c r="BO171" s="19"/>
      <c r="BP171" s="19"/>
      <c r="BQ171" s="19"/>
      <c r="BR171" s="19"/>
      <c r="BS171" s="19"/>
      <c r="BT171" s="19"/>
      <c r="BU171" s="19"/>
      <c r="BV171" s="19"/>
      <c r="BW171" s="19"/>
      <c r="BX171" s="19"/>
      <c r="BY171" s="19"/>
      <c r="BZ171" s="19"/>
      <c r="CA171" s="19"/>
      <c r="CB171" s="19"/>
      <c r="CC171" s="19"/>
      <c r="CD171" s="19"/>
      <c r="CE171" s="19"/>
      <c r="CF171" s="19"/>
      <c r="CG171" s="19"/>
      <c r="CH171" s="19"/>
      <c r="CI171" s="19"/>
      <c r="CJ171" s="19"/>
      <c r="CK171" s="19"/>
      <c r="CL171" s="19"/>
      <c r="CM171" s="19"/>
      <c r="CN171" s="19"/>
      <c r="CO171" s="19"/>
      <c r="CP171" s="19"/>
      <c r="CQ171" s="19"/>
      <c r="CR171" s="19"/>
      <c r="CS171" s="19"/>
      <c r="CT171" s="19"/>
      <c r="CU171" s="19"/>
      <c r="CV171" s="19"/>
      <c r="CW171" s="19"/>
      <c r="CX171" s="19"/>
      <c r="CY171" s="19"/>
      <c r="CZ171" s="19"/>
      <c r="DD171" s="19" t="s">
        <v>238</v>
      </c>
      <c r="DE171" s="19">
        <v>0</v>
      </c>
      <c r="DF171" s="19">
        <v>2</v>
      </c>
      <c r="DG171" s="19">
        <v>2</v>
      </c>
      <c r="DH171" s="19">
        <v>2</v>
      </c>
      <c r="DI171" s="19">
        <v>6</v>
      </c>
      <c r="DJ171" s="19">
        <v>6</v>
      </c>
      <c r="DK171" s="19">
        <v>6</v>
      </c>
      <c r="DL171" s="19">
        <v>10</v>
      </c>
      <c r="DM171" s="19">
        <v>10</v>
      </c>
      <c r="DN171" s="19">
        <v>10</v>
      </c>
      <c r="DO171" s="19">
        <v>14</v>
      </c>
      <c r="DP171" s="19">
        <v>14</v>
      </c>
      <c r="DQ171" s="19">
        <v>14</v>
      </c>
      <c r="DR171" s="19">
        <v>18</v>
      </c>
      <c r="DS171" s="19">
        <v>18</v>
      </c>
      <c r="DT171" s="19">
        <v>18</v>
      </c>
      <c r="DU171" s="19">
        <v>22</v>
      </c>
      <c r="DV171" s="19">
        <v>22</v>
      </c>
      <c r="DW171" s="19">
        <v>22</v>
      </c>
      <c r="DX171" s="19">
        <v>26</v>
      </c>
      <c r="DY171" s="19">
        <v>26</v>
      </c>
    </row>
    <row r="172" spans="1:238" x14ac:dyDescent="0.25">
      <c r="A172" s="4"/>
      <c r="B172" s="6"/>
      <c r="C172" s="4"/>
      <c r="D172" s="2"/>
      <c r="E172" s="2"/>
      <c r="F172" s="4"/>
      <c r="G172" s="4"/>
      <c r="H172" s="4"/>
      <c r="I172" s="4"/>
      <c r="J172" s="4"/>
      <c r="K172" s="4"/>
      <c r="BA172" s="19"/>
      <c r="BB172" s="19"/>
      <c r="BC172" s="19"/>
      <c r="BD172" s="19"/>
      <c r="BE172" s="19"/>
      <c r="BF172" s="19"/>
      <c r="BG172" s="19"/>
      <c r="BH172" s="19"/>
      <c r="BI172" s="19"/>
      <c r="BJ172" s="19"/>
      <c r="BK172" s="19"/>
      <c r="BL172" s="19"/>
      <c r="BM172" s="19"/>
      <c r="BN172" s="19"/>
      <c r="BO172" s="19"/>
      <c r="BP172" s="19"/>
      <c r="BQ172" s="19"/>
      <c r="BR172" s="19"/>
      <c r="BS172" s="19"/>
      <c r="BT172" s="19"/>
      <c r="BU172" s="19"/>
      <c r="BV172" s="19"/>
      <c r="BW172" s="19"/>
      <c r="BX172" s="19"/>
      <c r="BY172" s="19"/>
      <c r="BZ172" s="19"/>
      <c r="CA172" s="19"/>
      <c r="CB172" s="19"/>
      <c r="CC172" s="19"/>
      <c r="CD172" s="19"/>
      <c r="CE172" s="19"/>
      <c r="CF172" s="19"/>
      <c r="CG172" s="19"/>
      <c r="CH172" s="19"/>
      <c r="CI172" s="19"/>
      <c r="CJ172" s="19"/>
      <c r="CK172" s="19"/>
      <c r="CL172" s="19"/>
      <c r="CM172" s="19"/>
      <c r="CN172" s="19"/>
      <c r="CO172" s="19"/>
      <c r="CP172" s="19"/>
      <c r="CQ172" s="19"/>
      <c r="CR172" s="19"/>
      <c r="CS172" s="19"/>
      <c r="CT172" s="19"/>
      <c r="CU172" s="19"/>
      <c r="CV172" s="19"/>
      <c r="CW172" s="19"/>
      <c r="CX172" s="19"/>
      <c r="CY172" s="19"/>
      <c r="CZ172" s="19"/>
      <c r="DD172" s="19" t="s">
        <v>239</v>
      </c>
      <c r="DE172" s="19">
        <v>0</v>
      </c>
      <c r="DF172" s="19">
        <v>0</v>
      </c>
      <c r="DG172" s="19">
        <v>4</v>
      </c>
      <c r="DH172" s="19">
        <v>8</v>
      </c>
      <c r="DI172" s="19">
        <v>8</v>
      </c>
      <c r="DJ172" s="19">
        <v>12</v>
      </c>
      <c r="DK172" s="19">
        <v>16</v>
      </c>
      <c r="DL172" s="19">
        <v>16</v>
      </c>
      <c r="DM172" s="19">
        <v>20</v>
      </c>
      <c r="DN172" s="19">
        <v>24</v>
      </c>
      <c r="DO172" s="19">
        <v>24</v>
      </c>
      <c r="DP172" s="19">
        <v>28</v>
      </c>
      <c r="DQ172" s="19">
        <v>32</v>
      </c>
      <c r="DR172" s="19">
        <v>32</v>
      </c>
      <c r="DS172" s="19">
        <v>36</v>
      </c>
      <c r="DT172" s="19">
        <v>40</v>
      </c>
      <c r="DU172" s="19">
        <v>40</v>
      </c>
      <c r="DV172" s="19">
        <v>44</v>
      </c>
      <c r="DW172" s="19">
        <v>48</v>
      </c>
      <c r="DX172" s="19">
        <v>48</v>
      </c>
      <c r="DY172" s="19">
        <v>52</v>
      </c>
    </row>
    <row r="173" spans="1:238" x14ac:dyDescent="0.25">
      <c r="A173" s="4"/>
      <c r="B173" s="6"/>
      <c r="C173" s="4"/>
      <c r="F173" s="4"/>
      <c r="G173" s="4"/>
      <c r="H173" s="4"/>
      <c r="I173" s="4"/>
      <c r="J173" s="4"/>
      <c r="K173" s="4"/>
      <c r="BA173" s="19"/>
      <c r="BB173" s="19"/>
      <c r="BC173" s="19"/>
      <c r="BD173" s="19"/>
      <c r="BE173" s="19"/>
      <c r="BF173" s="19"/>
      <c r="BG173" s="19"/>
      <c r="BH173" s="19"/>
      <c r="BI173" s="19"/>
      <c r="BJ173" s="19"/>
      <c r="BK173" s="19"/>
      <c r="BL173" s="19"/>
      <c r="BM173" s="19"/>
      <c r="BN173" s="19"/>
      <c r="BO173" s="19"/>
      <c r="BP173" s="19"/>
      <c r="BQ173" s="19"/>
      <c r="BR173" s="19"/>
      <c r="BS173" s="19"/>
      <c r="BT173" s="19"/>
      <c r="BU173" s="19"/>
      <c r="BV173" s="19"/>
      <c r="BW173" s="19"/>
      <c r="BX173" s="19"/>
      <c r="BY173" s="19"/>
      <c r="BZ173" s="19"/>
      <c r="CA173" s="19"/>
      <c r="DD173" s="26" t="s">
        <v>326</v>
      </c>
      <c r="DE173" s="19">
        <v>0</v>
      </c>
      <c r="DF173" s="19"/>
      <c r="DG173" s="19"/>
      <c r="DH173" s="19"/>
      <c r="DI173" s="19"/>
      <c r="DJ173" s="19"/>
      <c r="DK173" s="19"/>
      <c r="DL173" s="19"/>
      <c r="DM173" s="19"/>
      <c r="DN173" s="19"/>
      <c r="DO173" s="19"/>
      <c r="DP173" s="19"/>
      <c r="DQ173" s="19"/>
      <c r="DR173" s="19"/>
      <c r="DS173" s="19"/>
      <c r="DT173" s="19"/>
      <c r="DU173" s="19"/>
      <c r="DV173" s="19"/>
      <c r="DW173" s="19"/>
      <c r="DX173" s="19"/>
      <c r="DY173" s="19"/>
    </row>
    <row r="174" spans="1:238" x14ac:dyDescent="0.25">
      <c r="A174" s="2"/>
      <c r="B174" s="18"/>
      <c r="C174" s="2"/>
      <c r="F174" s="2"/>
      <c r="G174" s="2"/>
      <c r="H174" s="2"/>
      <c r="I174" s="2"/>
      <c r="J174" s="2"/>
      <c r="K174" s="2"/>
      <c r="BA174" s="19"/>
      <c r="BB174" s="19"/>
      <c r="BC174" s="19"/>
      <c r="BD174" s="19"/>
      <c r="BE174" s="19"/>
      <c r="BF174" s="19"/>
      <c r="BG174" s="19"/>
      <c r="BH174" s="19"/>
      <c r="BI174" s="19"/>
      <c r="BJ174" s="19"/>
      <c r="BK174" s="19"/>
      <c r="BL174" s="19"/>
      <c r="BM174" s="19"/>
      <c r="BN174" s="19"/>
      <c r="BO174" s="19"/>
      <c r="BP174" s="19"/>
      <c r="BQ174" s="19"/>
      <c r="BR174" s="19"/>
      <c r="BS174" s="19"/>
      <c r="BT174" s="19"/>
      <c r="BU174" s="19"/>
      <c r="BV174" s="19"/>
      <c r="BW174" s="19"/>
      <c r="BX174" s="19"/>
      <c r="BY174" s="19"/>
      <c r="BZ174" s="19"/>
      <c r="CA174" s="19"/>
      <c r="DD174" s="26" t="s">
        <v>327</v>
      </c>
      <c r="DE174" s="19">
        <v>0</v>
      </c>
      <c r="DF174" s="19"/>
      <c r="DG174" s="19"/>
      <c r="DH174" s="19"/>
      <c r="DI174" s="19"/>
      <c r="DJ174" s="19"/>
      <c r="DK174" s="19"/>
      <c r="DL174" s="19"/>
      <c r="DM174" s="19"/>
      <c r="DN174" s="19"/>
      <c r="DO174" s="19"/>
      <c r="DP174" s="19"/>
      <c r="DQ174" s="19"/>
      <c r="DR174" s="19"/>
      <c r="DS174" s="19"/>
      <c r="DT174" s="19"/>
      <c r="DU174" s="19"/>
      <c r="DV174" s="19"/>
      <c r="DW174" s="19"/>
      <c r="DX174" s="19"/>
      <c r="DY174" s="19"/>
    </row>
    <row r="175" spans="1:238" x14ac:dyDescent="0.25">
      <c r="BA175" s="19"/>
      <c r="BB175" s="19"/>
      <c r="BC175" s="19"/>
      <c r="BD175" s="19"/>
      <c r="BE175" s="19"/>
      <c r="BF175" s="19"/>
      <c r="BG175" s="19"/>
      <c r="BH175" s="19"/>
      <c r="BI175" s="19"/>
      <c r="BJ175" s="19"/>
      <c r="BK175" s="19"/>
      <c r="BL175" s="19"/>
      <c r="BM175" s="19"/>
      <c r="BN175" s="19"/>
      <c r="BO175" s="19"/>
      <c r="BP175" s="19"/>
      <c r="BQ175" s="19"/>
      <c r="BR175" s="19"/>
      <c r="BS175" s="19"/>
      <c r="BT175" s="19"/>
      <c r="BU175" s="19"/>
      <c r="BV175" s="19"/>
      <c r="BW175" s="19"/>
      <c r="BX175" s="19"/>
      <c r="BY175" s="19"/>
      <c r="BZ175" s="19"/>
      <c r="CA175" s="19"/>
      <c r="DD175" s="26" t="s">
        <v>328</v>
      </c>
      <c r="DE175" s="19">
        <v>0</v>
      </c>
      <c r="DF175" s="19"/>
      <c r="DG175" s="19"/>
      <c r="DH175" s="19"/>
      <c r="DI175" s="19"/>
      <c r="DJ175" s="19"/>
      <c r="DK175" s="19"/>
      <c r="DL175" s="19"/>
      <c r="DM175" s="19"/>
      <c r="DN175" s="19"/>
      <c r="DO175" s="19"/>
      <c r="DP175" s="19"/>
      <c r="DQ175" s="19"/>
      <c r="DR175" s="19"/>
      <c r="DS175" s="19"/>
      <c r="DT175" s="19"/>
      <c r="DU175" s="19"/>
      <c r="DV175" s="19"/>
      <c r="DW175" s="19"/>
      <c r="DX175" s="19"/>
      <c r="DY175" s="19"/>
    </row>
    <row r="176" spans="1:238" x14ac:dyDescent="0.25">
      <c r="DD176" s="19"/>
      <c r="DE176" s="19"/>
      <c r="DF176" s="19"/>
      <c r="DG176" s="19"/>
      <c r="DH176" s="19"/>
      <c r="DI176" s="19"/>
      <c r="DJ176" s="19"/>
      <c r="DK176" s="19"/>
      <c r="DL176" s="19"/>
      <c r="DM176" s="19"/>
      <c r="DN176" s="19"/>
      <c r="DO176" s="19"/>
      <c r="DP176" s="19"/>
      <c r="DQ176" s="19"/>
      <c r="DR176" s="19"/>
      <c r="DS176" s="19"/>
      <c r="DT176" s="19"/>
      <c r="DU176" s="19"/>
      <c r="DV176" s="19"/>
      <c r="DW176" s="19"/>
      <c r="DX176" s="19"/>
      <c r="DY176" s="19"/>
    </row>
    <row r="177" spans="108:129" x14ac:dyDescent="0.25">
      <c r="DD177" s="19" t="s">
        <v>232</v>
      </c>
      <c r="DE177" s="19">
        <v>0</v>
      </c>
      <c r="DF177" s="19">
        <v>1</v>
      </c>
      <c r="DG177" s="19">
        <v>2</v>
      </c>
      <c r="DH177" s="19">
        <v>3</v>
      </c>
      <c r="DI177" s="19">
        <v>4</v>
      </c>
      <c r="DJ177" s="19">
        <v>5</v>
      </c>
      <c r="DK177" s="19">
        <v>6</v>
      </c>
      <c r="DL177" s="19">
        <v>7</v>
      </c>
      <c r="DM177" s="19">
        <v>8</v>
      </c>
      <c r="DN177" s="19">
        <v>9</v>
      </c>
      <c r="DO177" s="19">
        <v>10</v>
      </c>
      <c r="DP177" s="19">
        <v>11</v>
      </c>
      <c r="DQ177" s="19">
        <v>12</v>
      </c>
      <c r="DR177" s="19">
        <v>13</v>
      </c>
      <c r="DS177" s="19">
        <v>14</v>
      </c>
      <c r="DT177" s="19">
        <v>15</v>
      </c>
      <c r="DU177" s="19">
        <v>16</v>
      </c>
      <c r="DV177" s="19">
        <v>17</v>
      </c>
      <c r="DW177" s="19">
        <v>18</v>
      </c>
      <c r="DX177" s="19">
        <v>19</v>
      </c>
      <c r="DY177" s="19">
        <v>20</v>
      </c>
    </row>
    <row r="178" spans="108:129" x14ac:dyDescent="0.25">
      <c r="DD178" s="19" t="s">
        <v>64</v>
      </c>
      <c r="DE178" s="19">
        <v>0</v>
      </c>
      <c r="DF178" s="19">
        <v>0</v>
      </c>
      <c r="DG178" s="19">
        <v>2</v>
      </c>
      <c r="DH178" s="19">
        <v>4</v>
      </c>
      <c r="DI178" s="19">
        <v>0</v>
      </c>
      <c r="DJ178" s="19">
        <v>2</v>
      </c>
      <c r="DK178" s="19">
        <v>4</v>
      </c>
      <c r="DL178" s="19">
        <v>0</v>
      </c>
      <c r="DM178" s="19">
        <v>2</v>
      </c>
      <c r="DN178" s="19">
        <v>4</v>
      </c>
      <c r="DO178" s="19">
        <v>0</v>
      </c>
      <c r="DP178" s="19">
        <v>2</v>
      </c>
      <c r="DQ178" s="19">
        <v>4</v>
      </c>
      <c r="DR178" s="19">
        <v>0</v>
      </c>
      <c r="DS178" s="19">
        <v>2</v>
      </c>
      <c r="DT178" s="19">
        <v>2</v>
      </c>
      <c r="DU178" s="19">
        <v>4</v>
      </c>
      <c r="DV178" s="19">
        <v>0</v>
      </c>
      <c r="DW178" s="19">
        <v>2</v>
      </c>
      <c r="DX178" s="19">
        <v>4</v>
      </c>
      <c r="DY178" s="19">
        <v>0</v>
      </c>
    </row>
    <row r="179" spans="108:129" x14ac:dyDescent="0.25">
      <c r="DD179" s="19" t="s">
        <v>18</v>
      </c>
      <c r="DE179" s="19">
        <v>0</v>
      </c>
      <c r="DF179" s="19">
        <v>2</v>
      </c>
      <c r="DG179" s="19">
        <v>2</v>
      </c>
      <c r="DH179" s="19">
        <v>2</v>
      </c>
      <c r="DI179" s="19">
        <v>6</v>
      </c>
      <c r="DJ179" s="19">
        <v>6</v>
      </c>
      <c r="DK179" s="19">
        <v>6</v>
      </c>
      <c r="DL179" s="19">
        <v>10</v>
      </c>
      <c r="DM179" s="19">
        <v>10</v>
      </c>
      <c r="DN179" s="19">
        <v>10</v>
      </c>
      <c r="DO179" s="19">
        <v>14</v>
      </c>
      <c r="DP179" s="19">
        <v>14</v>
      </c>
      <c r="DQ179" s="19">
        <v>14</v>
      </c>
      <c r="DR179" s="19">
        <v>18</v>
      </c>
      <c r="DS179" s="19">
        <v>18</v>
      </c>
      <c r="DT179" s="19">
        <v>20</v>
      </c>
      <c r="DU179" s="19">
        <v>20</v>
      </c>
      <c r="DV179" s="19">
        <v>24</v>
      </c>
      <c r="DW179" s="19">
        <v>24</v>
      </c>
      <c r="DX179" s="19">
        <v>24</v>
      </c>
      <c r="DY179" s="19">
        <v>28</v>
      </c>
    </row>
    <row r="180" spans="108:129" x14ac:dyDescent="0.25">
      <c r="DD180" s="19" t="s">
        <v>179</v>
      </c>
      <c r="DE180" s="19">
        <v>0</v>
      </c>
      <c r="DF180" s="19">
        <v>0</v>
      </c>
      <c r="DG180" s="19">
        <v>4</v>
      </c>
      <c r="DH180" s="19">
        <v>8</v>
      </c>
      <c r="DI180" s="19">
        <v>8</v>
      </c>
      <c r="DJ180" s="19">
        <v>12</v>
      </c>
      <c r="DK180" s="19">
        <v>16</v>
      </c>
      <c r="DL180" s="19">
        <v>16</v>
      </c>
      <c r="DM180" s="19">
        <v>20</v>
      </c>
      <c r="DN180" s="19">
        <v>24</v>
      </c>
      <c r="DO180" s="19">
        <v>24</v>
      </c>
      <c r="DP180" s="19">
        <v>28</v>
      </c>
      <c r="DQ180" s="19">
        <v>32</v>
      </c>
      <c r="DR180" s="19">
        <v>32</v>
      </c>
      <c r="DS180" s="19">
        <v>36</v>
      </c>
      <c r="DT180" s="19">
        <v>40</v>
      </c>
      <c r="DU180" s="19">
        <v>44</v>
      </c>
      <c r="DV180" s="19">
        <v>44</v>
      </c>
      <c r="DW180" s="19">
        <v>48</v>
      </c>
      <c r="DX180" s="19">
        <v>52</v>
      </c>
      <c r="DY180" s="19">
        <v>52</v>
      </c>
    </row>
    <row r="181" spans="108:129" x14ac:dyDescent="0.25">
      <c r="DD181" s="19" t="s">
        <v>236</v>
      </c>
      <c r="DE181" s="19">
        <v>0</v>
      </c>
      <c r="DF181" s="19">
        <v>0</v>
      </c>
      <c r="DG181" s="19">
        <v>2</v>
      </c>
      <c r="DH181" s="19">
        <v>4</v>
      </c>
      <c r="DI181" s="19">
        <v>0</v>
      </c>
      <c r="DJ181" s="19">
        <v>2</v>
      </c>
      <c r="DK181" s="19">
        <v>4</v>
      </c>
      <c r="DL181" s="19">
        <v>0</v>
      </c>
      <c r="DM181" s="19">
        <v>2</v>
      </c>
      <c r="DN181" s="19">
        <v>4</v>
      </c>
      <c r="DO181" s="19">
        <v>0</v>
      </c>
      <c r="DP181" s="19">
        <v>2</v>
      </c>
      <c r="DQ181" s="19">
        <v>4</v>
      </c>
      <c r="DR181" s="19">
        <v>0</v>
      </c>
      <c r="DS181" s="19">
        <v>2</v>
      </c>
      <c r="DT181" s="19">
        <v>2</v>
      </c>
      <c r="DU181" s="19">
        <v>4</v>
      </c>
      <c r="DV181" s="19">
        <v>0</v>
      </c>
      <c r="DW181" s="19">
        <v>2</v>
      </c>
      <c r="DX181" s="19">
        <v>4</v>
      </c>
      <c r="DY181" s="19">
        <v>0</v>
      </c>
    </row>
    <row r="182" spans="108:129" x14ac:dyDescent="0.25">
      <c r="DD182" s="19" t="s">
        <v>238</v>
      </c>
      <c r="DE182" s="19">
        <v>0</v>
      </c>
      <c r="DF182" s="19">
        <v>2</v>
      </c>
      <c r="DG182" s="19">
        <v>2</v>
      </c>
      <c r="DH182" s="19">
        <v>2</v>
      </c>
      <c r="DI182" s="19">
        <v>6</v>
      </c>
      <c r="DJ182" s="19">
        <v>6</v>
      </c>
      <c r="DK182" s="19">
        <v>6</v>
      </c>
      <c r="DL182" s="19">
        <v>10</v>
      </c>
      <c r="DM182" s="19">
        <v>10</v>
      </c>
      <c r="DN182" s="19">
        <v>10</v>
      </c>
      <c r="DO182" s="19">
        <v>14</v>
      </c>
      <c r="DP182" s="19">
        <v>14</v>
      </c>
      <c r="DQ182" s="19">
        <v>14</v>
      </c>
      <c r="DR182" s="19">
        <v>18</v>
      </c>
      <c r="DS182" s="19">
        <v>18</v>
      </c>
      <c r="DT182" s="19">
        <v>20</v>
      </c>
      <c r="DU182" s="19">
        <v>20</v>
      </c>
      <c r="DV182" s="19">
        <v>24</v>
      </c>
      <c r="DW182" s="19">
        <v>24</v>
      </c>
      <c r="DX182" s="19">
        <v>24</v>
      </c>
      <c r="DY182" s="19">
        <v>28</v>
      </c>
    </row>
    <row r="183" spans="108:129" x14ac:dyDescent="0.25">
      <c r="DD183" s="19" t="s">
        <v>239</v>
      </c>
      <c r="DE183" s="19">
        <v>0</v>
      </c>
      <c r="DF183" s="19">
        <v>0</v>
      </c>
      <c r="DG183" s="19">
        <v>4</v>
      </c>
      <c r="DH183" s="19">
        <v>8</v>
      </c>
      <c r="DI183" s="19">
        <v>8</v>
      </c>
      <c r="DJ183" s="19">
        <v>12</v>
      </c>
      <c r="DK183" s="19">
        <v>16</v>
      </c>
      <c r="DL183" s="19">
        <v>16</v>
      </c>
      <c r="DM183" s="19">
        <v>20</v>
      </c>
      <c r="DN183" s="19">
        <v>24</v>
      </c>
      <c r="DO183" s="19">
        <v>24</v>
      </c>
      <c r="DP183" s="19">
        <v>28</v>
      </c>
      <c r="DQ183" s="19">
        <v>32</v>
      </c>
      <c r="DR183" s="19">
        <v>32</v>
      </c>
      <c r="DS183" s="19">
        <v>36</v>
      </c>
      <c r="DT183" s="19">
        <v>40</v>
      </c>
      <c r="DU183" s="19">
        <v>44</v>
      </c>
      <c r="DV183" s="19">
        <v>44</v>
      </c>
      <c r="DW183" s="19">
        <v>48</v>
      </c>
      <c r="DX183" s="19">
        <v>52</v>
      </c>
      <c r="DY183" s="19">
        <v>52</v>
      </c>
    </row>
    <row r="184" spans="108:129" x14ac:dyDescent="0.25">
      <c r="DD184" s="26" t="s">
        <v>326</v>
      </c>
      <c r="DE184" s="19">
        <v>0</v>
      </c>
      <c r="DF184" s="19"/>
      <c r="DG184" s="19"/>
      <c r="DH184" s="19"/>
      <c r="DI184" s="19"/>
      <c r="DJ184" s="19"/>
      <c r="DK184" s="19"/>
      <c r="DL184" s="19"/>
      <c r="DM184" s="19"/>
      <c r="DN184" s="19"/>
      <c r="DO184" s="19"/>
      <c r="DP184" s="19"/>
      <c r="DQ184" s="19"/>
      <c r="DR184" s="19"/>
      <c r="DS184" s="19"/>
      <c r="DT184" s="19"/>
      <c r="DU184" s="19"/>
      <c r="DV184" s="19"/>
      <c r="DW184" s="19"/>
      <c r="DX184" s="19"/>
      <c r="DY184" s="19"/>
    </row>
    <row r="185" spans="108:129" x14ac:dyDescent="0.25">
      <c r="DD185" s="26" t="s">
        <v>327</v>
      </c>
      <c r="DE185" s="19">
        <v>0</v>
      </c>
      <c r="DF185" s="19"/>
      <c r="DG185" s="19"/>
      <c r="DH185" s="19"/>
      <c r="DI185" s="19"/>
      <c r="DJ185" s="19"/>
      <c r="DK185" s="19"/>
      <c r="DL185" s="19"/>
      <c r="DM185" s="19"/>
      <c r="DN185" s="19"/>
      <c r="DO185" s="19"/>
      <c r="DP185" s="19"/>
      <c r="DQ185" s="19"/>
      <c r="DR185" s="19"/>
      <c r="DS185" s="19"/>
      <c r="DT185" s="19"/>
      <c r="DU185" s="19"/>
      <c r="DV185" s="19"/>
      <c r="DW185" s="19"/>
      <c r="DX185" s="19"/>
      <c r="DY185" s="19"/>
    </row>
    <row r="186" spans="108:129" x14ac:dyDescent="0.25">
      <c r="DD186" s="26" t="s">
        <v>328</v>
      </c>
      <c r="DE186" s="19">
        <v>0</v>
      </c>
      <c r="DF186" s="19"/>
      <c r="DG186" s="19"/>
      <c r="DH186" s="19"/>
      <c r="DI186" s="19"/>
      <c r="DJ186" s="19"/>
      <c r="DK186" s="19"/>
      <c r="DL186" s="19"/>
      <c r="DM186" s="19"/>
      <c r="DN186" s="19"/>
      <c r="DO186" s="19"/>
      <c r="DP186" s="19"/>
      <c r="DQ186" s="19"/>
      <c r="DR186" s="19"/>
      <c r="DS186" s="19"/>
      <c r="DT186" s="19"/>
      <c r="DU186" s="19"/>
      <c r="DV186" s="19"/>
      <c r="DW186" s="19"/>
      <c r="DX186" s="19"/>
      <c r="DY186" s="19"/>
    </row>
    <row r="187" spans="108:129" x14ac:dyDescent="0.25">
      <c r="DD187" s="19"/>
      <c r="DE187" s="19"/>
      <c r="DF187" s="19"/>
      <c r="DG187" s="19"/>
      <c r="DH187" s="19"/>
      <c r="DI187" s="19"/>
      <c r="DJ187" s="19"/>
      <c r="DK187" s="19"/>
      <c r="DL187" s="19"/>
      <c r="DM187" s="19"/>
      <c r="DN187" s="19"/>
      <c r="DO187" s="19"/>
      <c r="DP187" s="19"/>
      <c r="DQ187" s="19"/>
      <c r="DR187" s="19"/>
      <c r="DS187" s="19"/>
      <c r="DT187" s="19"/>
      <c r="DU187" s="19"/>
      <c r="DV187" s="19"/>
      <c r="DW187" s="19"/>
      <c r="DX187" s="19"/>
      <c r="DY187" s="19"/>
    </row>
    <row r="188" spans="108:129" x14ac:dyDescent="0.25">
      <c r="DD188" s="19" t="s">
        <v>231</v>
      </c>
      <c r="DE188" s="19">
        <v>0</v>
      </c>
      <c r="DF188" s="19">
        <v>1</v>
      </c>
      <c r="DG188" s="19">
        <v>2</v>
      </c>
      <c r="DH188" s="19">
        <v>3</v>
      </c>
      <c r="DI188" s="19">
        <v>4</v>
      </c>
      <c r="DJ188" s="19">
        <v>5</v>
      </c>
      <c r="DK188" s="19">
        <v>6</v>
      </c>
      <c r="DL188" s="19">
        <v>7</v>
      </c>
      <c r="DM188" s="19">
        <v>8</v>
      </c>
      <c r="DN188" s="19">
        <v>9</v>
      </c>
      <c r="DO188" s="19">
        <v>10</v>
      </c>
      <c r="DP188" s="19">
        <v>11</v>
      </c>
      <c r="DQ188" s="19">
        <v>12</v>
      </c>
      <c r="DR188" s="19">
        <v>13</v>
      </c>
      <c r="DS188" s="19">
        <v>14</v>
      </c>
      <c r="DT188" s="19">
        <v>15</v>
      </c>
      <c r="DU188" s="19">
        <v>16</v>
      </c>
      <c r="DV188" s="19">
        <v>17</v>
      </c>
      <c r="DW188" s="19">
        <v>18</v>
      </c>
      <c r="DX188" s="19">
        <v>19</v>
      </c>
      <c r="DY188" s="19">
        <v>20</v>
      </c>
    </row>
    <row r="189" spans="108:129" x14ac:dyDescent="0.25">
      <c r="DD189" s="19" t="s">
        <v>64</v>
      </c>
      <c r="DE189" s="19">
        <v>0</v>
      </c>
      <c r="DF189" s="19">
        <v>0</v>
      </c>
      <c r="DG189" s="19">
        <v>2</v>
      </c>
      <c r="DH189" s="19">
        <v>4</v>
      </c>
      <c r="DI189" s="19">
        <v>0</v>
      </c>
      <c r="DJ189" s="19">
        <v>2</v>
      </c>
      <c r="DK189" s="19">
        <v>4</v>
      </c>
      <c r="DL189" s="19">
        <v>0</v>
      </c>
      <c r="DM189" s="19">
        <v>2</v>
      </c>
      <c r="DN189" s="19">
        <v>2</v>
      </c>
      <c r="DO189" s="19">
        <v>4</v>
      </c>
      <c r="DP189" s="19">
        <v>0</v>
      </c>
      <c r="DQ189" s="19">
        <v>2</v>
      </c>
      <c r="DR189" s="19">
        <v>4</v>
      </c>
      <c r="DS189" s="19">
        <v>0</v>
      </c>
      <c r="DT189" s="19">
        <v>2</v>
      </c>
      <c r="DU189" s="19">
        <v>4</v>
      </c>
      <c r="DV189" s="19">
        <v>0</v>
      </c>
      <c r="DW189" s="19">
        <v>0</v>
      </c>
      <c r="DX189" s="19">
        <v>2</v>
      </c>
      <c r="DY189" s="19">
        <v>4</v>
      </c>
    </row>
    <row r="190" spans="108:129" x14ac:dyDescent="0.25">
      <c r="DD190" s="19" t="s">
        <v>18</v>
      </c>
      <c r="DE190" s="19">
        <v>0</v>
      </c>
      <c r="DF190" s="19">
        <v>2</v>
      </c>
      <c r="DG190" s="19">
        <v>2</v>
      </c>
      <c r="DH190" s="19">
        <v>2</v>
      </c>
      <c r="DI190" s="19">
        <v>6</v>
      </c>
      <c r="DJ190" s="19">
        <v>6</v>
      </c>
      <c r="DK190" s="19">
        <v>6</v>
      </c>
      <c r="DL190" s="19">
        <v>10</v>
      </c>
      <c r="DM190" s="19">
        <v>10</v>
      </c>
      <c r="DN190" s="19">
        <v>12</v>
      </c>
      <c r="DO190" s="19">
        <v>12</v>
      </c>
      <c r="DP190" s="19">
        <v>16</v>
      </c>
      <c r="DQ190" s="19">
        <v>16</v>
      </c>
      <c r="DR190" s="19">
        <v>16</v>
      </c>
      <c r="DS190" s="19">
        <v>20</v>
      </c>
      <c r="DT190" s="19">
        <v>20</v>
      </c>
      <c r="DU190" s="19">
        <v>20</v>
      </c>
      <c r="DV190" s="19">
        <v>24</v>
      </c>
      <c r="DW190" s="19">
        <v>26</v>
      </c>
      <c r="DX190" s="19">
        <v>26</v>
      </c>
      <c r="DY190" s="19">
        <v>26</v>
      </c>
    </row>
    <row r="191" spans="108:129" x14ac:dyDescent="0.25">
      <c r="DD191" s="19" t="s">
        <v>179</v>
      </c>
      <c r="DE191" s="19">
        <v>0</v>
      </c>
      <c r="DF191" s="19">
        <v>0</v>
      </c>
      <c r="DG191" s="19">
        <v>4</v>
      </c>
      <c r="DH191" s="19">
        <v>8</v>
      </c>
      <c r="DI191" s="19">
        <v>8</v>
      </c>
      <c r="DJ191" s="19">
        <v>12</v>
      </c>
      <c r="DK191" s="19">
        <v>16</v>
      </c>
      <c r="DL191" s="19">
        <v>16</v>
      </c>
      <c r="DM191" s="19">
        <v>20</v>
      </c>
      <c r="DN191" s="19">
        <v>24</v>
      </c>
      <c r="DO191" s="19">
        <v>28</v>
      </c>
      <c r="DP191" s="19">
        <v>28</v>
      </c>
      <c r="DQ191" s="19">
        <v>32</v>
      </c>
      <c r="DR191" s="19">
        <v>36</v>
      </c>
      <c r="DS191" s="19">
        <v>36</v>
      </c>
      <c r="DT191" s="19">
        <v>40</v>
      </c>
      <c r="DU191" s="19">
        <v>44</v>
      </c>
      <c r="DV191" s="19">
        <v>44</v>
      </c>
      <c r="DW191" s="19">
        <v>48</v>
      </c>
      <c r="DX191" s="19">
        <v>52</v>
      </c>
      <c r="DY191" s="19">
        <v>56</v>
      </c>
    </row>
    <row r="192" spans="108:129" x14ac:dyDescent="0.25">
      <c r="DD192" s="19" t="s">
        <v>236</v>
      </c>
      <c r="DE192" s="19">
        <v>0</v>
      </c>
      <c r="DF192" s="19">
        <v>0</v>
      </c>
      <c r="DG192" s="19">
        <v>2</v>
      </c>
      <c r="DH192" s="19">
        <v>4</v>
      </c>
      <c r="DI192" s="19">
        <v>0</v>
      </c>
      <c r="DJ192" s="19">
        <v>2</v>
      </c>
      <c r="DK192" s="19">
        <v>4</v>
      </c>
      <c r="DL192" s="19">
        <v>0</v>
      </c>
      <c r="DM192" s="19">
        <v>2</v>
      </c>
      <c r="DN192" s="19">
        <v>2</v>
      </c>
      <c r="DO192" s="19">
        <v>4</v>
      </c>
      <c r="DP192" s="19">
        <v>0</v>
      </c>
      <c r="DQ192" s="19">
        <v>2</v>
      </c>
      <c r="DR192" s="19">
        <v>4</v>
      </c>
      <c r="DS192" s="19">
        <v>0</v>
      </c>
      <c r="DT192" s="19">
        <v>2</v>
      </c>
      <c r="DU192" s="19">
        <v>4</v>
      </c>
      <c r="DV192" s="19">
        <v>0</v>
      </c>
      <c r="DW192" s="19">
        <v>0</v>
      </c>
      <c r="DX192" s="19">
        <v>2</v>
      </c>
      <c r="DY192" s="19">
        <v>4</v>
      </c>
    </row>
    <row r="193" spans="108:129" x14ac:dyDescent="0.25">
      <c r="DD193" s="19" t="s">
        <v>238</v>
      </c>
      <c r="DE193" s="19">
        <v>0</v>
      </c>
      <c r="DF193" s="19">
        <v>2</v>
      </c>
      <c r="DG193" s="19">
        <v>2</v>
      </c>
      <c r="DH193" s="19">
        <v>2</v>
      </c>
      <c r="DI193" s="19">
        <v>6</v>
      </c>
      <c r="DJ193" s="19">
        <v>6</v>
      </c>
      <c r="DK193" s="19">
        <v>6</v>
      </c>
      <c r="DL193" s="19">
        <v>10</v>
      </c>
      <c r="DM193" s="19">
        <v>10</v>
      </c>
      <c r="DN193" s="19">
        <v>12</v>
      </c>
      <c r="DO193" s="19">
        <v>12</v>
      </c>
      <c r="DP193" s="19">
        <v>16</v>
      </c>
      <c r="DQ193" s="19">
        <v>16</v>
      </c>
      <c r="DR193" s="19">
        <v>16</v>
      </c>
      <c r="DS193" s="19">
        <v>20</v>
      </c>
      <c r="DT193" s="19">
        <v>20</v>
      </c>
      <c r="DU193" s="19">
        <v>20</v>
      </c>
      <c r="DV193" s="19">
        <v>24</v>
      </c>
      <c r="DW193" s="19">
        <v>26</v>
      </c>
      <c r="DX193" s="19">
        <v>26</v>
      </c>
      <c r="DY193" s="19">
        <v>26</v>
      </c>
    </row>
    <row r="194" spans="108:129" x14ac:dyDescent="0.25">
      <c r="DD194" s="19" t="s">
        <v>239</v>
      </c>
      <c r="DE194" s="19">
        <v>0</v>
      </c>
      <c r="DF194" s="19">
        <v>0</v>
      </c>
      <c r="DG194" s="19">
        <v>4</v>
      </c>
      <c r="DH194" s="19">
        <v>8</v>
      </c>
      <c r="DI194" s="19">
        <v>8</v>
      </c>
      <c r="DJ194" s="19">
        <v>12</v>
      </c>
      <c r="DK194" s="19">
        <v>16</v>
      </c>
      <c r="DL194" s="19">
        <v>16</v>
      </c>
      <c r="DM194" s="19">
        <v>20</v>
      </c>
      <c r="DN194" s="19">
        <v>24</v>
      </c>
      <c r="DO194" s="19">
        <v>28</v>
      </c>
      <c r="DP194" s="19">
        <v>28</v>
      </c>
      <c r="DQ194" s="19">
        <v>32</v>
      </c>
      <c r="DR194" s="19">
        <v>36</v>
      </c>
      <c r="DS194" s="19">
        <v>36</v>
      </c>
      <c r="DT194" s="19">
        <v>40</v>
      </c>
      <c r="DU194" s="19">
        <v>44</v>
      </c>
      <c r="DV194" s="19">
        <v>44</v>
      </c>
      <c r="DW194" s="19">
        <v>48</v>
      </c>
      <c r="DX194" s="19">
        <v>52</v>
      </c>
      <c r="DY194" s="19">
        <v>56</v>
      </c>
    </row>
    <row r="195" spans="108:129" x14ac:dyDescent="0.25">
      <c r="DD195" s="26" t="s">
        <v>326</v>
      </c>
      <c r="DE195" s="19">
        <v>0</v>
      </c>
      <c r="DF195" s="19"/>
      <c r="DG195" s="19"/>
      <c r="DH195" s="19"/>
      <c r="DI195" s="19"/>
      <c r="DJ195" s="19"/>
      <c r="DK195" s="19"/>
      <c r="DL195" s="19"/>
      <c r="DM195" s="19"/>
      <c r="DN195" s="19"/>
      <c r="DO195" s="19"/>
      <c r="DP195" s="19"/>
      <c r="DQ195" s="19"/>
      <c r="DR195" s="19"/>
      <c r="DS195" s="19"/>
      <c r="DT195" s="19"/>
      <c r="DU195" s="19"/>
      <c r="DV195" s="19"/>
      <c r="DW195" s="19"/>
      <c r="DX195" s="19"/>
      <c r="DY195" s="19"/>
    </row>
    <row r="196" spans="108:129" x14ac:dyDescent="0.25">
      <c r="DD196" s="26" t="s">
        <v>327</v>
      </c>
      <c r="DE196" s="19">
        <v>0</v>
      </c>
      <c r="DF196" s="19"/>
      <c r="DG196" s="19"/>
      <c r="DH196" s="19"/>
      <c r="DI196" s="19"/>
      <c r="DJ196" s="19"/>
      <c r="DK196" s="19"/>
      <c r="DL196" s="19"/>
      <c r="DM196" s="19"/>
      <c r="DN196" s="19"/>
      <c r="DO196" s="19"/>
      <c r="DP196" s="19"/>
      <c r="DQ196" s="19"/>
      <c r="DR196" s="19"/>
      <c r="DS196" s="19"/>
      <c r="DT196" s="19"/>
      <c r="DU196" s="19"/>
      <c r="DV196" s="19"/>
      <c r="DW196" s="19"/>
      <c r="DX196" s="19"/>
      <c r="DY196" s="19"/>
    </row>
    <row r="197" spans="108:129" x14ac:dyDescent="0.25">
      <c r="DD197" s="26" t="s">
        <v>328</v>
      </c>
      <c r="DE197" s="19">
        <v>0</v>
      </c>
      <c r="DF197" s="19"/>
      <c r="DG197" s="19"/>
      <c r="DH197" s="19"/>
      <c r="DI197" s="19"/>
      <c r="DJ197" s="19"/>
      <c r="DK197" s="19"/>
      <c r="DL197" s="19"/>
      <c r="DM197" s="19"/>
      <c r="DN197" s="19"/>
      <c r="DO197" s="19"/>
      <c r="DP197" s="19"/>
      <c r="DQ197" s="19"/>
      <c r="DR197" s="19"/>
      <c r="DS197" s="19"/>
      <c r="DT197" s="19"/>
      <c r="DU197" s="19"/>
      <c r="DV197" s="19"/>
      <c r="DW197" s="19"/>
      <c r="DX197" s="19"/>
      <c r="DY197" s="19"/>
    </row>
    <row r="198" spans="108:129" x14ac:dyDescent="0.25"/>
  </sheetData>
  <sheetProtection algorithmName="SHA-512" hashValue="WUQw9lhEBRiCfNmMkh88ZUU64fu07N3omrUXdZinEB0+sI8Vt62vBjjonNMc3K4xbBN9lDyEt0hVScRz3e6Dqw==" saltValue="DGXoesc4GDz4NaAV/0VC5Q==" spinCount="100000" sheet="1" objects="1" scenarios="1"/>
  <mergeCells count="21">
    <mergeCell ref="L153:U153"/>
    <mergeCell ref="F161:I165"/>
    <mergeCell ref="L131:U131"/>
    <mergeCell ref="Y124:AD124"/>
    <mergeCell ref="L1:U1"/>
    <mergeCell ref="L68:U68"/>
    <mergeCell ref="Y64:AD64"/>
    <mergeCell ref="L90:U90"/>
    <mergeCell ref="Y86:AD86"/>
    <mergeCell ref="L112:U112"/>
    <mergeCell ref="F55:I59"/>
    <mergeCell ref="F76:I80"/>
    <mergeCell ref="F99:I103"/>
    <mergeCell ref="F139:I143"/>
    <mergeCell ref="F10:I14"/>
    <mergeCell ref="F32:I36"/>
    <mergeCell ref="AM1:AR1"/>
    <mergeCell ref="L23:U23"/>
    <mergeCell ref="Y21:AD21"/>
    <mergeCell ref="L46:U46"/>
    <mergeCell ref="Y45:AD45"/>
  </mergeCells>
  <conditionalFormatting sqref="F6">
    <cfRule type="expression" dxfId="19" priority="5">
      <formula>IF($E$6="klick",1)</formula>
    </cfRule>
  </conditionalFormatting>
  <conditionalFormatting sqref="F28">
    <cfRule type="expression" dxfId="18" priority="6">
      <formula>IF($E$28="klick",1)</formula>
    </cfRule>
  </conditionalFormatting>
  <conditionalFormatting sqref="F51">
    <cfRule type="expression" dxfId="17" priority="4">
      <formula>IF($E$51="klick",1)</formula>
    </cfRule>
  </conditionalFormatting>
  <conditionalFormatting sqref="F73">
    <cfRule type="expression" dxfId="16" priority="3">
      <formula>IF($E$73="klick",1)</formula>
    </cfRule>
  </conditionalFormatting>
  <conditionalFormatting sqref="F95">
    <cfRule type="expression" dxfId="15" priority="2">
      <formula>IF($E$95="klick",1)</formula>
    </cfRule>
  </conditionalFormatting>
  <conditionalFormatting sqref="F136">
    <cfRule type="expression" dxfId="14" priority="1">
      <formula>IF($E$136="klick",1)</formula>
    </cfRule>
  </conditionalFormatting>
  <dataValidations count="14">
    <dataValidation type="list" allowBlank="1" showInputMessage="1" showErrorMessage="1" sqref="I3 I25 I48 I70 I92 I114 I133 I155" xr:uid="{00000000-0002-0000-0200-000000000000}">
      <formula1>$DB$61:$DB$68</formula1>
    </dataValidation>
    <dataValidation type="list" allowBlank="1" showInputMessage="1" showErrorMessage="1" sqref="E54" xr:uid="{00000000-0002-0000-0200-000001000000}">
      <formula1>$AF$45:$AF$46</formula1>
    </dataValidation>
    <dataValidation type="list" allowBlank="1" showInputMessage="1" showErrorMessage="1" sqref="E99 E10 E76 E32 E55 E139" xr:uid="{00000000-0002-0000-0200-000002000000}">
      <formula1>$AK$22:$AK$24</formula1>
    </dataValidation>
    <dataValidation type="custom" showInputMessage="1" showErrorMessage="1" error="W pierwszej kolejności należy uzupełnić ilość modułów w rzędzie" sqref="C24:C39 C47:C62 C69:C84 C91:C106 C113:C128 C132:C147 C2:C17 C154:C169" xr:uid="{00000000-0002-0000-0200-000003000000}">
      <formula1>A2&gt;0</formula1>
    </dataValidation>
    <dataValidation type="list" allowBlank="1" showInputMessage="1" showErrorMessage="1" sqref="A2:A17 A24:A39 A47:A62 A69:A84 A91:A106 A113:A128 A132:A147 A154:A169" xr:uid="{00000000-0002-0000-0200-000004000000}">
      <formula1>$DB$2:$DB$26</formula1>
    </dataValidation>
    <dataValidation type="list" allowBlank="1" showInputMessage="1" showErrorMessage="1" sqref="E30" xr:uid="{00000000-0002-0000-0200-000005000000}">
      <formula1>$AF$22:$AF$25</formula1>
    </dataValidation>
    <dataValidation type="list" allowBlank="1" showInputMessage="1" showErrorMessage="1" sqref="E74 E52 E29 E96 E118 E137 E7 E158" xr:uid="{00000000-0002-0000-0200-000006000000}">
      <formula1>$AD$1:$AD$2</formula1>
    </dataValidation>
    <dataValidation type="list" allowBlank="1" showInputMessage="1" showErrorMessage="1" sqref="E8" xr:uid="{00000000-0002-0000-0200-000007000000}">
      <formula1>$Y$1:$Y$4</formula1>
    </dataValidation>
    <dataValidation type="list" allowBlank="1" showInputMessage="1" showErrorMessage="1" sqref="E117 E136 E95 E73 E51 E28 E6" xr:uid="{00000000-0002-0000-0200-000008000000}">
      <formula1>$AC$1:$AC$2</formula1>
    </dataValidation>
    <dataValidation type="list" allowBlank="1" showInputMessage="1" showErrorMessage="1" sqref="E5 E27 E50 E72 E94 E116 E135 E157" xr:uid="{00000000-0002-0000-0200-000009000000}">
      <formula1>$AB$1:$AB$2</formula1>
    </dataValidation>
    <dataValidation type="list" allowBlank="1" showInputMessage="1" showErrorMessage="1" sqref="G3 G25 G48 G70 G92 G114 G133 G155" xr:uid="{00000000-0002-0000-0200-00000A000000}">
      <formula1>$AH$22:$AH$29</formula1>
    </dataValidation>
    <dataValidation type="list" allowBlank="1" showInputMessage="1" showErrorMessage="1" sqref="E115" xr:uid="{00000000-0002-0000-0200-00000B000000}">
      <formula1>$Y$107:$Y$109</formula1>
    </dataValidation>
    <dataValidation type="list" allowBlank="1" showInputMessage="1" showErrorMessage="1" sqref="E3 E25 E48 E70 E92 E114 E133 E155" xr:uid="{00000000-0002-0000-0200-00000C000000}">
      <formula1>$AH$30:$AH$47</formula1>
    </dataValidation>
    <dataValidation type="list" allowBlank="1" showInputMessage="1" showErrorMessage="1" sqref="E98" xr:uid="{00000000-0002-0000-0200-00000D000000}">
      <formula1>$AD$106:$AD$109</formula1>
    </dataValidation>
  </dataValidations>
  <hyperlinks>
    <hyperlink ref="D13" r:id="rId1" xr:uid="{76DE255E-95CA-4037-8A2B-C0A2CED10AA0}"/>
    <hyperlink ref="D35" r:id="rId2" xr:uid="{4714E176-5116-4E62-B338-9331B76DBEA5}"/>
    <hyperlink ref="D58" r:id="rId3" xr:uid="{7B20153D-43DA-4001-A40A-869C7ACCDCB0}"/>
    <hyperlink ref="D79" r:id="rId4" xr:uid="{E0CA85CA-95D5-4342-AE6C-898AA0EF0C7F}"/>
    <hyperlink ref="D102" r:id="rId5" xr:uid="{18455888-F11D-44D3-A87A-CAD7526F5980}"/>
    <hyperlink ref="D122" r:id="rId6" xr:uid="{3015514B-C73C-4E19-8480-6A25C85CE7DE}"/>
    <hyperlink ref="D142" r:id="rId7" xr:uid="{253F6B32-6025-4868-BF9B-CD0111D45EFA}"/>
    <hyperlink ref="D162" r:id="rId8" xr:uid="{38555907-76FA-49BF-82C2-18BA3EC4ED3F}"/>
    <hyperlink ref="D123" r:id="rId9" xr:uid="{E62C0D14-C0AE-4203-A375-95D933E37AEF}"/>
  </hyperlinks>
  <pageMargins left="0.7" right="0.7" top="0.75" bottom="0.75" header="0.3" footer="0.3"/>
  <pageSetup paperSize="9" orientation="portrait" r:id="rId10"/>
  <drawing r:id="rId11"/>
  <legacyDrawing r:id="rId1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Arkusz4"/>
  <dimension ref="A1:KN167"/>
  <sheetViews>
    <sheetView showGridLines="0" zoomScale="85" zoomScaleNormal="85" workbookViewId="0">
      <selection activeCell="A2" sqref="A2"/>
    </sheetView>
  </sheetViews>
  <sheetFormatPr defaultColWidth="0" defaultRowHeight="15" zeroHeight="1" x14ac:dyDescent="0.25"/>
  <cols>
    <col min="1" max="1" width="10.7109375" style="1" customWidth="1"/>
    <col min="2" max="2" width="1.85546875" style="1" bestFit="1" customWidth="1"/>
    <col min="3" max="3" width="10.140625" style="1" customWidth="1"/>
    <col min="4" max="4" width="26.7109375" style="1" bestFit="1" customWidth="1"/>
    <col min="5" max="5" width="16.28515625" style="1" bestFit="1" customWidth="1"/>
    <col min="6" max="6" width="2" style="1" bestFit="1" customWidth="1"/>
    <col min="7" max="7" width="10.140625" style="1" bestFit="1" customWidth="1"/>
    <col min="8" max="8" width="2" style="1" bestFit="1" customWidth="1"/>
    <col min="9" max="9" width="3.42578125" style="1" bestFit="1" customWidth="1"/>
    <col min="10" max="10" width="5.42578125" style="1" bestFit="1" customWidth="1"/>
    <col min="11" max="11" width="9.140625" style="1" customWidth="1"/>
    <col min="12" max="12" width="17.85546875" style="1" bestFit="1" customWidth="1"/>
    <col min="13" max="13" width="13.85546875" style="1" bestFit="1" customWidth="1"/>
    <col min="14" max="14" width="7.140625" style="1" bestFit="1" customWidth="1"/>
    <col min="15" max="15" width="9.140625" style="1" bestFit="1" customWidth="1"/>
    <col min="16" max="16" width="13" style="1" bestFit="1" customWidth="1"/>
    <col min="17" max="17" width="15.85546875" style="1" bestFit="1" customWidth="1"/>
    <col min="18" max="18" width="5.7109375" style="1" bestFit="1" customWidth="1"/>
    <col min="19" max="19" width="22.28515625" style="1" bestFit="1" customWidth="1"/>
    <col min="20" max="20" width="25.140625" style="1" bestFit="1" customWidth="1"/>
    <col min="21" max="21" width="13.5703125" style="1" bestFit="1" customWidth="1"/>
    <col min="22" max="23" width="9.140625" style="64" customWidth="1"/>
    <col min="24" max="24" width="10.140625" style="64" bestFit="1" customWidth="1"/>
    <col min="25" max="25" width="9.140625" style="64" customWidth="1"/>
    <col min="26" max="26" width="9.85546875" style="64" bestFit="1" customWidth="1"/>
    <col min="27" max="27" width="11.5703125" style="64" bestFit="1" customWidth="1"/>
    <col min="28" max="31" width="12.5703125" style="64" bestFit="1" customWidth="1"/>
    <col min="32" max="32" width="9.140625" style="64" customWidth="1"/>
    <col min="33" max="37" width="9.140625" style="64" hidden="1" customWidth="1"/>
    <col min="38" max="38" width="16.7109375" style="64" hidden="1" customWidth="1"/>
    <col min="39" max="45" width="3.7109375" style="64" hidden="1" customWidth="1"/>
    <col min="46" max="46" width="4.42578125" style="64" hidden="1" customWidth="1"/>
    <col min="47" max="69" width="3.7109375" style="64" hidden="1" customWidth="1"/>
    <col min="70" max="70" width="5.5703125" style="64" hidden="1" customWidth="1"/>
    <col min="71" max="89" width="3.7109375" style="64" hidden="1" customWidth="1"/>
    <col min="90" max="91" width="9.140625" style="64" hidden="1" customWidth="1"/>
    <col min="92" max="112" width="3.7109375" style="64" hidden="1" customWidth="1"/>
    <col min="113" max="129" width="3.28515625" style="64" hidden="1" customWidth="1"/>
    <col min="130" max="132" width="3.28515625" style="80" hidden="1" customWidth="1"/>
    <col min="133" max="142" width="3.28515625" style="64" hidden="1" customWidth="1"/>
    <col min="143" max="145" width="9.140625" style="64" hidden="1" customWidth="1"/>
    <col min="146" max="146" width="12.7109375" style="64" hidden="1" customWidth="1"/>
    <col min="147" max="152" width="9.140625" style="64" hidden="1" customWidth="1"/>
    <col min="153" max="182" width="4.28515625" style="64" hidden="1" customWidth="1"/>
    <col min="183" max="183" width="15.28515625" style="64" hidden="1" customWidth="1"/>
    <col min="184" max="203" width="4.28515625" style="64" hidden="1" customWidth="1"/>
    <col min="204" max="206" width="9.140625" style="64" hidden="1" customWidth="1"/>
    <col min="207" max="207" width="17.7109375" style="64" hidden="1" customWidth="1"/>
    <col min="208" max="208" width="8.42578125" style="64" hidden="1" customWidth="1"/>
    <col min="209" max="209" width="7.7109375" style="64" hidden="1" customWidth="1"/>
    <col min="210" max="210" width="7" style="64" hidden="1" customWidth="1"/>
    <col min="211" max="228" width="3.7109375" style="64" hidden="1" customWidth="1"/>
    <col min="229" max="229" width="9.140625" style="64" hidden="1" customWidth="1"/>
    <col min="230" max="230" width="17.28515625" style="83" hidden="1" customWidth="1"/>
    <col min="231" max="251" width="3.7109375" style="64" hidden="1" customWidth="1"/>
    <col min="252" max="252" width="9.140625" style="64" hidden="1" customWidth="1"/>
    <col min="253" max="253" width="17.7109375" style="64" hidden="1" customWidth="1"/>
    <col min="254" max="274" width="3.7109375" style="64" hidden="1" customWidth="1"/>
    <col min="275" max="16384" width="9.140625" style="64" hidden="1"/>
  </cols>
  <sheetData>
    <row r="1" spans="1:300" ht="39" x14ac:dyDescent="0.25">
      <c r="A1" s="3" t="s">
        <v>549</v>
      </c>
      <c r="B1" s="3"/>
      <c r="C1" s="3" t="s">
        <v>550</v>
      </c>
      <c r="D1" s="9"/>
      <c r="E1" s="9"/>
      <c r="F1" s="9"/>
      <c r="G1" s="9"/>
      <c r="H1" s="9"/>
      <c r="I1" s="9"/>
      <c r="J1" s="9"/>
      <c r="K1" s="9"/>
      <c r="L1" s="221" t="str">
        <f>IF(E6=$Z$2,"KONŠTRUKCIA DP-DNHBE",IF(E6=$Z$3,"KONŠTRUKCIA DP-DNHKE",IF(E6=$Z$4,"KONŠTRUKCIA DP-DNHWE",IF(E6=$Z$5,"KONŠTRUKCIA DP-DNHKSE"))))</f>
        <v>KONŠTRUKCIA DP-DNHBE</v>
      </c>
      <c r="M1" s="221"/>
      <c r="N1" s="221"/>
      <c r="O1" s="221"/>
      <c r="P1" s="221"/>
      <c r="Q1" s="221"/>
      <c r="R1" s="221"/>
      <c r="S1" s="221"/>
      <c r="T1" s="221"/>
      <c r="U1" s="221"/>
      <c r="V1" s="72"/>
      <c r="W1" s="82" t="s">
        <v>124</v>
      </c>
      <c r="X1" s="85" t="s">
        <v>59</v>
      </c>
      <c r="Y1" s="72"/>
      <c r="Z1" s="72"/>
      <c r="AA1" s="72"/>
      <c r="AB1" s="72"/>
      <c r="AC1" s="72"/>
      <c r="AD1" s="72"/>
      <c r="AE1" s="72"/>
      <c r="AF1" s="72"/>
      <c r="AG1" s="72"/>
      <c r="AH1" s="72"/>
      <c r="AI1" s="72"/>
      <c r="AJ1" s="72"/>
      <c r="AK1" s="72"/>
      <c r="AL1" s="72"/>
      <c r="AM1" s="72"/>
      <c r="AN1" s="72"/>
      <c r="AO1" s="72"/>
      <c r="AP1" s="72"/>
      <c r="AQ1" s="72"/>
      <c r="AR1" s="72"/>
      <c r="AS1" s="72"/>
      <c r="AT1" s="72"/>
      <c r="AU1" s="72"/>
      <c r="AV1" s="72"/>
      <c r="AW1" s="72"/>
      <c r="AX1" s="72"/>
      <c r="AY1" s="72"/>
      <c r="AZ1" s="72"/>
      <c r="BA1" s="72"/>
      <c r="BB1" s="72"/>
      <c r="BC1" s="72"/>
      <c r="BD1" s="72"/>
      <c r="BE1" s="72"/>
      <c r="BF1" s="72"/>
      <c r="BG1" s="72"/>
      <c r="BH1" s="72"/>
      <c r="BI1" s="72"/>
      <c r="BJ1" s="72"/>
      <c r="BK1" s="72"/>
      <c r="BL1" s="72"/>
      <c r="BM1" s="72"/>
      <c r="BN1" s="72"/>
      <c r="BO1" s="72"/>
      <c r="BP1" s="72"/>
      <c r="BQ1" s="72"/>
      <c r="BR1" s="72"/>
      <c r="BS1" s="72"/>
      <c r="BT1" s="72"/>
      <c r="BU1" s="72"/>
      <c r="BV1" s="72"/>
      <c r="BW1" s="72"/>
      <c r="BX1" s="72"/>
      <c r="BY1" s="72"/>
      <c r="BZ1" s="72"/>
      <c r="CA1" s="72"/>
      <c r="CB1" s="72"/>
      <c r="CC1" s="72"/>
      <c r="CD1" s="72"/>
      <c r="CE1" s="72"/>
      <c r="CF1" s="72"/>
      <c r="CG1" s="72"/>
      <c r="CH1" s="72"/>
      <c r="CI1" s="72"/>
      <c r="CJ1" s="72"/>
      <c r="CK1" s="72"/>
      <c r="CL1" s="72"/>
      <c r="CM1" s="72"/>
      <c r="CN1" s="72"/>
      <c r="CO1" s="72"/>
      <c r="CP1" s="72"/>
      <c r="CQ1" s="72"/>
      <c r="CR1" s="72"/>
      <c r="CS1" s="72"/>
      <c r="CT1" s="72"/>
      <c r="CU1" s="72"/>
      <c r="CV1" s="72"/>
      <c r="CW1" s="72"/>
      <c r="CX1" s="72"/>
      <c r="CY1" s="72"/>
      <c r="CZ1" s="72"/>
      <c r="DA1" s="72"/>
      <c r="DB1" s="72"/>
      <c r="DC1" s="72"/>
      <c r="DD1" s="72"/>
      <c r="DE1" s="72"/>
      <c r="DF1" s="72"/>
      <c r="DG1" s="72"/>
      <c r="DH1" s="72"/>
      <c r="DI1" s="72"/>
      <c r="DJ1" s="72"/>
      <c r="DK1" s="72"/>
      <c r="DL1" s="72"/>
      <c r="DM1" s="72"/>
      <c r="DN1" s="72"/>
      <c r="DO1" s="72"/>
      <c r="DP1" s="72"/>
      <c r="DQ1" s="72"/>
      <c r="DR1" s="72"/>
      <c r="DS1" s="72"/>
      <c r="DT1" s="72"/>
      <c r="DU1" s="72"/>
      <c r="DV1" s="72"/>
      <c r="DW1" s="72"/>
      <c r="DX1" s="72"/>
      <c r="DY1" s="72"/>
      <c r="DZ1" s="81">
        <v>0</v>
      </c>
      <c r="EA1" s="81">
        <v>0</v>
      </c>
      <c r="EB1" s="81"/>
      <c r="EC1" s="72"/>
      <c r="ED1" s="72"/>
      <c r="EE1" s="72"/>
      <c r="EF1" s="72"/>
      <c r="EG1" s="72"/>
      <c r="EH1" s="72"/>
      <c r="EI1" s="72"/>
      <c r="EJ1" s="72"/>
      <c r="EK1" s="72"/>
      <c r="EL1" s="72"/>
      <c r="EM1" s="72"/>
      <c r="EN1" s="72"/>
      <c r="EO1" s="72"/>
      <c r="EP1" s="72"/>
      <c r="EQ1" s="72"/>
      <c r="ER1" s="72"/>
      <c r="ES1" s="72"/>
      <c r="ET1" s="72"/>
      <c r="EU1" s="72"/>
      <c r="EV1" s="72"/>
      <c r="EW1" s="72"/>
      <c r="EX1" s="72"/>
      <c r="EY1" s="72"/>
      <c r="EZ1" s="72"/>
      <c r="FA1" s="72"/>
      <c r="FB1" s="72"/>
      <c r="FC1" s="72"/>
      <c r="FD1" s="72"/>
      <c r="FE1" s="72"/>
      <c r="FF1" s="72"/>
      <c r="FG1" s="72"/>
      <c r="FH1" s="72"/>
      <c r="FI1" s="72"/>
      <c r="FJ1" s="72"/>
      <c r="FK1" s="72"/>
      <c r="FL1" s="72"/>
      <c r="FM1" s="72"/>
      <c r="FN1" s="72"/>
      <c r="FO1" s="72"/>
      <c r="FP1" s="72"/>
      <c r="FQ1" s="72"/>
      <c r="FR1" s="72"/>
      <c r="FS1" s="72"/>
      <c r="FT1" s="72"/>
      <c r="FU1" s="72"/>
      <c r="FV1" s="72"/>
      <c r="FW1" s="72"/>
      <c r="FX1" s="72"/>
      <c r="FY1" s="72"/>
      <c r="FZ1" s="72"/>
      <c r="GA1" s="72"/>
      <c r="GB1" s="72"/>
      <c r="GC1" s="72"/>
      <c r="GD1" s="72"/>
      <c r="GE1" s="72"/>
      <c r="GF1" s="72"/>
      <c r="GG1" s="72"/>
      <c r="GH1" s="72"/>
      <c r="GI1" s="72"/>
      <c r="GJ1" s="72"/>
      <c r="GK1" s="72"/>
      <c r="GL1" s="72"/>
      <c r="GM1" s="72"/>
      <c r="GN1" s="72"/>
      <c r="GO1" s="72"/>
      <c r="GP1" s="72"/>
      <c r="GQ1" s="72"/>
      <c r="GR1" s="72"/>
      <c r="GS1" s="72"/>
      <c r="GT1" s="72"/>
      <c r="GU1" s="72"/>
      <c r="GV1" s="72"/>
      <c r="GW1" s="72"/>
      <c r="GX1" s="72"/>
    </row>
    <row r="2" spans="1:300" x14ac:dyDescent="0.25">
      <c r="A2" s="8"/>
      <c r="B2" s="5" t="s">
        <v>61</v>
      </c>
      <c r="C2" s="8"/>
      <c r="D2" s="9"/>
      <c r="E2" s="9"/>
      <c r="F2" s="9"/>
      <c r="G2" s="9"/>
      <c r="H2" s="9"/>
      <c r="I2" s="9"/>
      <c r="J2" s="9"/>
      <c r="K2" s="9"/>
      <c r="L2" s="5" t="s">
        <v>53</v>
      </c>
      <c r="M2" s="5" t="s">
        <v>559</v>
      </c>
      <c r="N2" s="5" t="s">
        <v>436</v>
      </c>
      <c r="O2" s="5" t="s">
        <v>442</v>
      </c>
      <c r="P2" s="5" t="s">
        <v>443</v>
      </c>
      <c r="Q2" s="5" t="s">
        <v>444</v>
      </c>
      <c r="R2" s="5" t="s">
        <v>445</v>
      </c>
      <c r="S2" s="5" t="s">
        <v>446</v>
      </c>
      <c r="T2" s="5" t="s">
        <v>447</v>
      </c>
      <c r="U2" s="5" t="s">
        <v>438</v>
      </c>
      <c r="V2" s="72"/>
      <c r="W2" s="85">
        <f>IF(A2=0,0,IF(A2&gt;0,(A2+1)*C2))</f>
        <v>0</v>
      </c>
      <c r="X2" s="85" t="s">
        <v>60</v>
      </c>
      <c r="Y2" s="72"/>
      <c r="Z2" s="85" t="s">
        <v>482</v>
      </c>
      <c r="AA2" s="72"/>
      <c r="AB2" s="72"/>
      <c r="AC2" s="72"/>
      <c r="AD2" s="72"/>
      <c r="AE2" s="72"/>
      <c r="AF2" s="72"/>
      <c r="AG2" s="72"/>
      <c r="AH2" s="72"/>
      <c r="AI2" s="72"/>
      <c r="AJ2" s="72"/>
      <c r="AK2" s="72"/>
      <c r="AL2" s="72" t="s">
        <v>59</v>
      </c>
      <c r="AM2" s="72"/>
      <c r="AN2" s="72"/>
      <c r="AO2" s="72"/>
      <c r="AP2" s="72"/>
      <c r="AQ2" s="72"/>
      <c r="AR2" s="72"/>
      <c r="AS2" s="72"/>
      <c r="AT2" s="72"/>
      <c r="AU2" s="72"/>
      <c r="AV2" s="72"/>
      <c r="AW2" s="72"/>
      <c r="AX2" s="72"/>
      <c r="AY2" s="72"/>
      <c r="AZ2" s="72"/>
      <c r="BA2" s="72"/>
      <c r="BB2" s="72"/>
      <c r="BC2" s="72"/>
      <c r="BD2" s="72"/>
      <c r="BE2" s="72"/>
      <c r="BF2" s="72"/>
      <c r="BG2" s="72"/>
      <c r="BH2" s="72"/>
      <c r="BI2" s="72"/>
      <c r="BJ2" s="72"/>
      <c r="BK2" s="72"/>
      <c r="BL2" s="72"/>
      <c r="BM2" s="72"/>
      <c r="BN2" s="72"/>
      <c r="BO2" s="72"/>
      <c r="BP2" s="72"/>
      <c r="BQ2" s="72"/>
      <c r="BR2" s="72"/>
      <c r="BS2" s="72"/>
      <c r="BT2" s="72"/>
      <c r="BU2" s="72"/>
      <c r="BV2" s="72"/>
      <c r="BW2" s="72"/>
      <c r="BX2" s="72"/>
      <c r="BY2" s="72"/>
      <c r="BZ2" s="72"/>
      <c r="CA2" s="72"/>
      <c r="CB2" s="72"/>
      <c r="CC2" s="72"/>
      <c r="CD2" s="72"/>
      <c r="CE2" s="72"/>
      <c r="CF2" s="72"/>
      <c r="CG2" s="72"/>
      <c r="CH2" s="72"/>
      <c r="CI2" s="72"/>
      <c r="CJ2" s="72"/>
      <c r="CK2" s="72"/>
      <c r="CL2" s="72"/>
      <c r="CM2" s="72"/>
      <c r="CN2" s="72"/>
      <c r="CO2" s="72"/>
      <c r="CP2" s="72"/>
      <c r="CQ2" s="72"/>
      <c r="CR2" s="72"/>
      <c r="CS2" s="72"/>
      <c r="CT2" s="72"/>
      <c r="CU2" s="72"/>
      <c r="CV2" s="72"/>
      <c r="CW2" s="72"/>
      <c r="CX2" s="72"/>
      <c r="CY2" s="72"/>
      <c r="CZ2" s="72"/>
      <c r="DA2" s="72"/>
      <c r="DB2" s="72"/>
      <c r="DC2" s="72"/>
      <c r="DD2" s="72"/>
      <c r="DE2" s="72"/>
      <c r="DF2" s="72"/>
      <c r="DG2" s="72"/>
      <c r="DH2" s="72"/>
      <c r="DI2" s="72"/>
      <c r="DJ2" s="72"/>
      <c r="DK2" s="72"/>
      <c r="DL2" s="72"/>
      <c r="DM2" s="72"/>
      <c r="DN2" s="72"/>
      <c r="DO2" s="72"/>
      <c r="DP2" s="72"/>
      <c r="DQ2" s="72"/>
      <c r="DR2" s="72"/>
      <c r="DS2" s="72"/>
      <c r="DT2" s="72"/>
      <c r="DU2" s="72"/>
      <c r="DV2" s="72"/>
      <c r="DW2" s="72"/>
      <c r="DX2" s="72"/>
      <c r="DY2" s="72"/>
      <c r="DZ2" s="81">
        <v>1</v>
      </c>
      <c r="EA2" s="81">
        <v>2</v>
      </c>
      <c r="EB2" s="81">
        <v>10</v>
      </c>
      <c r="EC2" s="72"/>
      <c r="ED2" s="72"/>
      <c r="EE2" s="72"/>
      <c r="EF2" s="72"/>
      <c r="EG2" s="72"/>
      <c r="EH2" s="72"/>
      <c r="EI2" s="72"/>
      <c r="EJ2" s="72"/>
      <c r="EK2" s="72"/>
      <c r="EL2" s="72"/>
      <c r="EM2" s="72"/>
      <c r="EN2" s="72"/>
      <c r="EO2" s="72"/>
      <c r="EP2" s="72"/>
      <c r="EQ2" s="72"/>
      <c r="ER2" s="72"/>
      <c r="ES2" s="72"/>
      <c r="ET2" s="72"/>
      <c r="EU2" s="72"/>
      <c r="EV2" s="72"/>
      <c r="EW2" s="72"/>
      <c r="EX2" s="72"/>
      <c r="EY2" s="72"/>
      <c r="EZ2" s="72"/>
      <c r="FA2" s="72"/>
      <c r="FB2" s="72"/>
      <c r="FC2" s="72"/>
      <c r="FD2" s="72"/>
      <c r="FE2" s="72"/>
      <c r="FF2" s="72"/>
      <c r="FG2" s="72"/>
      <c r="FH2" s="72"/>
      <c r="FI2" s="72"/>
      <c r="FJ2" s="72"/>
      <c r="FK2" s="72"/>
      <c r="FL2" s="72"/>
      <c r="FM2" s="72"/>
      <c r="FN2" s="72"/>
      <c r="FO2" s="72"/>
      <c r="FP2" s="72"/>
      <c r="FQ2" s="72"/>
      <c r="FR2" s="72"/>
      <c r="FS2" s="72"/>
      <c r="FT2" s="72"/>
      <c r="FU2" s="72"/>
      <c r="FV2" s="72"/>
      <c r="FW2" s="72"/>
      <c r="FX2" s="72"/>
      <c r="FY2" s="72"/>
      <c r="FZ2" s="72"/>
      <c r="GA2" s="72"/>
      <c r="GB2" s="72"/>
      <c r="GC2" s="72"/>
      <c r="GD2" s="72"/>
      <c r="GE2" s="72"/>
      <c r="GF2" s="72"/>
      <c r="GG2" s="72"/>
      <c r="GH2" s="72"/>
      <c r="GI2" s="72"/>
      <c r="GJ2" s="72"/>
      <c r="GK2" s="72"/>
      <c r="GL2" s="72"/>
      <c r="GM2" s="72"/>
      <c r="GN2" s="72"/>
      <c r="GO2" s="72"/>
      <c r="GP2" s="72"/>
      <c r="GQ2" s="72"/>
      <c r="GR2" s="72"/>
      <c r="GS2" s="72"/>
      <c r="GT2" s="72"/>
      <c r="GU2" s="72"/>
      <c r="GV2" s="72"/>
      <c r="GW2" s="72"/>
      <c r="GX2" s="72"/>
    </row>
    <row r="3" spans="1:300" x14ac:dyDescent="0.25">
      <c r="A3" s="8"/>
      <c r="B3" s="5" t="s">
        <v>61</v>
      </c>
      <c r="C3" s="8"/>
      <c r="D3" s="6" t="s">
        <v>452</v>
      </c>
      <c r="E3" s="8" t="s">
        <v>72</v>
      </c>
      <c r="F3" s="5" t="s">
        <v>61</v>
      </c>
      <c r="G3" s="8" t="s">
        <v>59</v>
      </c>
      <c r="H3" s="5" t="s">
        <v>61</v>
      </c>
      <c r="I3" s="8">
        <v>30</v>
      </c>
      <c r="J3" s="5" t="s">
        <v>62</v>
      </c>
      <c r="K3" s="9"/>
      <c r="L3" s="6" t="str">
        <f>IF(G3=X26,"CMP41H41/1,2MC",IF(G3=X27,"CMP41H41/1,2MC",IF(G3=X28,"CMP41H41/1,2MC",IF(G3=X29,"CMP41H41/1,5MC"))))</f>
        <v>CMP41H41/1,2MC</v>
      </c>
      <c r="M3" s="11">
        <f>INDEX(cenník!$C$2:$I$568,MATCH($L3,cenník!$B$2:$B$557,0),MATCH(M$2,cenník!$C$1:$I$1,0))</f>
        <v>856211</v>
      </c>
      <c r="N3" s="11" t="str">
        <f>INDEX(cenník!$C$2:$I$568,MATCH($L3,cenník!$B$2:$B$557,0),MATCH(N$2,cenník!$C$1:$I$1,0))</f>
        <v>ks</v>
      </c>
      <c r="O3" s="11">
        <f>SUM(W2:W17)</f>
        <v>0</v>
      </c>
      <c r="P3" s="36">
        <f>INDEX(cenník!$C$2:$I$568,MATCH($L3,cenník!$B$2:$B$557,0),MATCH(P$2,cenník!$C$1:$I$1,0))</f>
        <v>8.7100000000000009</v>
      </c>
      <c r="Q3" s="36">
        <f>O3*P3</f>
        <v>0</v>
      </c>
      <c r="R3" s="37">
        <f>$E$8</f>
        <v>0</v>
      </c>
      <c r="S3" s="36">
        <f>P3*((100-$E$8)/100)</f>
        <v>8.7100000000000009</v>
      </c>
      <c r="T3" s="36">
        <f>O3*S3</f>
        <v>0</v>
      </c>
      <c r="U3" s="36">
        <f>INDEX(cenník!$C$2:$I$568,MATCH($L3,cenník!$B$2:$B$557,0),MATCH(U$2,cenník!$C$1:$I$1,0))*O3</f>
        <v>0</v>
      </c>
      <c r="V3" s="72"/>
      <c r="W3" s="85">
        <f t="shared" ref="W3:W17" si="0">IF(A3=0,0,IF(A3&gt;0,(A3+1)*C3))</f>
        <v>0</v>
      </c>
      <c r="X3" s="72" t="s">
        <v>199</v>
      </c>
      <c r="Y3" s="72"/>
      <c r="Z3" s="85" t="s">
        <v>483</v>
      </c>
      <c r="AA3" s="72"/>
      <c r="AB3" s="72"/>
      <c r="AC3" s="72"/>
      <c r="AD3" s="72"/>
      <c r="AE3" s="72"/>
      <c r="AF3" s="72"/>
      <c r="AG3" s="72"/>
      <c r="AH3" s="72"/>
      <c r="AI3" s="72"/>
      <c r="AJ3" s="72"/>
      <c r="AK3" s="72"/>
      <c r="AL3" s="72"/>
      <c r="AM3" s="72">
        <v>0</v>
      </c>
      <c r="AN3" s="72">
        <v>1</v>
      </c>
      <c r="AO3" s="72">
        <v>2</v>
      </c>
      <c r="AP3" s="72">
        <v>3</v>
      </c>
      <c r="AQ3" s="72">
        <v>4</v>
      </c>
      <c r="AR3" s="72">
        <v>5</v>
      </c>
      <c r="AS3" s="72">
        <v>6</v>
      </c>
      <c r="AT3" s="72">
        <v>7</v>
      </c>
      <c r="AU3" s="72">
        <v>8</v>
      </c>
      <c r="AV3" s="72">
        <v>9</v>
      </c>
      <c r="AW3" s="72">
        <v>10</v>
      </c>
      <c r="AX3" s="72">
        <v>11</v>
      </c>
      <c r="AY3" s="72">
        <v>12</v>
      </c>
      <c r="AZ3" s="72">
        <v>13</v>
      </c>
      <c r="BA3" s="72">
        <v>14</v>
      </c>
      <c r="BB3" s="72">
        <v>15</v>
      </c>
      <c r="BC3" s="72">
        <v>16</v>
      </c>
      <c r="BD3" s="72">
        <v>17</v>
      </c>
      <c r="BE3" s="72">
        <v>18</v>
      </c>
      <c r="BF3" s="72">
        <v>19</v>
      </c>
      <c r="BG3" s="72">
        <v>20</v>
      </c>
      <c r="BH3" s="72">
        <v>21</v>
      </c>
      <c r="BI3" s="72">
        <v>22</v>
      </c>
      <c r="BJ3" s="72">
        <v>23</v>
      </c>
      <c r="BK3" s="72">
        <v>24</v>
      </c>
      <c r="BL3" s="72">
        <v>25</v>
      </c>
      <c r="BM3" s="72">
        <v>26</v>
      </c>
      <c r="BN3" s="72">
        <v>27</v>
      </c>
      <c r="BO3" s="72">
        <v>28</v>
      </c>
      <c r="BP3" s="72">
        <v>29</v>
      </c>
      <c r="BQ3" s="72">
        <v>30</v>
      </c>
      <c r="BR3" s="72">
        <v>31</v>
      </c>
      <c r="BS3" s="72">
        <v>32</v>
      </c>
      <c r="BT3" s="72">
        <v>33</v>
      </c>
      <c r="BU3" s="72">
        <v>34</v>
      </c>
      <c r="BV3" s="72">
        <v>35</v>
      </c>
      <c r="BW3" s="72">
        <v>36</v>
      </c>
      <c r="BX3" s="72">
        <v>37</v>
      </c>
      <c r="BY3" s="72">
        <v>38</v>
      </c>
      <c r="BZ3" s="72">
        <v>39</v>
      </c>
      <c r="CA3" s="72">
        <v>40</v>
      </c>
      <c r="CB3" s="72">
        <v>41</v>
      </c>
      <c r="CC3" s="72">
        <v>42</v>
      </c>
      <c r="CD3" s="72">
        <v>43</v>
      </c>
      <c r="CE3" s="72">
        <v>44</v>
      </c>
      <c r="CF3" s="72">
        <v>45</v>
      </c>
      <c r="CG3" s="72">
        <v>46</v>
      </c>
      <c r="CH3" s="72">
        <v>47</v>
      </c>
      <c r="CI3" s="72">
        <v>48</v>
      </c>
      <c r="CJ3" s="72">
        <v>49</v>
      </c>
      <c r="CK3" s="72">
        <v>50</v>
      </c>
      <c r="CL3" s="72"/>
      <c r="CM3" s="72"/>
      <c r="CN3" s="72"/>
      <c r="CO3" s="72"/>
      <c r="CP3" s="72"/>
      <c r="CQ3" s="72"/>
      <c r="CR3" s="72"/>
      <c r="CS3" s="72"/>
      <c r="CT3" s="72"/>
      <c r="CU3" s="72"/>
      <c r="CV3" s="72"/>
      <c r="CW3" s="72"/>
      <c r="CX3" s="72"/>
      <c r="CY3" s="72"/>
      <c r="CZ3" s="72"/>
      <c r="DA3" s="72"/>
      <c r="DB3" s="72"/>
      <c r="DC3" s="72"/>
      <c r="DD3" s="72"/>
      <c r="DE3" s="72"/>
      <c r="DF3" s="72"/>
      <c r="DG3" s="72"/>
      <c r="DH3" s="72"/>
      <c r="DI3" s="72"/>
      <c r="DJ3" s="72"/>
      <c r="DK3" s="72"/>
      <c r="DL3" s="72"/>
      <c r="DM3" s="72"/>
      <c r="DN3" s="72"/>
      <c r="DO3" s="72"/>
      <c r="DP3" s="72"/>
      <c r="DQ3" s="72"/>
      <c r="DR3" s="72"/>
      <c r="DS3" s="72"/>
      <c r="DT3" s="72"/>
      <c r="DU3" s="72"/>
      <c r="DV3" s="72"/>
      <c r="DW3" s="72"/>
      <c r="DX3" s="72"/>
      <c r="DY3" s="72"/>
      <c r="DZ3" s="81">
        <v>2</v>
      </c>
      <c r="EA3" s="81">
        <v>4</v>
      </c>
      <c r="EB3" s="81">
        <v>15</v>
      </c>
      <c r="EC3" s="72"/>
      <c r="ED3" s="72"/>
      <c r="EE3" s="72"/>
      <c r="EF3" s="72"/>
      <c r="EG3" s="72"/>
      <c r="EH3" s="72"/>
      <c r="EI3" s="72"/>
      <c r="EJ3" s="72"/>
      <c r="EK3" s="72"/>
      <c r="EL3" s="72"/>
      <c r="EM3" s="72"/>
      <c r="EN3" s="72"/>
      <c r="EO3" s="72"/>
      <c r="EP3" s="72"/>
      <c r="EQ3" s="72"/>
      <c r="ER3" s="72"/>
      <c r="ES3" s="72"/>
      <c r="ET3" s="72"/>
      <c r="EU3" s="72"/>
      <c r="EV3" s="72" t="s">
        <v>59</v>
      </c>
      <c r="EW3" s="72"/>
      <c r="EX3" s="72"/>
      <c r="EY3" s="72"/>
      <c r="EZ3" s="72"/>
      <c r="FA3" s="72"/>
      <c r="FB3" s="72"/>
      <c r="FC3" s="72"/>
      <c r="FD3" s="72"/>
      <c r="FE3" s="72"/>
      <c r="FF3" s="72"/>
      <c r="FG3" s="72"/>
      <c r="FH3" s="72"/>
      <c r="FI3" s="72"/>
      <c r="FJ3" s="72"/>
      <c r="FK3" s="72"/>
      <c r="FL3" s="72"/>
      <c r="FM3" s="72"/>
      <c r="FN3" s="72"/>
      <c r="FO3" s="72"/>
      <c r="FP3" s="72"/>
      <c r="FQ3" s="72"/>
      <c r="FR3" s="72"/>
      <c r="FS3" s="72"/>
      <c r="FT3" s="72"/>
      <c r="FU3" s="72"/>
      <c r="FV3" s="72"/>
      <c r="FW3" s="72"/>
      <c r="FX3" s="72"/>
      <c r="FY3" s="72"/>
      <c r="FZ3" s="72"/>
      <c r="GA3" s="72"/>
      <c r="GB3" s="72"/>
      <c r="GC3" s="72"/>
      <c r="GD3" s="72"/>
      <c r="GE3" s="72"/>
      <c r="GF3" s="72"/>
      <c r="GG3" s="72"/>
      <c r="GH3" s="72"/>
      <c r="GI3" s="72"/>
      <c r="GJ3" s="72"/>
      <c r="GK3" s="72"/>
      <c r="GL3" s="72"/>
      <c r="GM3" s="72"/>
      <c r="GN3" s="72"/>
      <c r="GO3" s="72"/>
      <c r="GP3" s="72"/>
      <c r="GQ3" s="72"/>
      <c r="GR3" s="72"/>
      <c r="GS3" s="72"/>
      <c r="GT3" s="72"/>
      <c r="GU3" s="72"/>
      <c r="GV3" s="72"/>
      <c r="GW3" s="72"/>
      <c r="GX3" s="72"/>
      <c r="GY3" s="64" t="s">
        <v>59</v>
      </c>
      <c r="HU3" s="124"/>
      <c r="HV3" s="83" t="s">
        <v>56</v>
      </c>
      <c r="HW3" s="72"/>
      <c r="HX3" s="72"/>
      <c r="HY3" s="72"/>
      <c r="HZ3" s="72"/>
      <c r="IA3" s="72"/>
      <c r="IB3" s="72"/>
      <c r="IC3" s="72"/>
      <c r="ID3" s="72"/>
      <c r="IE3" s="72"/>
      <c r="IF3" s="72"/>
      <c r="IG3" s="72"/>
      <c r="IH3" s="72"/>
      <c r="II3" s="72"/>
      <c r="IJ3" s="72"/>
      <c r="IK3" s="72"/>
      <c r="IL3" s="72"/>
      <c r="IM3" s="72"/>
      <c r="IN3" s="72"/>
      <c r="IO3" s="72"/>
      <c r="IP3" s="72"/>
      <c r="IQ3" s="72"/>
      <c r="IS3" s="64" t="s">
        <v>56</v>
      </c>
    </row>
    <row r="4" spans="1:300" x14ac:dyDescent="0.25">
      <c r="A4" s="8"/>
      <c r="B4" s="5" t="s">
        <v>61</v>
      </c>
      <c r="C4" s="8"/>
      <c r="D4" s="6" t="s">
        <v>455</v>
      </c>
      <c r="E4" s="8" t="s">
        <v>465</v>
      </c>
      <c r="F4" s="5"/>
      <c r="G4" s="5"/>
      <c r="H4" s="5"/>
      <c r="I4" s="5"/>
      <c r="J4" s="5"/>
      <c r="K4" s="9"/>
      <c r="L4" s="6" t="s">
        <v>435</v>
      </c>
      <c r="M4" s="11">
        <f>INDEX(cenník!$C$2:$I$568,MATCH($L4,cenník!$B$2:$B$557,0),MATCH(M$2,cenník!$C$1:$I$1,0))</f>
        <v>857016</v>
      </c>
      <c r="N4" s="11" t="str">
        <f>INDEX(cenník!$C$2:$I$568,MATCH($L4,cenník!$B$2:$B$557,0),MATCH(N$2,cenník!$C$1:$I$1,0))</f>
        <v>ks</v>
      </c>
      <c r="O4" s="11">
        <f>O3</f>
        <v>0</v>
      </c>
      <c r="P4" s="36">
        <f>INDEX(cenník!$C$2:$I$568,MATCH($L4,cenník!$B$2:$B$557,0),MATCH(P$2,cenník!$C$1:$I$1,0))</f>
        <v>6.68</v>
      </c>
      <c r="Q4" s="36">
        <f t="shared" ref="Q4:Q6" si="1">O4*P4</f>
        <v>0</v>
      </c>
      <c r="R4" s="37">
        <f t="shared" ref="R4:R22" si="2">$E$8</f>
        <v>0</v>
      </c>
      <c r="S4" s="36">
        <f>P4*((100-$E$8)/100)</f>
        <v>6.68</v>
      </c>
      <c r="T4" s="36">
        <f t="shared" ref="T4:T6" si="3">O4*S4</f>
        <v>0</v>
      </c>
      <c r="U4" s="36">
        <f>INDEX(cenník!$C$2:$I$568,MATCH($L4,cenník!$B$2:$B$557,0),MATCH(U$2,cenník!$C$1:$I$1,0))*O4</f>
        <v>0</v>
      </c>
      <c r="V4" s="72"/>
      <c r="W4" s="85">
        <f t="shared" si="0"/>
        <v>0</v>
      </c>
      <c r="X4" s="85" t="s">
        <v>466</v>
      </c>
      <c r="Y4" s="85" t="s">
        <v>464</v>
      </c>
      <c r="Z4" s="85" t="s">
        <v>484</v>
      </c>
      <c r="AA4" s="72"/>
      <c r="AB4" s="72"/>
      <c r="AC4" s="72"/>
      <c r="AD4" s="72"/>
      <c r="AE4" s="72"/>
      <c r="AF4" s="72"/>
      <c r="AG4" s="72"/>
      <c r="AH4" s="72"/>
      <c r="AI4" s="72"/>
      <c r="AJ4" s="72"/>
      <c r="AK4" s="72"/>
      <c r="AL4" s="72" t="s">
        <v>63</v>
      </c>
      <c r="AM4" s="72">
        <v>0</v>
      </c>
      <c r="AN4" s="72">
        <v>2</v>
      </c>
      <c r="AO4" s="72">
        <v>0</v>
      </c>
      <c r="AP4" s="72">
        <v>0</v>
      </c>
      <c r="AQ4" s="72">
        <v>0</v>
      </c>
      <c r="AR4" s="72">
        <v>0</v>
      </c>
      <c r="AS4" s="72">
        <v>0</v>
      </c>
      <c r="AT4" s="72">
        <v>0</v>
      </c>
      <c r="AU4" s="72">
        <v>0</v>
      </c>
      <c r="AV4" s="72">
        <v>0</v>
      </c>
      <c r="AW4" s="72">
        <v>0</v>
      </c>
      <c r="AX4" s="72">
        <v>0</v>
      </c>
      <c r="AY4" s="72">
        <v>0</v>
      </c>
      <c r="AZ4" s="72">
        <v>0</v>
      </c>
      <c r="BA4" s="72">
        <v>0</v>
      </c>
      <c r="BB4" s="72">
        <v>0</v>
      </c>
      <c r="BC4" s="72">
        <v>0</v>
      </c>
      <c r="BD4" s="72">
        <v>0</v>
      </c>
      <c r="BE4" s="72">
        <v>0</v>
      </c>
      <c r="BF4" s="72">
        <v>0</v>
      </c>
      <c r="BG4" s="72">
        <v>0</v>
      </c>
      <c r="BH4" s="72">
        <v>0</v>
      </c>
      <c r="BI4" s="72">
        <v>0</v>
      </c>
      <c r="BJ4" s="72">
        <v>0</v>
      </c>
      <c r="BK4" s="72">
        <v>0</v>
      </c>
      <c r="BL4" s="72">
        <v>0</v>
      </c>
      <c r="BM4" s="72">
        <v>0</v>
      </c>
      <c r="BN4" s="72">
        <v>0</v>
      </c>
      <c r="BO4" s="72">
        <v>0</v>
      </c>
      <c r="BP4" s="72">
        <v>0</v>
      </c>
      <c r="BQ4" s="72">
        <v>0</v>
      </c>
      <c r="BR4" s="72">
        <v>0</v>
      </c>
      <c r="BS4" s="72">
        <v>0</v>
      </c>
      <c r="BT4" s="72">
        <v>0</v>
      </c>
      <c r="BU4" s="72">
        <v>0</v>
      </c>
      <c r="BV4" s="72">
        <v>0</v>
      </c>
      <c r="BW4" s="72">
        <v>0</v>
      </c>
      <c r="BX4" s="72">
        <v>0</v>
      </c>
      <c r="BY4" s="72">
        <v>0</v>
      </c>
      <c r="BZ4" s="72">
        <v>0</v>
      </c>
      <c r="CA4" s="72">
        <v>0</v>
      </c>
      <c r="CB4" s="72">
        <v>0</v>
      </c>
      <c r="CC4" s="72">
        <v>0</v>
      </c>
      <c r="CD4" s="72">
        <v>0</v>
      </c>
      <c r="CE4" s="72">
        <v>0</v>
      </c>
      <c r="CF4" s="72">
        <v>0</v>
      </c>
      <c r="CG4" s="72">
        <v>0</v>
      </c>
      <c r="CH4" s="72">
        <v>0</v>
      </c>
      <c r="CI4" s="72">
        <v>0</v>
      </c>
      <c r="CJ4" s="72">
        <v>0</v>
      </c>
      <c r="CK4" s="72">
        <v>0</v>
      </c>
      <c r="CL4" s="72"/>
      <c r="CM4" s="72"/>
      <c r="CN4" s="72"/>
      <c r="CO4" s="72"/>
      <c r="CP4" s="72"/>
      <c r="CQ4" s="72"/>
      <c r="CR4" s="72"/>
      <c r="CS4" s="72"/>
      <c r="CT4" s="72"/>
      <c r="CU4" s="72"/>
      <c r="CV4" s="72"/>
      <c r="CW4" s="72"/>
      <c r="CX4" s="72"/>
      <c r="CY4" s="72"/>
      <c r="CZ4" s="72"/>
      <c r="DA4" s="72"/>
      <c r="DB4" s="72"/>
      <c r="DC4" s="72"/>
      <c r="DD4" s="72"/>
      <c r="DE4" s="72"/>
      <c r="DF4" s="72"/>
      <c r="DG4" s="72"/>
      <c r="DH4" s="72"/>
      <c r="DI4" s="72"/>
      <c r="DJ4" s="72"/>
      <c r="DK4" s="72"/>
      <c r="DL4" s="72"/>
      <c r="DM4" s="72"/>
      <c r="DN4" s="72"/>
      <c r="DO4" s="72"/>
      <c r="DP4" s="72"/>
      <c r="DQ4" s="72"/>
      <c r="DR4" s="72"/>
      <c r="DS4" s="72"/>
      <c r="DT4" s="72"/>
      <c r="DU4" s="72"/>
      <c r="DV4" s="72"/>
      <c r="DW4" s="72"/>
      <c r="DX4" s="72"/>
      <c r="DY4" s="72"/>
      <c r="DZ4" s="81">
        <v>3</v>
      </c>
      <c r="EA4" s="81">
        <v>6</v>
      </c>
      <c r="EB4" s="81">
        <v>20</v>
      </c>
      <c r="EC4" s="72"/>
      <c r="ED4" s="72"/>
      <c r="EE4" s="72"/>
      <c r="EF4" s="72"/>
      <c r="EG4" s="72"/>
      <c r="EH4" s="72"/>
      <c r="EI4" s="72"/>
      <c r="EJ4" s="72"/>
      <c r="EK4" s="72"/>
      <c r="EL4" s="72"/>
      <c r="EM4" s="72"/>
      <c r="EN4" s="72"/>
      <c r="EO4" s="72"/>
      <c r="EP4" s="72"/>
      <c r="EQ4" s="72"/>
      <c r="ER4" s="72"/>
      <c r="ES4" s="72"/>
      <c r="ET4" s="72"/>
      <c r="EU4" s="72"/>
      <c r="EV4" s="72"/>
      <c r="EW4" s="72">
        <v>0</v>
      </c>
      <c r="EX4" s="72">
        <v>1</v>
      </c>
      <c r="EY4" s="72">
        <v>2</v>
      </c>
      <c r="EZ4" s="72">
        <v>3</v>
      </c>
      <c r="FA4" s="72">
        <v>4</v>
      </c>
      <c r="FB4" s="72">
        <v>5</v>
      </c>
      <c r="FC4" s="72">
        <v>6</v>
      </c>
      <c r="FD4" s="72">
        <v>7</v>
      </c>
      <c r="FE4" s="72">
        <v>8</v>
      </c>
      <c r="FF4" s="72">
        <v>9</v>
      </c>
      <c r="FG4" s="72">
        <v>10</v>
      </c>
      <c r="FH4" s="72">
        <v>11</v>
      </c>
      <c r="FI4" s="72">
        <v>12</v>
      </c>
      <c r="FJ4" s="72">
        <v>13</v>
      </c>
      <c r="FK4" s="72">
        <v>14</v>
      </c>
      <c r="FL4" s="72">
        <v>15</v>
      </c>
      <c r="FM4" s="72">
        <v>16</v>
      </c>
      <c r="FN4" s="72">
        <v>17</v>
      </c>
      <c r="FO4" s="72">
        <v>18</v>
      </c>
      <c r="FP4" s="72">
        <v>19</v>
      </c>
      <c r="FQ4" s="72">
        <v>20</v>
      </c>
      <c r="FR4" s="72">
        <v>21</v>
      </c>
      <c r="FS4" s="72">
        <v>22</v>
      </c>
      <c r="FT4" s="72">
        <v>23</v>
      </c>
      <c r="FU4" s="72">
        <v>24</v>
      </c>
      <c r="FV4" s="72">
        <v>25</v>
      </c>
      <c r="FW4" s="72">
        <v>26</v>
      </c>
      <c r="FX4" s="72">
        <v>27</v>
      </c>
      <c r="FY4" s="72">
        <v>28</v>
      </c>
      <c r="FZ4" s="72">
        <v>29</v>
      </c>
      <c r="GA4" s="72">
        <v>30</v>
      </c>
      <c r="GB4" s="72">
        <v>31</v>
      </c>
      <c r="GC4" s="72">
        <v>32</v>
      </c>
      <c r="GD4" s="72">
        <v>33</v>
      </c>
      <c r="GE4" s="72">
        <v>34</v>
      </c>
      <c r="GF4" s="72">
        <v>35</v>
      </c>
      <c r="GG4" s="72">
        <v>36</v>
      </c>
      <c r="GH4" s="72">
        <v>37</v>
      </c>
      <c r="GI4" s="72">
        <v>38</v>
      </c>
      <c r="GJ4" s="72">
        <v>39</v>
      </c>
      <c r="GK4" s="72">
        <v>40</v>
      </c>
      <c r="GL4" s="72">
        <v>41</v>
      </c>
      <c r="GM4" s="72">
        <v>42</v>
      </c>
      <c r="GN4" s="72">
        <v>43</v>
      </c>
      <c r="GO4" s="72">
        <v>44</v>
      </c>
      <c r="GP4" s="72">
        <v>45</v>
      </c>
      <c r="GQ4" s="72">
        <v>46</v>
      </c>
      <c r="GR4" s="72">
        <v>47</v>
      </c>
      <c r="GS4" s="72">
        <v>48</v>
      </c>
      <c r="GT4" s="72">
        <v>49</v>
      </c>
      <c r="GU4" s="72">
        <v>50</v>
      </c>
      <c r="GV4" s="72"/>
      <c r="GW4" s="72"/>
      <c r="GX4" s="72"/>
      <c r="GZ4" s="64">
        <v>0</v>
      </c>
      <c r="HA4" s="64">
        <v>1</v>
      </c>
      <c r="HB4" s="64">
        <v>2</v>
      </c>
      <c r="HC4" s="64">
        <v>3</v>
      </c>
      <c r="HD4" s="64">
        <v>4</v>
      </c>
      <c r="HE4" s="64">
        <v>5</v>
      </c>
      <c r="HF4" s="64">
        <v>6</v>
      </c>
      <c r="HG4" s="64">
        <v>7</v>
      </c>
      <c r="HH4" s="64">
        <v>8</v>
      </c>
      <c r="HI4" s="64">
        <v>9</v>
      </c>
      <c r="HJ4" s="64">
        <v>10</v>
      </c>
      <c r="HK4" s="64">
        <v>11</v>
      </c>
      <c r="HL4" s="64">
        <v>12</v>
      </c>
      <c r="HM4" s="64">
        <v>13</v>
      </c>
      <c r="HN4" s="64">
        <v>14</v>
      </c>
      <c r="HO4" s="64">
        <v>15</v>
      </c>
      <c r="HP4" s="64">
        <v>16</v>
      </c>
      <c r="HQ4" s="64">
        <v>17</v>
      </c>
      <c r="HR4" s="64">
        <v>18</v>
      </c>
      <c r="HS4" s="64">
        <v>19</v>
      </c>
      <c r="HT4" s="64">
        <v>20</v>
      </c>
      <c r="HW4" s="72">
        <v>0</v>
      </c>
      <c r="HX4" s="72">
        <v>1</v>
      </c>
      <c r="HY4" s="72">
        <v>2</v>
      </c>
      <c r="HZ4" s="72">
        <v>3</v>
      </c>
      <c r="IA4" s="72">
        <v>4</v>
      </c>
      <c r="IB4" s="72">
        <v>5</v>
      </c>
      <c r="IC4" s="72">
        <v>6</v>
      </c>
      <c r="ID4" s="72">
        <v>7</v>
      </c>
      <c r="IE4" s="72">
        <v>8</v>
      </c>
      <c r="IF4" s="72">
        <v>9</v>
      </c>
      <c r="IG4" s="72">
        <v>10</v>
      </c>
      <c r="IH4" s="72">
        <v>11</v>
      </c>
      <c r="II4" s="72">
        <v>12</v>
      </c>
      <c r="IJ4" s="72">
        <v>13</v>
      </c>
      <c r="IK4" s="72">
        <v>14</v>
      </c>
      <c r="IL4" s="72">
        <v>15</v>
      </c>
      <c r="IM4" s="72">
        <v>16</v>
      </c>
      <c r="IN4" s="72">
        <v>17</v>
      </c>
      <c r="IO4" s="72">
        <v>18</v>
      </c>
      <c r="IP4" s="72">
        <v>19</v>
      </c>
      <c r="IQ4" s="72">
        <v>20</v>
      </c>
      <c r="IT4" s="64">
        <f>HW4*2</f>
        <v>0</v>
      </c>
      <c r="IU4" s="64">
        <f t="shared" ref="IU4:JB4" si="4">HX4*2</f>
        <v>2</v>
      </c>
      <c r="IV4" s="64">
        <f t="shared" si="4"/>
        <v>4</v>
      </c>
      <c r="IW4" s="64">
        <f t="shared" si="4"/>
        <v>6</v>
      </c>
      <c r="IX4" s="64">
        <f t="shared" si="4"/>
        <v>8</v>
      </c>
      <c r="IY4" s="64">
        <f t="shared" si="4"/>
        <v>10</v>
      </c>
      <c r="IZ4" s="64">
        <f t="shared" si="4"/>
        <v>12</v>
      </c>
      <c r="JA4" s="64">
        <f t="shared" si="4"/>
        <v>14</v>
      </c>
      <c r="JB4" s="64">
        <f t="shared" si="4"/>
        <v>16</v>
      </c>
      <c r="JC4" s="64">
        <f t="shared" ref="JC4" si="5">IF4*2</f>
        <v>18</v>
      </c>
      <c r="JD4" s="64">
        <f t="shared" ref="JD4" si="6">IG4*2</f>
        <v>20</v>
      </c>
      <c r="JE4" s="64">
        <f t="shared" ref="JE4" si="7">IH4*2</f>
        <v>22</v>
      </c>
      <c r="JF4" s="64">
        <f t="shared" ref="JF4" si="8">II4*2</f>
        <v>24</v>
      </c>
      <c r="JG4" s="64">
        <f t="shared" ref="JG4" si="9">IJ4*2</f>
        <v>26</v>
      </c>
      <c r="JH4" s="64">
        <f t="shared" ref="JH4" si="10">IK4*2</f>
        <v>28</v>
      </c>
      <c r="JI4" s="64">
        <f t="shared" ref="JI4:JJ4" si="11">IL4*2</f>
        <v>30</v>
      </c>
      <c r="JJ4" s="64">
        <f t="shared" si="11"/>
        <v>32</v>
      </c>
      <c r="JK4" s="64">
        <f t="shared" ref="JK4" si="12">IN4*2</f>
        <v>34</v>
      </c>
      <c r="JL4" s="64">
        <f t="shared" ref="JL4" si="13">IO4*2</f>
        <v>36</v>
      </c>
      <c r="JM4" s="64">
        <f t="shared" ref="JM4" si="14">IP4*2</f>
        <v>38</v>
      </c>
      <c r="JN4" s="64">
        <f t="shared" ref="JN4" si="15">IQ4*2</f>
        <v>40</v>
      </c>
      <c r="JR4" s="72"/>
      <c r="JS4" s="72"/>
      <c r="JT4" s="72"/>
      <c r="JU4" s="72"/>
      <c r="JV4" s="72"/>
      <c r="JW4" s="72"/>
      <c r="JX4" s="72"/>
      <c r="JY4" s="72"/>
      <c r="JZ4" s="72"/>
      <c r="KA4" s="72"/>
      <c r="KB4" s="72"/>
      <c r="KC4" s="72"/>
      <c r="KD4" s="72"/>
      <c r="KE4" s="72"/>
      <c r="KF4" s="72"/>
      <c r="KG4" s="72"/>
      <c r="KH4" s="72"/>
      <c r="KI4" s="72"/>
      <c r="KJ4" s="72"/>
      <c r="KK4" s="72"/>
      <c r="KL4" s="72"/>
      <c r="KM4" s="72"/>
      <c r="KN4" s="72"/>
    </row>
    <row r="5" spans="1:300" x14ac:dyDescent="0.25">
      <c r="A5" s="8"/>
      <c r="B5" s="5" t="s">
        <v>61</v>
      </c>
      <c r="C5" s="8"/>
      <c r="D5" s="6" t="s">
        <v>456</v>
      </c>
      <c r="E5" s="8" t="s">
        <v>466</v>
      </c>
      <c r="F5" s="5"/>
      <c r="G5" s="5"/>
      <c r="H5" s="5"/>
      <c r="I5" s="5"/>
      <c r="J5" s="5"/>
      <c r="K5" s="9"/>
      <c r="L5" s="6" t="str">
        <f>IF(E7=10,"UPG10MC",IF(E7=15,"UPG15MC",IF(E7=20,"UPG20MC",0)))</f>
        <v>UPG15MC</v>
      </c>
      <c r="M5" s="11">
        <f>INDEX(cenník!$C$2:$I$568,MATCH($L5,cenník!$B$2:$B$557,0),MATCH(M$2,cenník!$C$1:$I$1,0))</f>
        <v>878115</v>
      </c>
      <c r="N5" s="11" t="str">
        <f>INDEX(cenník!$C$2:$I$568,MATCH($L5,cenník!$B$2:$B$557,0),MATCH(N$2,cenník!$C$1:$I$1,0))</f>
        <v>ks</v>
      </c>
      <c r="O5" s="11">
        <f>O3</f>
        <v>0</v>
      </c>
      <c r="P5" s="36">
        <f>INDEX(cenník!$C$2:$I$568,MATCH($L5,cenník!$B$2:$B$557,0),MATCH(P$2,cenník!$C$1:$I$1,0))</f>
        <v>9.4600000000000009</v>
      </c>
      <c r="Q5" s="36">
        <f t="shared" si="1"/>
        <v>0</v>
      </c>
      <c r="R5" s="37">
        <f t="shared" si="2"/>
        <v>0</v>
      </c>
      <c r="S5" s="36">
        <f t="shared" ref="S5:S6" si="16">P5*((100-$E$8)/100)</f>
        <v>9.4600000000000009</v>
      </c>
      <c r="T5" s="36">
        <f t="shared" si="3"/>
        <v>0</v>
      </c>
      <c r="U5" s="36">
        <f>INDEX(cenník!$C$2:$I$568,MATCH($L5,cenník!$B$2:$B$557,0),MATCH(U$2,cenník!$C$1:$I$1,0))*O5</f>
        <v>0</v>
      </c>
      <c r="V5" s="72"/>
      <c r="W5" s="85">
        <f t="shared" si="0"/>
        <v>0</v>
      </c>
      <c r="X5" s="85" t="s">
        <v>467</v>
      </c>
      <c r="Y5" s="85" t="s">
        <v>465</v>
      </c>
      <c r="Z5" s="85" t="s">
        <v>485</v>
      </c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 t="s">
        <v>11</v>
      </c>
      <c r="AM5" s="72">
        <v>0</v>
      </c>
      <c r="AN5" s="72">
        <v>0</v>
      </c>
      <c r="AO5" s="72">
        <v>2</v>
      </c>
      <c r="AP5" s="72">
        <v>0</v>
      </c>
      <c r="AQ5" s="72">
        <v>4</v>
      </c>
      <c r="AR5" s="72">
        <v>2</v>
      </c>
      <c r="AS5" s="72">
        <v>0</v>
      </c>
      <c r="AT5" s="72">
        <v>4</v>
      </c>
      <c r="AU5" s="72">
        <v>2</v>
      </c>
      <c r="AV5" s="72">
        <v>0</v>
      </c>
      <c r="AW5" s="72">
        <v>4</v>
      </c>
      <c r="AX5" s="72">
        <v>2</v>
      </c>
      <c r="AY5" s="72">
        <v>0</v>
      </c>
      <c r="AZ5" s="72">
        <v>4</v>
      </c>
      <c r="BA5" s="72">
        <v>2</v>
      </c>
      <c r="BB5" s="72">
        <v>0</v>
      </c>
      <c r="BC5" s="72">
        <v>0</v>
      </c>
      <c r="BD5" s="72">
        <v>0</v>
      </c>
      <c r="BE5" s="72">
        <v>2</v>
      </c>
      <c r="BF5" s="72">
        <v>0</v>
      </c>
      <c r="BG5" s="72">
        <v>2</v>
      </c>
      <c r="BH5" s="72">
        <v>0</v>
      </c>
      <c r="BI5" s="72">
        <v>0</v>
      </c>
      <c r="BJ5" s="72">
        <v>0</v>
      </c>
      <c r="BK5" s="72">
        <v>0</v>
      </c>
      <c r="BL5" s="72">
        <v>0</v>
      </c>
      <c r="BM5" s="72">
        <v>0</v>
      </c>
      <c r="BN5" s="72">
        <v>0</v>
      </c>
      <c r="BO5" s="72">
        <v>0</v>
      </c>
      <c r="BP5" s="72">
        <v>0</v>
      </c>
      <c r="BQ5" s="72">
        <v>2</v>
      </c>
      <c r="BR5" s="72">
        <v>0</v>
      </c>
      <c r="BS5" s="72">
        <v>0</v>
      </c>
      <c r="BT5" s="72">
        <v>2</v>
      </c>
      <c r="BU5" s="72">
        <v>0</v>
      </c>
      <c r="BV5" s="72">
        <v>0</v>
      </c>
      <c r="BW5" s="72">
        <v>0</v>
      </c>
      <c r="BX5" s="72">
        <v>0</v>
      </c>
      <c r="BY5" s="72">
        <v>0</v>
      </c>
      <c r="BZ5" s="72">
        <v>0</v>
      </c>
      <c r="CA5" s="72">
        <v>0</v>
      </c>
      <c r="CB5" s="72">
        <v>0</v>
      </c>
      <c r="CC5" s="72">
        <v>2</v>
      </c>
      <c r="CD5" s="72">
        <v>0</v>
      </c>
      <c r="CE5" s="72">
        <v>0</v>
      </c>
      <c r="CF5" s="72">
        <v>0</v>
      </c>
      <c r="CG5" s="72">
        <v>0</v>
      </c>
      <c r="CH5" s="72">
        <v>0</v>
      </c>
      <c r="CI5" s="72">
        <v>0</v>
      </c>
      <c r="CJ5" s="72">
        <v>0</v>
      </c>
      <c r="CK5" s="72">
        <v>0</v>
      </c>
      <c r="CL5" s="72"/>
      <c r="CM5" s="72"/>
      <c r="CN5" s="72"/>
      <c r="CO5" s="72"/>
      <c r="CP5" s="72"/>
      <c r="CQ5" s="72"/>
      <c r="CR5" s="72"/>
      <c r="CS5" s="72"/>
      <c r="CT5" s="72"/>
      <c r="CU5" s="72"/>
      <c r="CV5" s="72"/>
      <c r="CW5" s="72"/>
      <c r="CX5" s="72"/>
      <c r="CY5" s="72"/>
      <c r="CZ5" s="72"/>
      <c r="DA5" s="72"/>
      <c r="DB5" s="72"/>
      <c r="DC5" s="72"/>
      <c r="DD5" s="72"/>
      <c r="DE5" s="72"/>
      <c r="DF5" s="72"/>
      <c r="DG5" s="72"/>
      <c r="DH5" s="72"/>
      <c r="DI5" s="72"/>
      <c r="DJ5" s="72"/>
      <c r="DK5" s="72"/>
      <c r="DL5" s="72"/>
      <c r="DM5" s="72"/>
      <c r="DN5" s="72"/>
      <c r="DO5" s="72"/>
      <c r="DP5" s="72"/>
      <c r="DQ5" s="72"/>
      <c r="DR5" s="72"/>
      <c r="DS5" s="72"/>
      <c r="DT5" s="72"/>
      <c r="DU5" s="72"/>
      <c r="DV5" s="72"/>
      <c r="DW5" s="72"/>
      <c r="DX5" s="72"/>
      <c r="DY5" s="72"/>
      <c r="DZ5" s="81">
        <v>4</v>
      </c>
      <c r="EA5" s="81">
        <v>8</v>
      </c>
      <c r="EB5" s="81">
        <v>25</v>
      </c>
      <c r="EC5" s="72"/>
      <c r="ED5" s="72"/>
      <c r="EE5" s="72"/>
      <c r="EF5" s="72"/>
      <c r="EG5" s="72"/>
      <c r="EH5" s="72"/>
      <c r="EI5" s="72"/>
      <c r="EJ5" s="72"/>
      <c r="EK5" s="72"/>
      <c r="EL5" s="72"/>
      <c r="EM5" s="72"/>
      <c r="EN5" s="72"/>
      <c r="EO5" s="72"/>
      <c r="EP5" s="72"/>
      <c r="EQ5" s="72"/>
      <c r="ER5" s="72"/>
      <c r="ES5" s="72"/>
      <c r="ET5" s="72"/>
      <c r="EU5" s="72"/>
      <c r="EV5" s="72" t="s">
        <v>99</v>
      </c>
      <c r="EW5" s="72">
        <v>0</v>
      </c>
      <c r="EX5" s="72">
        <v>0</v>
      </c>
      <c r="EY5" s="72">
        <v>0</v>
      </c>
      <c r="EZ5" s="72">
        <v>0</v>
      </c>
      <c r="FA5" s="72">
        <v>0</v>
      </c>
      <c r="FB5" s="72">
        <v>0</v>
      </c>
      <c r="FC5" s="72">
        <v>0</v>
      </c>
      <c r="FD5" s="72">
        <v>0</v>
      </c>
      <c r="FE5" s="72">
        <v>2</v>
      </c>
      <c r="FF5" s="72">
        <v>0</v>
      </c>
      <c r="FG5" s="72">
        <v>0</v>
      </c>
      <c r="FH5" s="72">
        <v>2</v>
      </c>
      <c r="FI5" s="72">
        <v>0</v>
      </c>
      <c r="FJ5" s="72">
        <v>0</v>
      </c>
      <c r="FK5" s="72">
        <v>0</v>
      </c>
      <c r="FL5" s="72">
        <v>0</v>
      </c>
      <c r="FM5" s="72">
        <v>0</v>
      </c>
      <c r="FN5" s="72">
        <v>0</v>
      </c>
      <c r="FO5" s="72">
        <v>0</v>
      </c>
      <c r="FP5" s="72">
        <v>0</v>
      </c>
      <c r="FQ5" s="72">
        <v>0</v>
      </c>
      <c r="FR5" s="72">
        <v>0</v>
      </c>
      <c r="FS5" s="72">
        <v>0</v>
      </c>
      <c r="FT5" s="72">
        <v>0</v>
      </c>
      <c r="FU5" s="72">
        <v>0</v>
      </c>
      <c r="FV5" s="72">
        <v>0</v>
      </c>
      <c r="FW5" s="72">
        <v>0</v>
      </c>
      <c r="FX5" s="72">
        <v>0</v>
      </c>
      <c r="FY5" s="72">
        <v>0</v>
      </c>
      <c r="FZ5" s="72">
        <v>0</v>
      </c>
      <c r="GA5" s="72">
        <v>0</v>
      </c>
      <c r="GB5" s="72">
        <v>0</v>
      </c>
      <c r="GC5" s="72">
        <v>0</v>
      </c>
      <c r="GD5" s="72">
        <v>0</v>
      </c>
      <c r="GE5" s="72">
        <v>0</v>
      </c>
      <c r="GF5" s="72">
        <v>0</v>
      </c>
      <c r="GG5" s="72">
        <v>0</v>
      </c>
      <c r="GH5" s="72">
        <v>0</v>
      </c>
      <c r="GI5" s="72">
        <v>0</v>
      </c>
      <c r="GJ5" s="72">
        <v>0</v>
      </c>
      <c r="GK5" s="72">
        <v>0</v>
      </c>
      <c r="GL5" s="72">
        <v>0</v>
      </c>
      <c r="GM5" s="72">
        <v>0</v>
      </c>
      <c r="GN5" s="72">
        <v>0</v>
      </c>
      <c r="GO5" s="72">
        <v>0</v>
      </c>
      <c r="GP5" s="72">
        <v>0</v>
      </c>
      <c r="GQ5" s="72">
        <v>0</v>
      </c>
      <c r="GR5" s="72">
        <v>0</v>
      </c>
      <c r="GS5" s="72">
        <v>0</v>
      </c>
      <c r="GT5" s="72">
        <v>0</v>
      </c>
      <c r="GU5" s="72">
        <v>0</v>
      </c>
      <c r="GV5" s="72"/>
      <c r="GW5" s="72"/>
      <c r="GX5" s="72"/>
      <c r="GY5" s="64" t="s">
        <v>380</v>
      </c>
      <c r="GZ5" s="64">
        <v>0</v>
      </c>
      <c r="HA5" s="64">
        <v>2</v>
      </c>
      <c r="HB5" s="64">
        <v>2</v>
      </c>
      <c r="HC5" s="64">
        <v>0</v>
      </c>
      <c r="HD5" s="64">
        <v>4</v>
      </c>
      <c r="HE5" s="64">
        <v>2</v>
      </c>
      <c r="HF5" s="64">
        <v>0</v>
      </c>
      <c r="HG5" s="64">
        <v>4</v>
      </c>
      <c r="HH5" s="64">
        <v>2</v>
      </c>
      <c r="HI5" s="64">
        <v>0</v>
      </c>
      <c r="HJ5" s="64">
        <v>4</v>
      </c>
      <c r="HK5" s="64">
        <v>2</v>
      </c>
      <c r="HL5" s="64">
        <v>0</v>
      </c>
      <c r="HM5" s="64">
        <v>4</v>
      </c>
      <c r="HN5" s="64">
        <v>2</v>
      </c>
      <c r="HO5" s="64">
        <v>2</v>
      </c>
      <c r="HP5" s="64">
        <v>0</v>
      </c>
      <c r="HQ5" s="64">
        <v>4</v>
      </c>
      <c r="HR5" s="64">
        <v>2</v>
      </c>
      <c r="HS5" s="64">
        <v>4</v>
      </c>
      <c r="HT5" s="64">
        <v>4</v>
      </c>
      <c r="HV5" s="64" t="s">
        <v>380</v>
      </c>
      <c r="HW5" s="72">
        <v>0</v>
      </c>
      <c r="HX5" s="72">
        <v>2</v>
      </c>
      <c r="HY5" s="72">
        <v>0</v>
      </c>
      <c r="HZ5" s="72">
        <v>2</v>
      </c>
      <c r="IA5" s="72">
        <v>0</v>
      </c>
      <c r="IB5" s="72">
        <v>2</v>
      </c>
      <c r="IC5" s="72">
        <v>0</v>
      </c>
      <c r="ID5" s="72">
        <v>2</v>
      </c>
      <c r="IE5" s="72">
        <v>0</v>
      </c>
      <c r="IF5" s="72">
        <v>2</v>
      </c>
      <c r="IG5" s="72">
        <v>0</v>
      </c>
      <c r="IH5" s="72">
        <v>2</v>
      </c>
      <c r="II5" s="72">
        <v>0</v>
      </c>
      <c r="IJ5" s="72">
        <v>2</v>
      </c>
      <c r="IK5" s="72">
        <v>0</v>
      </c>
      <c r="IL5" s="72">
        <v>2</v>
      </c>
      <c r="IM5" s="72">
        <v>0</v>
      </c>
      <c r="IN5" s="72">
        <v>2</v>
      </c>
      <c r="IO5" s="72">
        <v>0</v>
      </c>
      <c r="IP5" s="72">
        <v>2</v>
      </c>
      <c r="IQ5" s="72">
        <v>0</v>
      </c>
      <c r="IS5" s="64" t="s">
        <v>380</v>
      </c>
      <c r="IT5" s="64">
        <f t="shared" ref="IT5:IT7" si="17">HW5*2</f>
        <v>0</v>
      </c>
      <c r="IU5" s="64">
        <f t="shared" ref="IU5:IU7" si="18">HX5*2</f>
        <v>4</v>
      </c>
      <c r="IV5" s="64">
        <f t="shared" ref="IV5:IV7" si="19">HY5*2</f>
        <v>0</v>
      </c>
      <c r="IW5" s="64">
        <f t="shared" ref="IW5:IW7" si="20">HZ5*2</f>
        <v>4</v>
      </c>
      <c r="IX5" s="64">
        <f t="shared" ref="IX5:IX7" si="21">IA5*2</f>
        <v>0</v>
      </c>
      <c r="IY5" s="64">
        <f t="shared" ref="IY5:IY7" si="22">IB5*2</f>
        <v>4</v>
      </c>
      <c r="IZ5" s="64">
        <f t="shared" ref="IZ5:IZ7" si="23">IC5*2</f>
        <v>0</v>
      </c>
      <c r="JA5" s="64">
        <f t="shared" ref="JA5:JA7" si="24">ID5*2</f>
        <v>4</v>
      </c>
      <c r="JB5" s="64">
        <f t="shared" ref="JB5:JB6" si="25">IE5*2</f>
        <v>0</v>
      </c>
      <c r="JC5" s="64">
        <f t="shared" ref="JC5:JC7" si="26">IF5*2</f>
        <v>4</v>
      </c>
      <c r="JD5" s="64">
        <f t="shared" ref="JD5:JD7" si="27">IG5*2</f>
        <v>0</v>
      </c>
      <c r="JE5" s="64">
        <f t="shared" ref="JE5:JE7" si="28">IH5*2</f>
        <v>4</v>
      </c>
      <c r="JF5" s="64">
        <f t="shared" ref="JF5:JF7" si="29">II5*2</f>
        <v>0</v>
      </c>
      <c r="JG5" s="64">
        <f t="shared" ref="JG5:JG7" si="30">IJ5*2</f>
        <v>4</v>
      </c>
      <c r="JH5" s="64">
        <f t="shared" ref="JH5:JH7" si="31">IK5*2</f>
        <v>0</v>
      </c>
      <c r="JI5" s="64">
        <f t="shared" ref="JI5:JI7" si="32">IL5*2</f>
        <v>4</v>
      </c>
      <c r="JJ5" s="64">
        <f t="shared" ref="JJ5:JJ7" si="33">IM5*2</f>
        <v>0</v>
      </c>
      <c r="JK5" s="64">
        <f t="shared" ref="JK5:JK7" si="34">IN5*2</f>
        <v>4</v>
      </c>
      <c r="JL5" s="64">
        <f t="shared" ref="JL5:JL7" si="35">IO5*2</f>
        <v>0</v>
      </c>
      <c r="JM5" s="64">
        <f t="shared" ref="JM5:JM7" si="36">IP5*2</f>
        <v>4</v>
      </c>
      <c r="JN5" s="64">
        <f t="shared" ref="JN5:JN7" si="37">IQ5*2</f>
        <v>0</v>
      </c>
    </row>
    <row r="6" spans="1:300" x14ac:dyDescent="0.25">
      <c r="A6" s="8"/>
      <c r="B6" s="5" t="s">
        <v>61</v>
      </c>
      <c r="C6" s="8"/>
      <c r="D6" s="6" t="s">
        <v>475</v>
      </c>
      <c r="E6" s="8" t="s">
        <v>482</v>
      </c>
      <c r="F6" s="40" t="str">
        <f>IF(E6="zaťažená","hodnotu balastu určí statik","")</f>
        <v>hodnotu balastu určí statik</v>
      </c>
      <c r="G6" s="6"/>
      <c r="H6" s="6"/>
      <c r="I6" s="6"/>
      <c r="J6" s="6"/>
      <c r="K6" s="9"/>
      <c r="L6" s="6" t="str">
        <f>INDEX((EP19:ER28),MATCH(E3,EO19:EO28,0),MATCH(E7,EP18:ER18,0),1)</f>
        <v>OWN15/2,4MC</v>
      </c>
      <c r="M6" s="11">
        <f>INDEX(cenník!$C$2:$I$568,MATCH($L6,cenník!$B$2:$B$557,0),MATCH(M$2,cenník!$C$1:$I$1,0))</f>
        <v>851524</v>
      </c>
      <c r="N6" s="11" t="str">
        <f>INDEX(cenník!$C$2:$I$568,MATCH($L6,cenník!$B$2:$B$557,0),MATCH(N$2,cenník!$C$1:$I$1,0))</f>
        <v>ks</v>
      </c>
      <c r="O6" s="11">
        <f>SUM((A2*C2),(A3*C3),(A4*C4),(A5*C5),(A6*C6),(A7*C7),(A8*C8),(A9*C9),(A10*C10),(A11*C11),(A12*C12),(A13*C13),(A14*C14),(A15*C15),(A16*C16),(A17*C17))</f>
        <v>0</v>
      </c>
      <c r="P6" s="36">
        <f>INDEX(cenník!$C$2:$I$568,MATCH($L6,cenník!$B$2:$B$557,0),MATCH(P$2,cenník!$C$1:$I$1,0))</f>
        <v>16.07</v>
      </c>
      <c r="Q6" s="36">
        <f t="shared" si="1"/>
        <v>0</v>
      </c>
      <c r="R6" s="37">
        <f t="shared" si="2"/>
        <v>0</v>
      </c>
      <c r="S6" s="36">
        <f t="shared" si="16"/>
        <v>16.07</v>
      </c>
      <c r="T6" s="36">
        <f t="shared" si="3"/>
        <v>0</v>
      </c>
      <c r="U6" s="36">
        <f>INDEX(cenník!$C$2:$I$568,MATCH($L6,cenník!$B$2:$B$557,0),MATCH(U$2,cenník!$C$1:$I$1,0))*O6</f>
        <v>0</v>
      </c>
      <c r="V6" s="72"/>
      <c r="W6" s="85">
        <f t="shared" si="0"/>
        <v>0</v>
      </c>
      <c r="X6" s="72"/>
      <c r="Y6" s="72"/>
      <c r="Z6" s="72"/>
      <c r="AA6" s="72"/>
      <c r="AB6" s="72"/>
      <c r="AC6" s="72"/>
      <c r="AD6" s="72"/>
      <c r="AE6" s="72"/>
      <c r="AF6" s="72"/>
      <c r="AG6" s="72"/>
      <c r="AH6" s="72"/>
      <c r="AI6" s="72"/>
      <c r="AJ6" s="72"/>
      <c r="AK6" s="72"/>
      <c r="AL6" s="72" t="s">
        <v>64</v>
      </c>
      <c r="AM6" s="72">
        <v>0</v>
      </c>
      <c r="AN6" s="72">
        <v>0</v>
      </c>
      <c r="AO6" s="72">
        <v>0</v>
      </c>
      <c r="AP6" s="72">
        <v>0</v>
      </c>
      <c r="AQ6" s="72">
        <v>0</v>
      </c>
      <c r="AR6" s="72">
        <v>0</v>
      </c>
      <c r="AS6" s="72">
        <v>0</v>
      </c>
      <c r="AT6" s="72">
        <v>0</v>
      </c>
      <c r="AU6" s="72">
        <v>0</v>
      </c>
      <c r="AV6" s="72">
        <v>0</v>
      </c>
      <c r="AW6" s="72">
        <v>0</v>
      </c>
      <c r="AX6" s="72">
        <v>0</v>
      </c>
      <c r="AY6" s="72">
        <v>0</v>
      </c>
      <c r="AZ6" s="72">
        <v>0</v>
      </c>
      <c r="BA6" s="72">
        <v>0</v>
      </c>
      <c r="BB6" s="72">
        <v>2</v>
      </c>
      <c r="BC6" s="72">
        <v>0</v>
      </c>
      <c r="BD6" s="72">
        <v>4</v>
      </c>
      <c r="BE6" s="72">
        <v>0</v>
      </c>
      <c r="BF6" s="72">
        <v>0</v>
      </c>
      <c r="BG6" s="72">
        <v>2</v>
      </c>
      <c r="BH6" s="72">
        <v>2</v>
      </c>
      <c r="BI6" s="72">
        <v>0</v>
      </c>
      <c r="BJ6" s="72">
        <v>4</v>
      </c>
      <c r="BK6" s="72">
        <v>4</v>
      </c>
      <c r="BL6" s="72">
        <v>0</v>
      </c>
      <c r="BM6" s="72">
        <v>4</v>
      </c>
      <c r="BN6" s="72">
        <v>2</v>
      </c>
      <c r="BO6" s="72">
        <v>0</v>
      </c>
      <c r="BP6" s="72">
        <v>0</v>
      </c>
      <c r="BQ6" s="72">
        <v>0</v>
      </c>
      <c r="BR6" s="72">
        <v>0</v>
      </c>
      <c r="BS6" s="72">
        <v>0</v>
      </c>
      <c r="BT6" s="72">
        <v>0</v>
      </c>
      <c r="BU6" s="72">
        <v>0</v>
      </c>
      <c r="BV6" s="72">
        <v>0</v>
      </c>
      <c r="BW6" s="72">
        <v>4</v>
      </c>
      <c r="BX6" s="72">
        <v>2</v>
      </c>
      <c r="BY6" s="72">
        <v>0</v>
      </c>
      <c r="BZ6" s="72">
        <v>4</v>
      </c>
      <c r="CA6" s="72">
        <v>0</v>
      </c>
      <c r="CB6" s="72">
        <v>0</v>
      </c>
      <c r="CC6" s="72">
        <v>0</v>
      </c>
      <c r="CD6" s="72">
        <v>2</v>
      </c>
      <c r="CE6" s="72">
        <v>0</v>
      </c>
      <c r="CF6" s="72">
        <v>0</v>
      </c>
      <c r="CG6" s="72">
        <v>4</v>
      </c>
      <c r="CH6" s="72">
        <v>0</v>
      </c>
      <c r="CI6" s="72">
        <v>0</v>
      </c>
      <c r="CJ6" s="72">
        <v>0</v>
      </c>
      <c r="CK6" s="72">
        <v>2</v>
      </c>
      <c r="CL6" s="72"/>
      <c r="CM6" s="72"/>
      <c r="CN6" s="72"/>
      <c r="CO6" s="72"/>
      <c r="CP6" s="72"/>
      <c r="CQ6" s="72"/>
      <c r="CR6" s="72"/>
      <c r="CS6" s="72"/>
      <c r="CT6" s="72"/>
      <c r="CU6" s="72"/>
      <c r="CV6" s="72"/>
      <c r="CW6" s="72"/>
      <c r="CX6" s="72"/>
      <c r="CY6" s="72"/>
      <c r="CZ6" s="72"/>
      <c r="DA6" s="72"/>
      <c r="DB6" s="72"/>
      <c r="DC6" s="72"/>
      <c r="DD6" s="72"/>
      <c r="DE6" s="72"/>
      <c r="DF6" s="72"/>
      <c r="DG6" s="72"/>
      <c r="DH6" s="72"/>
      <c r="DI6" s="72"/>
      <c r="DJ6" s="72"/>
      <c r="DK6" s="72"/>
      <c r="DL6" s="72"/>
      <c r="DM6" s="72"/>
      <c r="DN6" s="72"/>
      <c r="DO6" s="72"/>
      <c r="DP6" s="72"/>
      <c r="DQ6" s="72"/>
      <c r="DR6" s="72"/>
      <c r="DS6" s="72"/>
      <c r="DT6" s="72"/>
      <c r="DU6" s="72"/>
      <c r="DV6" s="72"/>
      <c r="DW6" s="72"/>
      <c r="DX6" s="72"/>
      <c r="DY6" s="72"/>
      <c r="DZ6" s="81">
        <v>5</v>
      </c>
      <c r="EA6" s="81">
        <v>10</v>
      </c>
      <c r="EB6" s="81">
        <v>30</v>
      </c>
      <c r="EC6" s="72"/>
      <c r="ED6" s="72"/>
      <c r="EE6" s="72"/>
      <c r="EF6" s="72"/>
      <c r="EG6" s="72"/>
      <c r="EH6" s="72"/>
      <c r="EI6" s="72"/>
      <c r="EJ6" s="72"/>
      <c r="EK6" s="72"/>
      <c r="EL6" s="72"/>
      <c r="EM6" s="72"/>
      <c r="EN6" s="72"/>
      <c r="EO6" s="72"/>
      <c r="EP6" s="72"/>
      <c r="EQ6" s="72"/>
      <c r="ER6" s="72"/>
      <c r="ES6" s="72"/>
      <c r="ET6" s="72"/>
      <c r="EU6" s="72"/>
      <c r="EV6" s="72" t="s">
        <v>8</v>
      </c>
      <c r="EW6" s="72">
        <v>0</v>
      </c>
      <c r="EX6" s="72">
        <v>2</v>
      </c>
      <c r="EY6" s="72">
        <v>0</v>
      </c>
      <c r="EZ6" s="72">
        <v>0</v>
      </c>
      <c r="FA6" s="72">
        <v>2</v>
      </c>
      <c r="FB6" s="72">
        <v>0</v>
      </c>
      <c r="FC6" s="72">
        <v>0</v>
      </c>
      <c r="FD6" s="72">
        <v>0</v>
      </c>
      <c r="FE6" s="72">
        <v>0</v>
      </c>
      <c r="FF6" s="72">
        <v>0</v>
      </c>
      <c r="FG6" s="72">
        <v>0</v>
      </c>
      <c r="FH6" s="72">
        <v>0</v>
      </c>
      <c r="FI6" s="72">
        <v>2</v>
      </c>
      <c r="FJ6" s="72">
        <v>0</v>
      </c>
      <c r="FK6" s="72">
        <v>0</v>
      </c>
      <c r="FL6" s="72">
        <v>0</v>
      </c>
      <c r="FM6" s="72">
        <v>0</v>
      </c>
      <c r="FN6" s="72">
        <v>0</v>
      </c>
      <c r="FO6" s="72">
        <v>0</v>
      </c>
      <c r="FP6" s="72">
        <v>0</v>
      </c>
      <c r="FQ6" s="72">
        <v>0</v>
      </c>
      <c r="FR6" s="72">
        <v>0</v>
      </c>
      <c r="FS6" s="72">
        <v>0</v>
      </c>
      <c r="FT6" s="72">
        <v>0</v>
      </c>
      <c r="FU6" s="72">
        <v>0</v>
      </c>
      <c r="FV6" s="72">
        <v>0</v>
      </c>
      <c r="FW6" s="72">
        <v>0</v>
      </c>
      <c r="FX6" s="72">
        <v>0</v>
      </c>
      <c r="FY6" s="72">
        <v>0</v>
      </c>
      <c r="FZ6" s="72">
        <v>0</v>
      </c>
      <c r="GA6" s="72">
        <v>0</v>
      </c>
      <c r="GB6" s="72">
        <v>0</v>
      </c>
      <c r="GC6" s="72">
        <v>0</v>
      </c>
      <c r="GD6" s="72">
        <v>0</v>
      </c>
      <c r="GE6" s="72">
        <v>0</v>
      </c>
      <c r="GF6" s="72">
        <v>0</v>
      </c>
      <c r="GG6" s="72">
        <v>0</v>
      </c>
      <c r="GH6" s="72">
        <v>0</v>
      </c>
      <c r="GI6" s="72">
        <v>0</v>
      </c>
      <c r="GJ6" s="72">
        <v>0</v>
      </c>
      <c r="GK6" s="72">
        <v>0</v>
      </c>
      <c r="GL6" s="72">
        <v>0</v>
      </c>
      <c r="GM6" s="72">
        <v>0</v>
      </c>
      <c r="GN6" s="72">
        <v>0</v>
      </c>
      <c r="GO6" s="72">
        <v>0</v>
      </c>
      <c r="GP6" s="72">
        <v>0</v>
      </c>
      <c r="GQ6" s="72">
        <v>0</v>
      </c>
      <c r="GR6" s="72">
        <v>0</v>
      </c>
      <c r="GS6" s="72">
        <v>0</v>
      </c>
      <c r="GT6" s="72">
        <v>0</v>
      </c>
      <c r="GU6" s="72">
        <v>0</v>
      </c>
      <c r="GV6" s="72"/>
      <c r="GW6" s="72"/>
      <c r="GX6" s="72"/>
      <c r="GY6" s="64" t="s">
        <v>379</v>
      </c>
      <c r="GZ6" s="64">
        <v>0</v>
      </c>
      <c r="HA6" s="64">
        <v>0</v>
      </c>
      <c r="HB6" s="64">
        <v>0</v>
      </c>
      <c r="HC6" s="64">
        <v>2</v>
      </c>
      <c r="HD6" s="64">
        <v>0</v>
      </c>
      <c r="HE6" s="64">
        <v>2</v>
      </c>
      <c r="HF6" s="64">
        <v>4</v>
      </c>
      <c r="HG6" s="64">
        <v>2</v>
      </c>
      <c r="HH6" s="64">
        <v>4</v>
      </c>
      <c r="HI6" s="64">
        <v>6</v>
      </c>
      <c r="HJ6" s="64">
        <v>4</v>
      </c>
      <c r="HK6" s="64">
        <v>6</v>
      </c>
      <c r="HL6" s="64">
        <v>8</v>
      </c>
      <c r="HM6" s="64">
        <v>6</v>
      </c>
      <c r="HN6" s="64">
        <v>8</v>
      </c>
      <c r="HO6" s="64">
        <v>8</v>
      </c>
      <c r="HP6" s="64">
        <v>10</v>
      </c>
      <c r="HQ6" s="64">
        <v>8</v>
      </c>
      <c r="HR6" s="64">
        <v>10</v>
      </c>
      <c r="HS6" s="64">
        <v>16</v>
      </c>
      <c r="HT6" s="64">
        <v>10</v>
      </c>
      <c r="HV6" s="64" t="s">
        <v>379</v>
      </c>
      <c r="HW6" s="72">
        <v>0</v>
      </c>
      <c r="HX6" s="72">
        <v>0</v>
      </c>
      <c r="HY6" s="72">
        <v>2</v>
      </c>
      <c r="HZ6" s="72">
        <v>2</v>
      </c>
      <c r="IA6" s="72">
        <v>4</v>
      </c>
      <c r="IB6" s="72">
        <v>4</v>
      </c>
      <c r="IC6" s="72">
        <v>6</v>
      </c>
      <c r="ID6" s="72">
        <v>6</v>
      </c>
      <c r="IE6" s="72">
        <v>8</v>
      </c>
      <c r="IF6" s="72">
        <v>8</v>
      </c>
      <c r="IG6" s="72">
        <v>10</v>
      </c>
      <c r="IH6" s="72">
        <v>10</v>
      </c>
      <c r="II6" s="72">
        <v>12</v>
      </c>
      <c r="IJ6" s="72">
        <v>12</v>
      </c>
      <c r="IK6" s="72">
        <v>14</v>
      </c>
      <c r="IL6" s="72">
        <v>14</v>
      </c>
      <c r="IM6" s="72">
        <v>16</v>
      </c>
      <c r="IN6" s="72">
        <v>16</v>
      </c>
      <c r="IO6" s="72">
        <v>18</v>
      </c>
      <c r="IP6" s="72">
        <v>18</v>
      </c>
      <c r="IQ6" s="72">
        <v>20</v>
      </c>
      <c r="IS6" s="64" t="s">
        <v>379</v>
      </c>
      <c r="IT6" s="64">
        <f t="shared" si="17"/>
        <v>0</v>
      </c>
      <c r="IU6" s="64">
        <f t="shared" si="18"/>
        <v>0</v>
      </c>
      <c r="IV6" s="64">
        <f t="shared" si="19"/>
        <v>4</v>
      </c>
      <c r="IW6" s="64">
        <f t="shared" si="20"/>
        <v>4</v>
      </c>
      <c r="IX6" s="64">
        <f t="shared" si="21"/>
        <v>8</v>
      </c>
      <c r="IY6" s="64">
        <f t="shared" si="22"/>
        <v>8</v>
      </c>
      <c r="IZ6" s="64">
        <f t="shared" si="23"/>
        <v>12</v>
      </c>
      <c r="JA6" s="64">
        <f t="shared" si="24"/>
        <v>12</v>
      </c>
      <c r="JB6" s="64">
        <f t="shared" si="25"/>
        <v>16</v>
      </c>
      <c r="JC6" s="64">
        <f t="shared" si="26"/>
        <v>16</v>
      </c>
      <c r="JD6" s="64">
        <f t="shared" si="27"/>
        <v>20</v>
      </c>
      <c r="JE6" s="64">
        <f t="shared" si="28"/>
        <v>20</v>
      </c>
      <c r="JF6" s="64">
        <f t="shared" si="29"/>
        <v>24</v>
      </c>
      <c r="JG6" s="64">
        <f t="shared" si="30"/>
        <v>24</v>
      </c>
      <c r="JH6" s="64">
        <f t="shared" si="31"/>
        <v>28</v>
      </c>
      <c r="JI6" s="64">
        <f t="shared" si="32"/>
        <v>28</v>
      </c>
      <c r="JJ6" s="64">
        <f t="shared" si="33"/>
        <v>32</v>
      </c>
      <c r="JK6" s="64">
        <f t="shared" si="34"/>
        <v>32</v>
      </c>
      <c r="JL6" s="64">
        <f t="shared" si="35"/>
        <v>36</v>
      </c>
      <c r="JM6" s="64">
        <f t="shared" si="36"/>
        <v>36</v>
      </c>
      <c r="JN6" s="64">
        <f t="shared" si="37"/>
        <v>40</v>
      </c>
      <c r="JQ6" s="88"/>
    </row>
    <row r="7" spans="1:300" x14ac:dyDescent="0.25">
      <c r="A7" s="8"/>
      <c r="B7" s="5" t="s">
        <v>61</v>
      </c>
      <c r="C7" s="8"/>
      <c r="D7" s="6" t="s">
        <v>476</v>
      </c>
      <c r="E7" s="8">
        <v>15</v>
      </c>
      <c r="F7" s="5"/>
      <c r="G7" s="5"/>
      <c r="H7" s="5"/>
      <c r="I7" s="5"/>
      <c r="J7" s="5" t="s">
        <v>180</v>
      </c>
      <c r="K7" s="9"/>
      <c r="L7" s="6" t="str">
        <f>INDEX(($Z$89:$AA$99,$AE$89:$AF$99),MATCH(I3,$Y$89:$Y$98,0),MATCH(E5,$Z$88:$AA$88,0),MATCH(E4,$Y$4:$Y$5,0))</f>
        <v>BUFK30</v>
      </c>
      <c r="M7" s="11">
        <f>INDEX(cenník!$C$2:$I$568,MATCH($L7,cenník!$B$2:$B$557,0),MATCH(M$2,cenník!$C$1:$I$1,0))</f>
        <v>897430</v>
      </c>
      <c r="N7" s="11" t="str">
        <f>INDEX(cenník!$C$2:$I$568,MATCH($L7,cenník!$B$2:$B$557,0),MATCH(N$2,cenník!$C$1:$I$1,0))</f>
        <v>ks</v>
      </c>
      <c r="O7" s="11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7" s="36">
        <f>INDEX(cenník!$C$2:$I$568,MATCH($L7,cenník!$B$2:$B$557,0),MATCH(P$2,cenník!$C$1:$I$1,0))</f>
        <v>1.9</v>
      </c>
      <c r="Q7" s="36">
        <f t="shared" ref="Q7:Q15" si="38">O7*P7</f>
        <v>0</v>
      </c>
      <c r="R7" s="37">
        <f t="shared" si="2"/>
        <v>0</v>
      </c>
      <c r="S7" s="36">
        <f t="shared" ref="S7:S15" si="39">P7*((100-$E$8)/100)</f>
        <v>1.9</v>
      </c>
      <c r="T7" s="36">
        <f t="shared" ref="T7:T15" si="40">O7*S7</f>
        <v>0</v>
      </c>
      <c r="U7" s="36">
        <f>INDEX(cenník!$C$2:$I$568,MATCH($L7,cenník!$B$2:$B$557,0),MATCH(U$2,cenník!$C$1:$I$1,0))*O7</f>
        <v>0</v>
      </c>
      <c r="V7" s="72"/>
      <c r="W7" s="85">
        <f t="shared" si="0"/>
        <v>0</v>
      </c>
      <c r="X7" s="72" t="s">
        <v>56</v>
      </c>
      <c r="Y7" s="72">
        <v>1650</v>
      </c>
      <c r="Z7" s="72" t="s">
        <v>120</v>
      </c>
      <c r="AA7" s="72">
        <v>1663</v>
      </c>
      <c r="AB7" s="72"/>
      <c r="AC7" s="72"/>
      <c r="AD7" s="72"/>
      <c r="AE7" s="72"/>
      <c r="AF7" s="72"/>
      <c r="AG7" s="72"/>
      <c r="AH7" s="72"/>
      <c r="AI7" s="72"/>
      <c r="AJ7" s="72"/>
      <c r="AK7" s="72"/>
      <c r="AL7" s="72" t="s">
        <v>14</v>
      </c>
      <c r="AM7" s="72">
        <v>0</v>
      </c>
      <c r="AN7" s="72">
        <v>0</v>
      </c>
      <c r="AO7" s="72">
        <v>0</v>
      </c>
      <c r="AP7" s="72">
        <v>2</v>
      </c>
      <c r="AQ7" s="72">
        <v>0</v>
      </c>
      <c r="AR7" s="72">
        <v>2</v>
      </c>
      <c r="AS7" s="72">
        <v>4</v>
      </c>
      <c r="AT7" s="72">
        <v>2</v>
      </c>
      <c r="AU7" s="72">
        <v>4</v>
      </c>
      <c r="AV7" s="72">
        <v>6</v>
      </c>
      <c r="AW7" s="72">
        <v>4</v>
      </c>
      <c r="AX7" s="72">
        <v>6</v>
      </c>
      <c r="AY7" s="72">
        <v>8</v>
      </c>
      <c r="AZ7" s="72">
        <v>6</v>
      </c>
      <c r="BA7" s="72">
        <v>8</v>
      </c>
      <c r="BB7" s="72">
        <v>0</v>
      </c>
      <c r="BC7" s="72">
        <v>0</v>
      </c>
      <c r="BD7" s="72">
        <v>0</v>
      </c>
      <c r="BE7" s="72">
        <v>0</v>
      </c>
      <c r="BF7" s="72">
        <v>2</v>
      </c>
      <c r="BG7" s="72">
        <v>2</v>
      </c>
      <c r="BH7" s="72">
        <v>4</v>
      </c>
      <c r="BI7" s="72">
        <v>6</v>
      </c>
      <c r="BJ7" s="72">
        <v>6</v>
      </c>
      <c r="BK7" s="72">
        <v>6</v>
      </c>
      <c r="BL7" s="72">
        <v>8</v>
      </c>
      <c r="BM7" s="72">
        <v>12</v>
      </c>
      <c r="BN7" s="72">
        <v>10</v>
      </c>
      <c r="BO7" s="72">
        <v>12</v>
      </c>
      <c r="BP7" s="72">
        <v>0</v>
      </c>
      <c r="BQ7" s="72">
        <v>12</v>
      </c>
      <c r="BR7" s="72">
        <v>14</v>
      </c>
      <c r="BS7" s="72">
        <v>0</v>
      </c>
      <c r="BT7" s="72">
        <v>14</v>
      </c>
      <c r="BU7" s="72">
        <v>16</v>
      </c>
      <c r="BV7" s="72">
        <v>4</v>
      </c>
      <c r="BW7" s="72">
        <v>8</v>
      </c>
      <c r="BX7" s="72">
        <v>4</v>
      </c>
      <c r="BY7" s="72">
        <v>6</v>
      </c>
      <c r="BZ7" s="72">
        <v>6</v>
      </c>
      <c r="CA7" s="72">
        <v>22</v>
      </c>
      <c r="CB7" s="72">
        <v>8</v>
      </c>
      <c r="CC7" s="72">
        <v>22</v>
      </c>
      <c r="CD7" s="72">
        <v>10</v>
      </c>
      <c r="CE7" s="72">
        <v>12</v>
      </c>
      <c r="CF7" s="72">
        <v>0</v>
      </c>
      <c r="CG7" s="72">
        <v>4</v>
      </c>
      <c r="CH7" s="72">
        <v>14</v>
      </c>
      <c r="CI7" s="72">
        <v>0</v>
      </c>
      <c r="CJ7" s="72">
        <v>30</v>
      </c>
      <c r="CK7" s="72">
        <v>2</v>
      </c>
      <c r="CL7" s="72"/>
      <c r="CM7" s="72"/>
      <c r="CN7" s="72"/>
      <c r="CO7" s="72"/>
      <c r="CP7" s="72"/>
      <c r="CQ7" s="72"/>
      <c r="CR7" s="72"/>
      <c r="CS7" s="72"/>
      <c r="CT7" s="72"/>
      <c r="CU7" s="72"/>
      <c r="CV7" s="72"/>
      <c r="CW7" s="72"/>
      <c r="CX7" s="72"/>
      <c r="CY7" s="72"/>
      <c r="CZ7" s="72"/>
      <c r="DA7" s="72"/>
      <c r="DB7" s="72"/>
      <c r="DC7" s="72"/>
      <c r="DD7" s="72"/>
      <c r="DE7" s="72"/>
      <c r="DF7" s="72"/>
      <c r="DG7" s="72"/>
      <c r="DH7" s="72"/>
      <c r="DI7" s="72"/>
      <c r="DJ7" s="72"/>
      <c r="DK7" s="72"/>
      <c r="DL7" s="72"/>
      <c r="DM7" s="72"/>
      <c r="DN7" s="72"/>
      <c r="DO7" s="72"/>
      <c r="DP7" s="72"/>
      <c r="DQ7" s="72"/>
      <c r="DR7" s="72"/>
      <c r="DS7" s="72"/>
      <c r="DT7" s="72"/>
      <c r="DU7" s="72"/>
      <c r="DV7" s="72"/>
      <c r="DW7" s="72"/>
      <c r="DX7" s="72"/>
      <c r="DY7" s="72"/>
      <c r="DZ7" s="81">
        <v>6</v>
      </c>
      <c r="EA7" s="81">
        <v>12</v>
      </c>
      <c r="EB7" s="81">
        <v>35</v>
      </c>
      <c r="EC7" s="72"/>
      <c r="ED7" s="72"/>
      <c r="EE7" s="72"/>
      <c r="EF7" s="72"/>
      <c r="EG7" s="72"/>
      <c r="EH7" s="72"/>
      <c r="EI7" s="72"/>
      <c r="EJ7" s="72"/>
      <c r="EK7" s="72"/>
      <c r="EL7" s="72"/>
      <c r="EM7" s="72"/>
      <c r="EN7" s="72"/>
      <c r="EO7" s="72"/>
      <c r="EP7" s="72"/>
      <c r="EQ7" s="72"/>
      <c r="ER7" s="72"/>
      <c r="ES7" s="72"/>
      <c r="ET7" s="72"/>
      <c r="EU7" s="72"/>
      <c r="EV7" s="72" t="s">
        <v>98</v>
      </c>
      <c r="EW7" s="72">
        <v>0</v>
      </c>
      <c r="EX7" s="72">
        <v>0</v>
      </c>
      <c r="EY7" s="72">
        <v>0</v>
      </c>
      <c r="EZ7" s="72">
        <v>0</v>
      </c>
      <c r="FA7" s="72">
        <v>0</v>
      </c>
      <c r="FB7" s="72">
        <v>2</v>
      </c>
      <c r="FC7" s="72">
        <v>0</v>
      </c>
      <c r="FD7" s="72">
        <v>0</v>
      </c>
      <c r="FE7" s="72">
        <v>0</v>
      </c>
      <c r="FF7" s="72">
        <v>0</v>
      </c>
      <c r="FG7" s="72">
        <v>0</v>
      </c>
      <c r="FH7" s="72">
        <v>0</v>
      </c>
      <c r="FI7" s="72">
        <v>0</v>
      </c>
      <c r="FJ7" s="72">
        <v>0</v>
      </c>
      <c r="FK7" s="72">
        <v>0</v>
      </c>
      <c r="FL7" s="72">
        <v>0</v>
      </c>
      <c r="FM7" s="72">
        <v>0</v>
      </c>
      <c r="FN7" s="72">
        <v>0</v>
      </c>
      <c r="FO7" s="72">
        <v>0</v>
      </c>
      <c r="FP7" s="72">
        <v>0</v>
      </c>
      <c r="FQ7" s="72">
        <v>0</v>
      </c>
      <c r="FR7" s="72">
        <v>0</v>
      </c>
      <c r="FS7" s="72">
        <v>0</v>
      </c>
      <c r="FT7" s="72">
        <v>0</v>
      </c>
      <c r="FU7" s="72">
        <v>0</v>
      </c>
      <c r="FV7" s="72">
        <v>0</v>
      </c>
      <c r="FW7" s="72">
        <v>0</v>
      </c>
      <c r="FX7" s="72">
        <v>0</v>
      </c>
      <c r="FY7" s="72">
        <v>0</v>
      </c>
      <c r="FZ7" s="72">
        <v>0</v>
      </c>
      <c r="GA7" s="72">
        <v>0</v>
      </c>
      <c r="GB7" s="72">
        <v>0</v>
      </c>
      <c r="GC7" s="72">
        <v>0</v>
      </c>
      <c r="GD7" s="72">
        <v>0</v>
      </c>
      <c r="GE7" s="72">
        <v>0</v>
      </c>
      <c r="GF7" s="72">
        <v>0</v>
      </c>
      <c r="GG7" s="72">
        <v>0</v>
      </c>
      <c r="GH7" s="72">
        <v>0</v>
      </c>
      <c r="GI7" s="72">
        <v>0</v>
      </c>
      <c r="GJ7" s="72">
        <v>0</v>
      </c>
      <c r="GK7" s="72">
        <v>0</v>
      </c>
      <c r="GL7" s="72">
        <v>0</v>
      </c>
      <c r="GM7" s="72">
        <v>0</v>
      </c>
      <c r="GN7" s="72">
        <v>0</v>
      </c>
      <c r="GO7" s="72">
        <v>0</v>
      </c>
      <c r="GP7" s="72">
        <v>0</v>
      </c>
      <c r="GQ7" s="72">
        <v>0</v>
      </c>
      <c r="GR7" s="72">
        <v>0</v>
      </c>
      <c r="GS7" s="72">
        <v>0</v>
      </c>
      <c r="GT7" s="72">
        <v>0</v>
      </c>
      <c r="GU7" s="72">
        <v>0</v>
      </c>
      <c r="GV7" s="72"/>
      <c r="GW7" s="72"/>
      <c r="GX7" s="72"/>
      <c r="GY7" s="64" t="s">
        <v>328</v>
      </c>
      <c r="GZ7" s="64">
        <v>0</v>
      </c>
      <c r="HA7" s="64">
        <v>0</v>
      </c>
      <c r="HB7" s="64">
        <v>0</v>
      </c>
      <c r="HC7" s="64">
        <v>0</v>
      </c>
      <c r="HD7" s="64">
        <v>2</v>
      </c>
      <c r="HE7" s="64">
        <v>2</v>
      </c>
      <c r="HF7" s="64">
        <v>2</v>
      </c>
      <c r="HG7" s="64">
        <v>4</v>
      </c>
      <c r="HH7" s="64">
        <v>4</v>
      </c>
      <c r="HI7" s="64">
        <v>4</v>
      </c>
      <c r="HJ7" s="64">
        <v>6</v>
      </c>
      <c r="HK7" s="64">
        <v>6</v>
      </c>
      <c r="HL7" s="64">
        <v>6</v>
      </c>
      <c r="HM7" s="64">
        <v>8</v>
      </c>
      <c r="HN7" s="64">
        <v>8</v>
      </c>
      <c r="HO7" s="64">
        <v>8</v>
      </c>
      <c r="HP7" s="64">
        <v>8</v>
      </c>
      <c r="HQ7" s="64">
        <v>10</v>
      </c>
      <c r="HR7" s="64">
        <v>10</v>
      </c>
      <c r="HS7" s="64">
        <v>8</v>
      </c>
      <c r="HT7" s="64">
        <v>12</v>
      </c>
      <c r="HV7" s="64" t="s">
        <v>406</v>
      </c>
      <c r="HW7" s="72">
        <v>0</v>
      </c>
      <c r="HX7" s="72">
        <v>0</v>
      </c>
      <c r="HY7" s="72">
        <v>0</v>
      </c>
      <c r="HZ7" s="72">
        <v>2</v>
      </c>
      <c r="IA7" s="72">
        <v>2</v>
      </c>
      <c r="IB7" s="72">
        <v>4</v>
      </c>
      <c r="IC7" s="72">
        <v>4</v>
      </c>
      <c r="ID7" s="72">
        <v>6</v>
      </c>
      <c r="IE7" s="72">
        <v>6</v>
      </c>
      <c r="IF7" s="72">
        <v>8</v>
      </c>
      <c r="IG7" s="72">
        <v>8</v>
      </c>
      <c r="IH7" s="72">
        <v>10</v>
      </c>
      <c r="II7" s="72">
        <v>10</v>
      </c>
      <c r="IJ7" s="72">
        <v>12</v>
      </c>
      <c r="IK7" s="72">
        <v>12</v>
      </c>
      <c r="IL7" s="72">
        <v>14</v>
      </c>
      <c r="IM7" s="72">
        <v>14</v>
      </c>
      <c r="IN7" s="72">
        <v>16</v>
      </c>
      <c r="IO7" s="72">
        <v>16</v>
      </c>
      <c r="IP7" s="72">
        <v>18</v>
      </c>
      <c r="IQ7" s="72">
        <v>18</v>
      </c>
      <c r="IS7" s="64" t="s">
        <v>406</v>
      </c>
      <c r="IT7" s="64">
        <f t="shared" si="17"/>
        <v>0</v>
      </c>
      <c r="IU7" s="64">
        <f t="shared" si="18"/>
        <v>0</v>
      </c>
      <c r="IV7" s="64">
        <f t="shared" si="19"/>
        <v>0</v>
      </c>
      <c r="IW7" s="64">
        <f t="shared" si="20"/>
        <v>4</v>
      </c>
      <c r="IX7" s="64">
        <f t="shared" si="21"/>
        <v>4</v>
      </c>
      <c r="IY7" s="64">
        <f t="shared" si="22"/>
        <v>8</v>
      </c>
      <c r="IZ7" s="64">
        <f t="shared" si="23"/>
        <v>8</v>
      </c>
      <c r="JA7" s="64">
        <f t="shared" si="24"/>
        <v>12</v>
      </c>
      <c r="JB7" s="64">
        <f>IE7*2</f>
        <v>12</v>
      </c>
      <c r="JC7" s="64">
        <f t="shared" si="26"/>
        <v>16</v>
      </c>
      <c r="JD7" s="64">
        <f t="shared" si="27"/>
        <v>16</v>
      </c>
      <c r="JE7" s="64">
        <f t="shared" si="28"/>
        <v>20</v>
      </c>
      <c r="JF7" s="64">
        <f t="shared" si="29"/>
        <v>20</v>
      </c>
      <c r="JG7" s="64">
        <f t="shared" si="30"/>
        <v>24</v>
      </c>
      <c r="JH7" s="64">
        <f t="shared" si="31"/>
        <v>24</v>
      </c>
      <c r="JI7" s="64">
        <f t="shared" si="32"/>
        <v>28</v>
      </c>
      <c r="JJ7" s="64">
        <f t="shared" si="33"/>
        <v>28</v>
      </c>
      <c r="JK7" s="64">
        <f t="shared" si="34"/>
        <v>32</v>
      </c>
      <c r="JL7" s="64">
        <f t="shared" si="35"/>
        <v>32</v>
      </c>
      <c r="JM7" s="64">
        <f t="shared" si="36"/>
        <v>36</v>
      </c>
      <c r="JN7" s="64">
        <f t="shared" si="37"/>
        <v>36</v>
      </c>
      <c r="JQ7" s="88"/>
      <c r="KG7" s="88"/>
      <c r="KI7" s="72"/>
    </row>
    <row r="8" spans="1:300" x14ac:dyDescent="0.25">
      <c r="A8" s="8"/>
      <c r="B8" s="5" t="s">
        <v>61</v>
      </c>
      <c r="C8" s="8"/>
      <c r="D8" s="6" t="s">
        <v>458</v>
      </c>
      <c r="E8" s="8">
        <v>0</v>
      </c>
      <c r="F8" s="5"/>
      <c r="G8" s="5"/>
      <c r="H8" s="5"/>
      <c r="I8" s="5"/>
      <c r="J8" s="5" t="s">
        <v>95</v>
      </c>
      <c r="K8" s="9"/>
      <c r="L8" s="6" t="str">
        <f>INDEX(($Z$99:$AA$99,$AE$99:$AF$99),1,MATCH(E5,$Z$88:$AA$88,0),MATCH(E4,$Y$4:$Y$5,0))</f>
        <v>PUFK</v>
      </c>
      <c r="M8" s="11">
        <f>INDEX(cenník!$C$2:$I$568,MATCH($L8,cenník!$B$2:$B$557,0),MATCH(M$2,cenník!$C$1:$I$1,0))</f>
        <v>890300</v>
      </c>
      <c r="N8" s="11" t="str">
        <f>INDEX(cenník!$C$2:$I$568,MATCH($L8,cenník!$B$2:$B$557,0),MATCH(N$2,cenník!$C$1:$I$1,0))</f>
        <v>ks</v>
      </c>
      <c r="O8" s="11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8" s="36">
        <f>INDEX(cenník!$C$2:$I$568,MATCH($L8,cenník!$B$2:$B$557,0),MATCH(P$2,cenník!$C$1:$I$1,0))</f>
        <v>2.08</v>
      </c>
      <c r="Q8" s="36">
        <f t="shared" si="38"/>
        <v>0</v>
      </c>
      <c r="R8" s="37">
        <f t="shared" si="2"/>
        <v>0</v>
      </c>
      <c r="S8" s="36">
        <f t="shared" si="39"/>
        <v>2.08</v>
      </c>
      <c r="T8" s="36">
        <f t="shared" si="40"/>
        <v>0</v>
      </c>
      <c r="U8" s="36">
        <f>INDEX(cenník!$C$2:$I$568,MATCH($L8,cenník!$B$2:$B$557,0),MATCH(U$2,cenník!$C$1:$I$1,0))*O8</f>
        <v>0</v>
      </c>
      <c r="V8" s="72"/>
      <c r="W8" s="85">
        <f t="shared" si="0"/>
        <v>0</v>
      </c>
      <c r="X8" s="72" t="s">
        <v>57</v>
      </c>
      <c r="Y8" s="72">
        <v>1700</v>
      </c>
      <c r="Z8" s="72" t="s">
        <v>121</v>
      </c>
      <c r="AA8" s="72">
        <v>1700</v>
      </c>
      <c r="AB8" s="72"/>
      <c r="AC8" s="72"/>
      <c r="AD8" s="72"/>
      <c r="AE8" s="72"/>
      <c r="AF8" s="72"/>
      <c r="AG8" s="72"/>
      <c r="AH8" s="72"/>
      <c r="AI8" s="72"/>
      <c r="AJ8" s="72"/>
      <c r="AK8" s="72"/>
      <c r="AL8" s="72" t="s">
        <v>18</v>
      </c>
      <c r="AM8" s="72">
        <v>0</v>
      </c>
      <c r="AN8" s="72">
        <v>0</v>
      </c>
      <c r="AO8" s="72">
        <v>0</v>
      </c>
      <c r="AP8" s="72">
        <v>0</v>
      </c>
      <c r="AQ8" s="72">
        <v>0</v>
      </c>
      <c r="AR8" s="72">
        <v>0</v>
      </c>
      <c r="AS8" s="72">
        <v>0</v>
      </c>
      <c r="AT8" s="72">
        <v>0</v>
      </c>
      <c r="AU8" s="72">
        <v>0</v>
      </c>
      <c r="AV8" s="72">
        <v>0</v>
      </c>
      <c r="AW8" s="72">
        <v>0</v>
      </c>
      <c r="AX8" s="72">
        <v>0</v>
      </c>
      <c r="AY8" s="72">
        <v>0</v>
      </c>
      <c r="AZ8" s="72">
        <v>0</v>
      </c>
      <c r="BA8" s="72">
        <v>0</v>
      </c>
      <c r="BB8" s="72">
        <v>8</v>
      </c>
      <c r="BC8" s="72">
        <v>10</v>
      </c>
      <c r="BD8" s="72">
        <v>8</v>
      </c>
      <c r="BE8" s="72">
        <v>10</v>
      </c>
      <c r="BF8" s="72">
        <v>10</v>
      </c>
      <c r="BG8" s="72">
        <v>8</v>
      </c>
      <c r="BH8" s="72">
        <v>8</v>
      </c>
      <c r="BI8" s="72">
        <v>8</v>
      </c>
      <c r="BJ8" s="72">
        <v>6</v>
      </c>
      <c r="BK8" s="72">
        <v>6</v>
      </c>
      <c r="BL8" s="72">
        <v>8</v>
      </c>
      <c r="BM8" s="72">
        <v>2</v>
      </c>
      <c r="BN8" s="72">
        <v>6</v>
      </c>
      <c r="BO8" s="72">
        <v>6</v>
      </c>
      <c r="BP8" s="72">
        <v>18</v>
      </c>
      <c r="BQ8" s="72">
        <v>6</v>
      </c>
      <c r="BR8" s="72">
        <v>6</v>
      </c>
      <c r="BS8" s="72">
        <v>20</v>
      </c>
      <c r="BT8" s="72">
        <v>6</v>
      </c>
      <c r="BU8" s="72">
        <v>6</v>
      </c>
      <c r="BV8" s="72">
        <v>18</v>
      </c>
      <c r="BW8" s="72">
        <v>12</v>
      </c>
      <c r="BX8" s="72">
        <v>18</v>
      </c>
      <c r="BY8" s="72">
        <v>18</v>
      </c>
      <c r="BZ8" s="72">
        <v>16</v>
      </c>
      <c r="CA8" s="72">
        <v>4</v>
      </c>
      <c r="CB8" s="72">
        <v>18</v>
      </c>
      <c r="CC8" s="72">
        <v>4</v>
      </c>
      <c r="CD8" s="72">
        <v>16</v>
      </c>
      <c r="CE8" s="72">
        <v>16</v>
      </c>
      <c r="CF8" s="72">
        <v>28</v>
      </c>
      <c r="CG8" s="72">
        <v>22</v>
      </c>
      <c r="CH8" s="72">
        <v>16</v>
      </c>
      <c r="CI8" s="72">
        <v>30</v>
      </c>
      <c r="CJ8" s="72">
        <v>2</v>
      </c>
      <c r="CK8" s="72">
        <v>28</v>
      </c>
      <c r="CL8" s="72"/>
      <c r="CM8" s="72"/>
      <c r="CN8" s="72"/>
      <c r="CO8" s="72"/>
      <c r="CP8" s="72"/>
      <c r="CQ8" s="72"/>
      <c r="CR8" s="72"/>
      <c r="CS8" s="72"/>
      <c r="CT8" s="72"/>
      <c r="CU8" s="72"/>
      <c r="CV8" s="72"/>
      <c r="CW8" s="72"/>
      <c r="CX8" s="72"/>
      <c r="CY8" s="72"/>
      <c r="CZ8" s="72"/>
      <c r="DA8" s="72"/>
      <c r="DB8" s="72"/>
      <c r="DC8" s="72"/>
      <c r="DD8" s="72"/>
      <c r="DE8" s="72"/>
      <c r="DF8" s="72"/>
      <c r="DG8" s="72"/>
      <c r="DH8" s="72"/>
      <c r="DI8" s="72"/>
      <c r="DJ8" s="72"/>
      <c r="DK8" s="72"/>
      <c r="DL8" s="72"/>
      <c r="DM8" s="72"/>
      <c r="DN8" s="72"/>
      <c r="DO8" s="72"/>
      <c r="DP8" s="72"/>
      <c r="DQ8" s="72"/>
      <c r="DR8" s="72"/>
      <c r="DS8" s="72"/>
      <c r="DT8" s="72"/>
      <c r="DU8" s="72"/>
      <c r="DV8" s="72"/>
      <c r="DW8" s="72"/>
      <c r="DX8" s="72"/>
      <c r="DY8" s="72"/>
      <c r="DZ8" s="81">
        <v>7</v>
      </c>
      <c r="EA8" s="81">
        <v>14</v>
      </c>
      <c r="EB8" s="81"/>
      <c r="EC8" s="72"/>
      <c r="ED8" s="72"/>
      <c r="EE8" s="72"/>
      <c r="EF8" s="72"/>
      <c r="EG8" s="72"/>
      <c r="EH8" s="72"/>
      <c r="EI8" s="72"/>
      <c r="EJ8" s="72"/>
      <c r="EK8" s="72"/>
      <c r="EL8" s="72"/>
      <c r="EM8" s="72"/>
      <c r="EN8" s="72"/>
      <c r="EO8" s="72"/>
      <c r="EP8" s="72"/>
      <c r="EQ8" s="72"/>
      <c r="ER8" s="72"/>
      <c r="ES8" s="72"/>
      <c r="ET8" s="72"/>
      <c r="EU8" s="72"/>
      <c r="EV8" s="72" t="s">
        <v>100</v>
      </c>
      <c r="EW8" s="72">
        <v>0</v>
      </c>
      <c r="EX8" s="72">
        <v>0</v>
      </c>
      <c r="EY8" s="72">
        <v>0</v>
      </c>
      <c r="EZ8" s="72">
        <v>0</v>
      </c>
      <c r="FA8" s="72">
        <v>0</v>
      </c>
      <c r="FB8" s="72">
        <v>0</v>
      </c>
      <c r="FC8" s="72">
        <v>0</v>
      </c>
      <c r="FD8" s="72">
        <v>0</v>
      </c>
      <c r="FE8" s="72">
        <v>0</v>
      </c>
      <c r="FF8" s="72">
        <v>2</v>
      </c>
      <c r="FG8" s="72">
        <v>0</v>
      </c>
      <c r="FH8" s="72">
        <v>0</v>
      </c>
      <c r="FI8" s="72">
        <v>0</v>
      </c>
      <c r="FJ8" s="72">
        <v>0</v>
      </c>
      <c r="FK8" s="72">
        <v>0</v>
      </c>
      <c r="FL8" s="72">
        <v>0</v>
      </c>
      <c r="FM8" s="72">
        <v>0</v>
      </c>
      <c r="FN8" s="72">
        <v>0</v>
      </c>
      <c r="FO8" s="72">
        <v>0</v>
      </c>
      <c r="FP8" s="72">
        <v>0</v>
      </c>
      <c r="FQ8" s="72">
        <v>0</v>
      </c>
      <c r="FR8" s="72">
        <v>0</v>
      </c>
      <c r="FS8" s="72">
        <v>0</v>
      </c>
      <c r="FT8" s="72">
        <v>0</v>
      </c>
      <c r="FU8" s="72">
        <v>0</v>
      </c>
      <c r="FV8" s="72">
        <v>0</v>
      </c>
      <c r="FW8" s="72">
        <v>0</v>
      </c>
      <c r="FX8" s="72">
        <v>0</v>
      </c>
      <c r="FY8" s="72">
        <v>0</v>
      </c>
      <c r="FZ8" s="72">
        <v>0</v>
      </c>
      <c r="GA8" s="72">
        <v>0</v>
      </c>
      <c r="GB8" s="72">
        <v>0</v>
      </c>
      <c r="GC8" s="72">
        <v>0</v>
      </c>
      <c r="GD8" s="72">
        <v>0</v>
      </c>
      <c r="GE8" s="72">
        <v>0</v>
      </c>
      <c r="GF8" s="72">
        <v>0</v>
      </c>
      <c r="GG8" s="72">
        <v>0</v>
      </c>
      <c r="GH8" s="72">
        <v>0</v>
      </c>
      <c r="GI8" s="72">
        <v>0</v>
      </c>
      <c r="GJ8" s="72">
        <v>0</v>
      </c>
      <c r="GK8" s="72">
        <v>0</v>
      </c>
      <c r="GL8" s="72">
        <v>0</v>
      </c>
      <c r="GM8" s="72">
        <v>0</v>
      </c>
      <c r="GN8" s="72">
        <v>0</v>
      </c>
      <c r="GO8" s="72">
        <v>0</v>
      </c>
      <c r="GP8" s="72">
        <v>0</v>
      </c>
      <c r="GQ8" s="72">
        <v>0</v>
      </c>
      <c r="GR8" s="72">
        <v>0</v>
      </c>
      <c r="GS8" s="72">
        <v>0</v>
      </c>
      <c r="GT8" s="72">
        <v>0</v>
      </c>
      <c r="GU8" s="72">
        <v>0</v>
      </c>
      <c r="GV8" s="72"/>
      <c r="GW8" s="72"/>
      <c r="GX8" s="72"/>
      <c r="HW8" s="72"/>
      <c r="HX8" s="72"/>
      <c r="HY8" s="72"/>
      <c r="HZ8" s="72"/>
      <c r="IA8" s="72"/>
      <c r="IB8" s="72"/>
      <c r="IC8" s="72"/>
      <c r="ID8" s="72"/>
      <c r="IE8" s="72"/>
      <c r="IF8" s="72"/>
      <c r="IG8" s="72"/>
      <c r="IH8" s="72"/>
      <c r="II8" s="72"/>
      <c r="IJ8" s="72"/>
      <c r="IK8" s="72"/>
      <c r="IL8" s="72"/>
      <c r="IM8" s="72"/>
      <c r="IN8" s="72"/>
      <c r="IO8" s="72"/>
      <c r="IP8" s="72"/>
      <c r="IQ8" s="72"/>
      <c r="JQ8" s="88"/>
      <c r="KG8" s="88"/>
      <c r="KI8" s="72"/>
    </row>
    <row r="9" spans="1:300" x14ac:dyDescent="0.25">
      <c r="A9" s="8"/>
      <c r="B9" s="5" t="s">
        <v>61</v>
      </c>
      <c r="C9" s="8"/>
      <c r="D9" s="6" t="s">
        <v>460</v>
      </c>
      <c r="E9" s="8">
        <v>0</v>
      </c>
      <c r="F9" s="6"/>
      <c r="G9" s="6"/>
      <c r="H9" s="6"/>
      <c r="I9" s="6"/>
      <c r="J9" s="5" t="s">
        <v>461</v>
      </c>
      <c r="K9" s="9"/>
      <c r="L9" s="6" t="str">
        <f>INDEX(($AB$89:$AB$98,$AG$89:$AG$98),MATCH(I3,$Y$89:$Y$98,0),1,MATCH(E4,$Y$4:$Y$5,0))</f>
        <v>SAM8X25E</v>
      </c>
      <c r="M9" s="11">
        <f>INDEX(cenník!$C$2:$I$568,MATCH($L9,cenník!$B$2:$B$557,0),MATCH(M$2,cenník!$C$1:$I$1,0))</f>
        <v>898525</v>
      </c>
      <c r="N9" s="11" t="str">
        <f>INDEX(cenník!$C$2:$I$568,MATCH($L9,cenník!$B$2:$B$557,0),MATCH(N$2,cenník!$C$1:$I$1,0))</f>
        <v>ks</v>
      </c>
      <c r="O9" s="11">
        <f>IF(AE31="suma",SUM(O7:O8),IF(AE31="tylko buf",O7,IF(AE31=0,0,0)))</f>
        <v>0</v>
      </c>
      <c r="P9" s="36">
        <f>INDEX(cenník!$C$2:$I$568,MATCH($L9,cenník!$B$2:$B$557,0),MATCH(P$2,cenník!$C$1:$I$1,0))</f>
        <v>0.16</v>
      </c>
      <c r="Q9" s="36">
        <f t="shared" si="38"/>
        <v>0</v>
      </c>
      <c r="R9" s="37">
        <f t="shared" si="2"/>
        <v>0</v>
      </c>
      <c r="S9" s="36">
        <f t="shared" si="39"/>
        <v>0.16</v>
      </c>
      <c r="T9" s="36">
        <f t="shared" si="40"/>
        <v>0</v>
      </c>
      <c r="U9" s="36">
        <f>INDEX(cenník!$C$2:$I$568,MATCH($L9,cenník!$B$2:$B$557,0),MATCH(U$2,cenník!$C$1:$I$1,0))*O9</f>
        <v>0</v>
      </c>
      <c r="V9" s="72"/>
      <c r="W9" s="85">
        <f t="shared" si="0"/>
        <v>0</v>
      </c>
      <c r="X9" s="72" t="s">
        <v>67</v>
      </c>
      <c r="Y9" s="72">
        <v>1750</v>
      </c>
      <c r="Z9" s="72" t="s">
        <v>206</v>
      </c>
      <c r="AA9" s="72">
        <v>1721</v>
      </c>
      <c r="AB9" s="72"/>
      <c r="AC9" s="72"/>
      <c r="AD9" s="72"/>
      <c r="AE9" s="72"/>
      <c r="AF9" s="72"/>
      <c r="AG9" s="72"/>
      <c r="AH9" s="72"/>
      <c r="AI9" s="72"/>
      <c r="AJ9" s="72"/>
      <c r="AK9" s="72"/>
      <c r="AL9" s="72" t="s">
        <v>179</v>
      </c>
      <c r="AM9" s="72">
        <v>0</v>
      </c>
      <c r="AN9" s="72">
        <f>((((SUM(AN4:AN8))/2)-1))*4</f>
        <v>0</v>
      </c>
      <c r="AO9" s="72">
        <f t="shared" ref="AO9:CK9" si="41">((((SUM(AO4:AO8))/2)-1))*4</f>
        <v>0</v>
      </c>
      <c r="AP9" s="72">
        <f t="shared" si="41"/>
        <v>0</v>
      </c>
      <c r="AQ9" s="72">
        <f t="shared" si="41"/>
        <v>4</v>
      </c>
      <c r="AR9" s="72">
        <f t="shared" si="41"/>
        <v>4</v>
      </c>
      <c r="AS9" s="72">
        <f t="shared" si="41"/>
        <v>4</v>
      </c>
      <c r="AT9" s="72">
        <f t="shared" si="41"/>
        <v>8</v>
      </c>
      <c r="AU9" s="72">
        <f t="shared" si="41"/>
        <v>8</v>
      </c>
      <c r="AV9" s="72">
        <f t="shared" si="41"/>
        <v>8</v>
      </c>
      <c r="AW9" s="72">
        <f t="shared" si="41"/>
        <v>12</v>
      </c>
      <c r="AX9" s="72">
        <f t="shared" si="41"/>
        <v>12</v>
      </c>
      <c r="AY9" s="72">
        <f t="shared" si="41"/>
        <v>12</v>
      </c>
      <c r="AZ9" s="72">
        <f t="shared" si="41"/>
        <v>16</v>
      </c>
      <c r="BA9" s="72">
        <f t="shared" si="41"/>
        <v>16</v>
      </c>
      <c r="BB9" s="72">
        <f t="shared" si="41"/>
        <v>16</v>
      </c>
      <c r="BC9" s="72">
        <f t="shared" si="41"/>
        <v>16</v>
      </c>
      <c r="BD9" s="72">
        <f t="shared" si="41"/>
        <v>20</v>
      </c>
      <c r="BE9" s="72">
        <f t="shared" si="41"/>
        <v>20</v>
      </c>
      <c r="BF9" s="72">
        <f t="shared" si="41"/>
        <v>20</v>
      </c>
      <c r="BG9" s="72">
        <f t="shared" si="41"/>
        <v>24</v>
      </c>
      <c r="BH9" s="72">
        <f t="shared" si="41"/>
        <v>24</v>
      </c>
      <c r="BI9" s="72">
        <f t="shared" si="41"/>
        <v>24</v>
      </c>
      <c r="BJ9" s="72">
        <f t="shared" si="41"/>
        <v>28</v>
      </c>
      <c r="BK9" s="72">
        <f t="shared" si="41"/>
        <v>28</v>
      </c>
      <c r="BL9" s="72">
        <f t="shared" si="41"/>
        <v>28</v>
      </c>
      <c r="BM9" s="72">
        <f t="shared" si="41"/>
        <v>32</v>
      </c>
      <c r="BN9" s="72">
        <f t="shared" si="41"/>
        <v>32</v>
      </c>
      <c r="BO9" s="72">
        <f t="shared" si="41"/>
        <v>32</v>
      </c>
      <c r="BP9" s="72">
        <f t="shared" si="41"/>
        <v>32</v>
      </c>
      <c r="BQ9" s="72">
        <f t="shared" si="41"/>
        <v>36</v>
      </c>
      <c r="BR9" s="72">
        <f t="shared" si="41"/>
        <v>36</v>
      </c>
      <c r="BS9" s="72">
        <f t="shared" si="41"/>
        <v>36</v>
      </c>
      <c r="BT9" s="72">
        <f t="shared" si="41"/>
        <v>40</v>
      </c>
      <c r="BU9" s="72">
        <f t="shared" si="41"/>
        <v>40</v>
      </c>
      <c r="BV9" s="72">
        <f t="shared" si="41"/>
        <v>40</v>
      </c>
      <c r="BW9" s="72">
        <f t="shared" si="41"/>
        <v>44</v>
      </c>
      <c r="BX9" s="72">
        <f t="shared" si="41"/>
        <v>44</v>
      </c>
      <c r="BY9" s="72">
        <f t="shared" si="41"/>
        <v>44</v>
      </c>
      <c r="BZ9" s="72">
        <f t="shared" si="41"/>
        <v>48</v>
      </c>
      <c r="CA9" s="72">
        <f t="shared" si="41"/>
        <v>48</v>
      </c>
      <c r="CB9" s="72">
        <f t="shared" si="41"/>
        <v>48</v>
      </c>
      <c r="CC9" s="72">
        <f t="shared" si="41"/>
        <v>52</v>
      </c>
      <c r="CD9" s="72">
        <f t="shared" si="41"/>
        <v>52</v>
      </c>
      <c r="CE9" s="72">
        <f t="shared" si="41"/>
        <v>52</v>
      </c>
      <c r="CF9" s="72">
        <f t="shared" si="41"/>
        <v>52</v>
      </c>
      <c r="CG9" s="72">
        <f t="shared" si="41"/>
        <v>56</v>
      </c>
      <c r="CH9" s="72">
        <f t="shared" si="41"/>
        <v>56</v>
      </c>
      <c r="CI9" s="72">
        <f t="shared" si="41"/>
        <v>56</v>
      </c>
      <c r="CJ9" s="72">
        <f t="shared" si="41"/>
        <v>60</v>
      </c>
      <c r="CK9" s="72">
        <f t="shared" si="41"/>
        <v>60</v>
      </c>
      <c r="CL9" s="72"/>
      <c r="CM9" s="72"/>
      <c r="CN9" s="72"/>
      <c r="CO9" s="72"/>
      <c r="CP9" s="72"/>
      <c r="CQ9" s="72"/>
      <c r="CR9" s="72"/>
      <c r="CS9" s="72"/>
      <c r="CT9" s="72"/>
      <c r="CU9" s="72"/>
      <c r="CV9" s="72"/>
      <c r="CW9" s="72"/>
      <c r="CX9" s="72"/>
      <c r="CY9" s="72"/>
      <c r="CZ9" s="72"/>
      <c r="DA9" s="72"/>
      <c r="DB9" s="72"/>
      <c r="DC9" s="72"/>
      <c r="DD9" s="72"/>
      <c r="DE9" s="72"/>
      <c r="DF9" s="72"/>
      <c r="DG9" s="72"/>
      <c r="DH9" s="72"/>
      <c r="DI9" s="72"/>
      <c r="DJ9" s="72"/>
      <c r="DK9" s="72"/>
      <c r="DL9" s="72"/>
      <c r="DM9" s="72"/>
      <c r="DN9" s="72"/>
      <c r="DO9" s="72"/>
      <c r="DP9" s="72"/>
      <c r="DQ9" s="72"/>
      <c r="DR9" s="72"/>
      <c r="DS9" s="72"/>
      <c r="DT9" s="72"/>
      <c r="DU9" s="72"/>
      <c r="DV9" s="72"/>
      <c r="DW9" s="72"/>
      <c r="DX9" s="72"/>
      <c r="DY9" s="72"/>
      <c r="DZ9" s="81">
        <v>8</v>
      </c>
      <c r="EA9" s="81">
        <v>16</v>
      </c>
      <c r="EB9" s="81"/>
      <c r="EC9" s="72"/>
      <c r="ED9" s="72"/>
      <c r="EE9" s="72"/>
      <c r="EF9" s="72"/>
      <c r="EG9" s="72"/>
      <c r="EH9" s="72"/>
      <c r="EI9" s="72"/>
      <c r="EJ9" s="72"/>
      <c r="EK9" s="72"/>
      <c r="EL9" s="72"/>
      <c r="EM9" s="72"/>
      <c r="EN9" s="72"/>
      <c r="EO9" s="72"/>
      <c r="EP9" s="72"/>
      <c r="EQ9" s="72"/>
      <c r="ER9" s="72"/>
      <c r="ES9" s="72"/>
      <c r="ET9" s="72"/>
      <c r="EU9" s="72"/>
      <c r="EV9" s="72" t="s">
        <v>114</v>
      </c>
      <c r="EW9" s="72">
        <v>0</v>
      </c>
      <c r="EX9" s="72">
        <v>0</v>
      </c>
      <c r="EY9" s="72">
        <v>2</v>
      </c>
      <c r="EZ9" s="72">
        <v>0</v>
      </c>
      <c r="FA9" s="72">
        <v>0</v>
      </c>
      <c r="FB9" s="72">
        <v>0</v>
      </c>
      <c r="FC9" s="72">
        <v>0</v>
      </c>
      <c r="FD9" s="72">
        <v>0</v>
      </c>
      <c r="FE9" s="72">
        <v>0</v>
      </c>
      <c r="FF9" s="72">
        <v>0</v>
      </c>
      <c r="FG9" s="72">
        <v>0</v>
      </c>
      <c r="FH9" s="72">
        <v>0</v>
      </c>
      <c r="FI9" s="72">
        <v>0</v>
      </c>
      <c r="FJ9" s="72">
        <v>0</v>
      </c>
      <c r="FK9" s="72">
        <v>0</v>
      </c>
      <c r="FL9" s="72">
        <v>0</v>
      </c>
      <c r="FM9" s="72">
        <v>0</v>
      </c>
      <c r="FN9" s="72">
        <v>0</v>
      </c>
      <c r="FO9" s="72">
        <v>0</v>
      </c>
      <c r="FP9" s="72">
        <v>0</v>
      </c>
      <c r="FQ9" s="72">
        <v>0</v>
      </c>
      <c r="FR9" s="72">
        <v>0</v>
      </c>
      <c r="FS9" s="72">
        <v>0</v>
      </c>
      <c r="FT9" s="72">
        <v>0</v>
      </c>
      <c r="FU9" s="72">
        <v>0</v>
      </c>
      <c r="FV9" s="72">
        <v>0</v>
      </c>
      <c r="FW9" s="72">
        <v>0</v>
      </c>
      <c r="FX9" s="72">
        <v>0</v>
      </c>
      <c r="FY9" s="72">
        <v>0</v>
      </c>
      <c r="FZ9" s="72">
        <v>0</v>
      </c>
      <c r="GA9" s="72">
        <v>0</v>
      </c>
      <c r="GB9" s="72">
        <v>0</v>
      </c>
      <c r="GC9" s="72">
        <v>0</v>
      </c>
      <c r="GD9" s="72">
        <v>0</v>
      </c>
      <c r="GE9" s="72">
        <v>0</v>
      </c>
      <c r="GF9" s="72">
        <v>0</v>
      </c>
      <c r="GG9" s="72">
        <v>0</v>
      </c>
      <c r="GH9" s="72">
        <v>2</v>
      </c>
      <c r="GI9" s="72">
        <v>0</v>
      </c>
      <c r="GJ9" s="72">
        <v>0</v>
      </c>
      <c r="GK9" s="72">
        <v>0</v>
      </c>
      <c r="GL9" s="72">
        <v>0</v>
      </c>
      <c r="GM9" s="72">
        <v>2</v>
      </c>
      <c r="GN9" s="72">
        <v>0</v>
      </c>
      <c r="GO9" s="72">
        <v>0</v>
      </c>
      <c r="GP9" s="72">
        <v>0</v>
      </c>
      <c r="GQ9" s="72">
        <v>0</v>
      </c>
      <c r="GR9" s="72">
        <v>0</v>
      </c>
      <c r="GS9" s="72">
        <v>0</v>
      </c>
      <c r="GT9" s="72">
        <v>0</v>
      </c>
      <c r="GU9" s="72">
        <v>0</v>
      </c>
      <c r="GV9" s="72"/>
      <c r="GW9" s="72"/>
      <c r="GX9" s="72"/>
      <c r="GY9" s="64" t="s">
        <v>60</v>
      </c>
      <c r="HU9" s="124"/>
      <c r="HV9" s="83" t="s">
        <v>57</v>
      </c>
      <c r="HW9" s="72"/>
      <c r="HX9" s="72"/>
      <c r="HY9" s="72"/>
      <c r="HZ9" s="72"/>
      <c r="IA9" s="72"/>
      <c r="IB9" s="72"/>
      <c r="IC9" s="72"/>
      <c r="ID9" s="72"/>
      <c r="IE9" s="72"/>
      <c r="IF9" s="72"/>
      <c r="IG9" s="72"/>
      <c r="IH9" s="72"/>
      <c r="II9" s="72"/>
      <c r="IJ9" s="72"/>
      <c r="IK9" s="72"/>
      <c r="IL9" s="72"/>
      <c r="IM9" s="72"/>
      <c r="IN9" s="72"/>
      <c r="IO9" s="72"/>
      <c r="IP9" s="72"/>
      <c r="IQ9" s="72"/>
      <c r="IS9" s="64" t="s">
        <v>57</v>
      </c>
      <c r="KG9" s="88"/>
      <c r="KI9" s="72"/>
    </row>
    <row r="10" spans="1:300" x14ac:dyDescent="0.25">
      <c r="A10" s="8"/>
      <c r="B10" s="5" t="s">
        <v>61</v>
      </c>
      <c r="C10" s="8"/>
      <c r="D10" s="6" t="s">
        <v>474</v>
      </c>
      <c r="E10" s="9"/>
      <c r="F10" s="9"/>
      <c r="G10" s="9"/>
      <c r="H10" s="9"/>
      <c r="I10" s="9"/>
      <c r="J10" s="9"/>
      <c r="K10" s="9"/>
      <c r="L10" s="6" t="str">
        <f>INDEX(($AC$89:$AC$98,$AH$89:$AH$98),MATCH(I3,$Y$89:$Y$98,0),1,MATCH(E4,$Y$4:$Y$5,0))</f>
        <v>NKZM8E A2</v>
      </c>
      <c r="M10" s="11">
        <f>INDEX(cenník!$C$2:$I$568,MATCH($L10,cenník!$B$2:$B$557,0),MATCH(M$2,cenník!$C$1:$I$1,0))</f>
        <v>890008</v>
      </c>
      <c r="N10" s="11" t="str">
        <f>INDEX(cenník!$C$2:$I$568,MATCH($L10,cenník!$B$2:$B$557,0),MATCH(N$2,cenník!$C$1:$I$1,0))</f>
        <v>100ks</v>
      </c>
      <c r="O10" s="11">
        <f>ROUNDUP(((O9)+IF(L13="SMA40/033",O13,0))/100,0)</f>
        <v>0</v>
      </c>
      <c r="P10" s="36">
        <f>INDEX(cenník!$C$2:$I$568,MATCH($L10,cenník!$B$2:$B$557,0),MATCH(P$2,cenník!$C$1:$I$1,0))</f>
        <v>9.75</v>
      </c>
      <c r="Q10" s="36">
        <f t="shared" si="38"/>
        <v>0</v>
      </c>
      <c r="R10" s="37">
        <f>$E$8</f>
        <v>0</v>
      </c>
      <c r="S10" s="36">
        <f t="shared" si="39"/>
        <v>9.75</v>
      </c>
      <c r="T10" s="36">
        <f t="shared" si="40"/>
        <v>0</v>
      </c>
      <c r="U10" s="36">
        <f>INDEX(cenník!$C$2:$I$568,MATCH($L10,cenník!$B$2:$B$557,0),MATCH(U$2,cenník!$C$1:$I$1,0))*O10</f>
        <v>0</v>
      </c>
      <c r="V10" s="72"/>
      <c r="W10" s="85">
        <f t="shared" si="0"/>
        <v>0</v>
      </c>
      <c r="X10" s="72" t="s">
        <v>195</v>
      </c>
      <c r="Y10" s="72">
        <v>1800</v>
      </c>
      <c r="Z10" s="72" t="s">
        <v>194</v>
      </c>
      <c r="AA10" s="72">
        <v>1758</v>
      </c>
      <c r="AB10" s="72"/>
      <c r="AC10" s="72"/>
      <c r="AD10" s="72"/>
      <c r="AE10" s="72"/>
      <c r="AF10" s="72"/>
      <c r="AG10" s="72"/>
      <c r="AH10" s="72"/>
      <c r="AI10" s="72"/>
      <c r="AJ10" s="72"/>
      <c r="AK10" s="72"/>
      <c r="AL10" s="72"/>
      <c r="AM10" s="72"/>
      <c r="AN10" s="72"/>
      <c r="AO10" s="72"/>
      <c r="AP10" s="72"/>
      <c r="AQ10" s="72"/>
      <c r="AR10" s="72"/>
      <c r="AS10" s="72"/>
      <c r="AT10" s="72"/>
      <c r="AU10" s="72"/>
      <c r="AV10" s="72"/>
      <c r="AW10" s="72"/>
      <c r="AX10" s="72"/>
      <c r="AY10" s="72"/>
      <c r="AZ10" s="72"/>
      <c r="BA10" s="72"/>
      <c r="BB10" s="72"/>
      <c r="BC10" s="72"/>
      <c r="BD10" s="72"/>
      <c r="BE10" s="72"/>
      <c r="BF10" s="72"/>
      <c r="BG10" s="72"/>
      <c r="BH10" s="72"/>
      <c r="BI10" s="72"/>
      <c r="BJ10" s="72"/>
      <c r="BK10" s="72"/>
      <c r="BL10" s="72"/>
      <c r="BM10" s="72"/>
      <c r="BN10" s="72"/>
      <c r="BO10" s="72"/>
      <c r="BP10" s="72"/>
      <c r="BQ10" s="72"/>
      <c r="BR10" s="72"/>
      <c r="BS10" s="72"/>
      <c r="BT10" s="72"/>
      <c r="BU10" s="72"/>
      <c r="BV10" s="72"/>
      <c r="BW10" s="72"/>
      <c r="BX10" s="72"/>
      <c r="BY10" s="72"/>
      <c r="BZ10" s="72"/>
      <c r="CA10" s="72"/>
      <c r="CB10" s="72"/>
      <c r="CC10" s="72"/>
      <c r="CD10" s="72"/>
      <c r="CE10" s="72"/>
      <c r="CF10" s="72"/>
      <c r="CG10" s="72"/>
      <c r="CH10" s="72"/>
      <c r="CI10" s="72"/>
      <c r="CJ10" s="72"/>
      <c r="CK10" s="72"/>
      <c r="CL10" s="72"/>
      <c r="CM10" s="72"/>
      <c r="CN10" s="72"/>
      <c r="CO10" s="72"/>
      <c r="CP10" s="72"/>
      <c r="CQ10" s="72"/>
      <c r="CR10" s="72"/>
      <c r="CS10" s="72"/>
      <c r="CT10" s="72"/>
      <c r="CU10" s="72"/>
      <c r="CV10" s="72"/>
      <c r="CW10" s="72"/>
      <c r="CX10" s="72"/>
      <c r="CY10" s="72"/>
      <c r="CZ10" s="72"/>
      <c r="DA10" s="72"/>
      <c r="DB10" s="72"/>
      <c r="DC10" s="72"/>
      <c r="DD10" s="72"/>
      <c r="DE10" s="72"/>
      <c r="DF10" s="72"/>
      <c r="DG10" s="72"/>
      <c r="DH10" s="72"/>
      <c r="DI10" s="72"/>
      <c r="DJ10" s="72"/>
      <c r="DK10" s="72"/>
      <c r="DL10" s="72"/>
      <c r="DM10" s="72"/>
      <c r="DN10" s="72"/>
      <c r="DO10" s="72"/>
      <c r="DP10" s="72"/>
      <c r="DQ10" s="72"/>
      <c r="DR10" s="72"/>
      <c r="DS10" s="72"/>
      <c r="DT10" s="72"/>
      <c r="DU10" s="72"/>
      <c r="DV10" s="72"/>
      <c r="DW10" s="72"/>
      <c r="DX10" s="72"/>
      <c r="DY10" s="72"/>
      <c r="DZ10" s="81">
        <v>9</v>
      </c>
      <c r="EA10" s="81">
        <v>18</v>
      </c>
      <c r="EB10" s="81"/>
      <c r="EC10" s="72"/>
      <c r="ED10" s="72"/>
      <c r="EE10" s="72"/>
      <c r="EF10" s="72"/>
      <c r="EG10" s="72"/>
      <c r="EH10" s="72"/>
      <c r="EI10" s="72"/>
      <c r="EJ10" s="72"/>
      <c r="EK10" s="72"/>
      <c r="EL10" s="72"/>
      <c r="EM10" s="72"/>
      <c r="EN10" s="72"/>
      <c r="EO10" s="72"/>
      <c r="EP10" s="72"/>
      <c r="EQ10" s="72"/>
      <c r="ER10" s="72"/>
      <c r="ES10" s="72"/>
      <c r="ET10" s="72"/>
      <c r="EU10" s="72"/>
      <c r="EV10" s="72" t="s">
        <v>9</v>
      </c>
      <c r="EW10" s="72">
        <v>0</v>
      </c>
      <c r="EX10" s="72">
        <v>0</v>
      </c>
      <c r="EY10" s="72">
        <v>0</v>
      </c>
      <c r="EZ10" s="72">
        <v>0</v>
      </c>
      <c r="FA10" s="72">
        <v>2</v>
      </c>
      <c r="FB10" s="72">
        <v>0</v>
      </c>
      <c r="FC10" s="72">
        <v>2</v>
      </c>
      <c r="FD10" s="72">
        <v>0</v>
      </c>
      <c r="FE10" s="72">
        <v>0</v>
      </c>
      <c r="FF10" s="72">
        <v>0</v>
      </c>
      <c r="FG10" s="72">
        <v>2</v>
      </c>
      <c r="FH10" s="72">
        <v>2</v>
      </c>
      <c r="FI10" s="72">
        <v>0</v>
      </c>
      <c r="FJ10" s="72">
        <v>4</v>
      </c>
      <c r="FK10" s="72">
        <v>0</v>
      </c>
      <c r="FL10" s="72">
        <v>8</v>
      </c>
      <c r="FM10" s="72">
        <v>4</v>
      </c>
      <c r="FN10" s="72">
        <v>2</v>
      </c>
      <c r="FO10" s="72">
        <v>0</v>
      </c>
      <c r="FP10" s="72">
        <v>6</v>
      </c>
      <c r="FQ10" s="72">
        <v>4</v>
      </c>
      <c r="FR10" s="72">
        <v>0</v>
      </c>
      <c r="FS10" s="72">
        <v>8</v>
      </c>
      <c r="FT10" s="72">
        <v>4</v>
      </c>
      <c r="FU10" s="72">
        <v>0</v>
      </c>
      <c r="FV10" s="72">
        <v>0</v>
      </c>
      <c r="FW10" s="72">
        <v>8</v>
      </c>
      <c r="FX10" s="72">
        <v>4</v>
      </c>
      <c r="FY10" s="72">
        <v>2</v>
      </c>
      <c r="FZ10" s="72">
        <v>8</v>
      </c>
      <c r="GA10" s="72">
        <v>4</v>
      </c>
      <c r="GB10" s="72">
        <v>2</v>
      </c>
      <c r="GC10" s="72">
        <v>0</v>
      </c>
      <c r="GD10" s="72">
        <v>4</v>
      </c>
      <c r="GE10" s="72">
        <v>4</v>
      </c>
      <c r="GF10" s="72">
        <v>2</v>
      </c>
      <c r="GG10" s="72">
        <v>0</v>
      </c>
      <c r="GH10" s="72">
        <v>4</v>
      </c>
      <c r="GI10" s="72">
        <v>2</v>
      </c>
      <c r="GJ10" s="72">
        <v>0</v>
      </c>
      <c r="GK10" s="72">
        <v>8</v>
      </c>
      <c r="GL10" s="72">
        <v>6</v>
      </c>
      <c r="GM10" s="72">
        <v>0</v>
      </c>
      <c r="GN10" s="72">
        <v>0</v>
      </c>
      <c r="GO10" s="72">
        <v>8</v>
      </c>
      <c r="GP10" s="72">
        <v>2</v>
      </c>
      <c r="GQ10" s="72">
        <v>2</v>
      </c>
      <c r="GR10" s="72">
        <v>0</v>
      </c>
      <c r="GS10" s="72">
        <v>6</v>
      </c>
      <c r="GT10" s="72">
        <v>2</v>
      </c>
      <c r="GU10" s="72">
        <v>0</v>
      </c>
      <c r="GV10" s="72"/>
      <c r="GW10" s="72"/>
      <c r="GX10" s="72"/>
      <c r="GZ10" s="64">
        <v>0</v>
      </c>
      <c r="HA10" s="64">
        <v>1</v>
      </c>
      <c r="HB10" s="64">
        <v>2</v>
      </c>
      <c r="HC10" s="64">
        <v>3</v>
      </c>
      <c r="HD10" s="64">
        <v>4</v>
      </c>
      <c r="HE10" s="64">
        <v>5</v>
      </c>
      <c r="HF10" s="64">
        <v>6</v>
      </c>
      <c r="HG10" s="64">
        <v>7</v>
      </c>
      <c r="HH10" s="64">
        <v>8</v>
      </c>
      <c r="HI10" s="64">
        <v>9</v>
      </c>
      <c r="HJ10" s="64">
        <v>10</v>
      </c>
      <c r="HK10" s="64">
        <v>11</v>
      </c>
      <c r="HL10" s="64">
        <v>12</v>
      </c>
      <c r="HM10" s="64">
        <v>13</v>
      </c>
      <c r="HN10" s="64">
        <v>14</v>
      </c>
      <c r="HO10" s="64">
        <v>15</v>
      </c>
      <c r="HP10" s="64">
        <v>16</v>
      </c>
      <c r="HQ10" s="64">
        <v>17</v>
      </c>
      <c r="HR10" s="64">
        <v>18</v>
      </c>
      <c r="HS10" s="64">
        <v>19</v>
      </c>
      <c r="HT10" s="64">
        <v>20</v>
      </c>
      <c r="HW10" s="72">
        <v>0</v>
      </c>
      <c r="HX10" s="72">
        <v>1</v>
      </c>
      <c r="HY10" s="72">
        <v>2</v>
      </c>
      <c r="HZ10" s="72">
        <v>3</v>
      </c>
      <c r="IA10" s="72">
        <v>4</v>
      </c>
      <c r="IB10" s="72">
        <v>5</v>
      </c>
      <c r="IC10" s="72">
        <v>6</v>
      </c>
      <c r="ID10" s="72">
        <v>7</v>
      </c>
      <c r="IE10" s="72">
        <v>8</v>
      </c>
      <c r="IF10" s="72">
        <v>9</v>
      </c>
      <c r="IG10" s="72">
        <v>10</v>
      </c>
      <c r="IH10" s="72">
        <v>11</v>
      </c>
      <c r="II10" s="72">
        <v>12</v>
      </c>
      <c r="IJ10" s="72">
        <v>13</v>
      </c>
      <c r="IK10" s="72">
        <v>14</v>
      </c>
      <c r="IL10" s="72">
        <v>15</v>
      </c>
      <c r="IM10" s="72">
        <v>16</v>
      </c>
      <c r="IN10" s="72">
        <v>17</v>
      </c>
      <c r="IO10" s="72">
        <v>18</v>
      </c>
      <c r="IP10" s="72">
        <v>19</v>
      </c>
      <c r="IQ10" s="72">
        <v>20</v>
      </c>
      <c r="IT10" s="64">
        <f t="shared" ref="IT10:IT72" si="42">HW10*2</f>
        <v>0</v>
      </c>
      <c r="IU10" s="64">
        <f t="shared" ref="IU10:IU72" si="43">HX10*2</f>
        <v>2</v>
      </c>
      <c r="IV10" s="64">
        <f t="shared" ref="IV10:IV72" si="44">HY10*2</f>
        <v>4</v>
      </c>
      <c r="IW10" s="64">
        <f t="shared" ref="IW10:IW72" si="45">HZ10*2</f>
        <v>6</v>
      </c>
      <c r="IX10" s="64">
        <f t="shared" ref="IX10:IX72" si="46">IA10*2</f>
        <v>8</v>
      </c>
      <c r="IY10" s="64">
        <f t="shared" ref="IY10:IY72" si="47">IB10*2</f>
        <v>10</v>
      </c>
      <c r="IZ10" s="64">
        <f t="shared" ref="IZ10:IZ72" si="48">IC10*2</f>
        <v>12</v>
      </c>
      <c r="JA10" s="64">
        <f t="shared" ref="JA10:JA72" si="49">ID10*2</f>
        <v>14</v>
      </c>
      <c r="JB10" s="64">
        <f t="shared" ref="JB10:JB71" si="50">IE10*2</f>
        <v>16</v>
      </c>
      <c r="JC10" s="64">
        <f t="shared" ref="JC10:JC72" si="51">IF10*2</f>
        <v>18</v>
      </c>
      <c r="JD10" s="64">
        <f t="shared" ref="JD10:JD72" si="52">IG10*2</f>
        <v>20</v>
      </c>
      <c r="JE10" s="64">
        <f t="shared" ref="JE10:JE72" si="53">IH10*2</f>
        <v>22</v>
      </c>
      <c r="JF10" s="64">
        <f t="shared" ref="JF10:JF72" si="54">II10*2</f>
        <v>24</v>
      </c>
      <c r="JG10" s="64">
        <f t="shared" ref="JG10:JG72" si="55">IJ10*2</f>
        <v>26</v>
      </c>
      <c r="JH10" s="64">
        <f t="shared" ref="JH10:JH72" si="56">IK10*2</f>
        <v>28</v>
      </c>
      <c r="JI10" s="64">
        <f t="shared" ref="JI10:JI72" si="57">IL10*2</f>
        <v>30</v>
      </c>
      <c r="JJ10" s="64">
        <f t="shared" ref="JJ10:JJ72" si="58">IM10*2</f>
        <v>32</v>
      </c>
      <c r="JK10" s="64">
        <f t="shared" ref="JK10:JK72" si="59">IN10*2</f>
        <v>34</v>
      </c>
      <c r="JL10" s="64">
        <f t="shared" ref="JL10:JL72" si="60">IO10*2</f>
        <v>36</v>
      </c>
      <c r="JM10" s="64">
        <f t="shared" ref="JM10:JM72" si="61">IP10*2</f>
        <v>38</v>
      </c>
      <c r="JN10" s="64">
        <f t="shared" ref="JN10:JN72" si="62">IQ10*2</f>
        <v>40</v>
      </c>
    </row>
    <row r="11" spans="1:300" x14ac:dyDescent="0.25">
      <c r="A11" s="8"/>
      <c r="B11" s="5" t="s">
        <v>61</v>
      </c>
      <c r="C11" s="8"/>
      <c r="D11" s="44" t="s">
        <v>573</v>
      </c>
      <c r="E11" s="9"/>
      <c r="F11" s="9"/>
      <c r="G11" s="9"/>
      <c r="H11" s="9"/>
      <c r="I11" s="9"/>
      <c r="J11" s="9"/>
      <c r="K11" s="9"/>
      <c r="L11" s="6" t="s">
        <v>427</v>
      </c>
      <c r="M11" s="11">
        <f>INDEX(cenník!$C$2:$I$568,MATCH($L11,cenník!$B$2:$B$557,0),MATCH(M$2,cenník!$C$1:$I$1,0))</f>
        <v>6505414</v>
      </c>
      <c r="N11" s="11" t="str">
        <f>INDEX(cenník!$C$2:$I$568,MATCH($L11,cenník!$B$2:$B$557,0),MATCH(N$2,cenník!$C$1:$I$1,0))</f>
        <v>100ks</v>
      </c>
      <c r="O11" s="11">
        <f>ROUNDUP((SUM(AK29:AK44))/100,0)</f>
        <v>0</v>
      </c>
      <c r="P11" s="36">
        <f>INDEX(cenník!$C$2:$I$568,MATCH($L11,cenník!$B$2:$B$557,0),MATCH(P$2,cenník!$C$1:$I$1,0))</f>
        <v>21.06</v>
      </c>
      <c r="Q11" s="36">
        <f t="shared" si="38"/>
        <v>0</v>
      </c>
      <c r="R11" s="37">
        <f t="shared" si="2"/>
        <v>0</v>
      </c>
      <c r="S11" s="36">
        <f t="shared" si="39"/>
        <v>21.06</v>
      </c>
      <c r="T11" s="36">
        <f t="shared" si="40"/>
        <v>0</v>
      </c>
      <c r="U11" s="36">
        <f>INDEX(cenník!$C$2:$I$568,MATCH($L11,cenník!$B$2:$B$557,0),MATCH(U$2,cenník!$C$1:$I$1,0))*O11</f>
        <v>0</v>
      </c>
      <c r="V11" s="72"/>
      <c r="W11" s="85">
        <f t="shared" si="0"/>
        <v>0</v>
      </c>
      <c r="X11" s="72" t="s">
        <v>197</v>
      </c>
      <c r="Y11" s="72">
        <v>1850</v>
      </c>
      <c r="Z11" s="72" t="s">
        <v>207</v>
      </c>
      <c r="AA11" s="72">
        <v>1796</v>
      </c>
      <c r="AC11" s="72" t="s">
        <v>411</v>
      </c>
      <c r="AD11" s="72" t="s">
        <v>412</v>
      </c>
      <c r="AE11" s="72" t="s">
        <v>413</v>
      </c>
      <c r="AF11" s="64" t="s">
        <v>411</v>
      </c>
      <c r="AG11" s="64" t="s">
        <v>412</v>
      </c>
      <c r="AH11" s="64" t="s">
        <v>413</v>
      </c>
      <c r="AO11" s="72"/>
      <c r="AP11" s="72"/>
      <c r="AQ11" s="72"/>
      <c r="AR11" s="72"/>
      <c r="AS11" s="72"/>
      <c r="AT11" s="72"/>
      <c r="AU11" s="72"/>
      <c r="AV11" s="72"/>
      <c r="AW11" s="72"/>
      <c r="AX11" s="72"/>
      <c r="AY11" s="72"/>
      <c r="AZ11" s="72"/>
      <c r="BA11" s="72"/>
      <c r="BB11" s="72"/>
      <c r="BC11" s="72"/>
      <c r="BD11" s="72"/>
      <c r="BE11" s="72"/>
      <c r="BF11" s="72"/>
      <c r="BG11" s="72"/>
      <c r="BH11" s="72"/>
      <c r="BI11" s="72"/>
      <c r="BJ11" s="72"/>
      <c r="BK11" s="72"/>
      <c r="BL11" s="72"/>
      <c r="BM11" s="72"/>
      <c r="BN11" s="72"/>
      <c r="BO11" s="72"/>
      <c r="BP11" s="72"/>
      <c r="BQ11" s="72"/>
      <c r="BR11" s="72"/>
      <c r="BS11" s="72"/>
      <c r="BT11" s="72"/>
      <c r="BU11" s="72"/>
      <c r="BV11" s="72"/>
      <c r="BW11" s="72"/>
      <c r="BX11" s="72"/>
      <c r="BY11" s="72"/>
      <c r="BZ11" s="72"/>
      <c r="CA11" s="72"/>
      <c r="CB11" s="72"/>
      <c r="CC11" s="72"/>
      <c r="CD11" s="72"/>
      <c r="CE11" s="72"/>
      <c r="CF11" s="72"/>
      <c r="CG11" s="72"/>
      <c r="CH11" s="72"/>
      <c r="CI11" s="72"/>
      <c r="CJ11" s="72"/>
      <c r="CK11" s="72"/>
      <c r="CL11" s="72"/>
      <c r="CM11" s="72"/>
      <c r="CN11" s="72"/>
      <c r="CO11" s="72"/>
      <c r="CP11" s="72"/>
      <c r="CQ11" s="72"/>
      <c r="CR11" s="72"/>
      <c r="CS11" s="72"/>
      <c r="CT11" s="72"/>
      <c r="CU11" s="72"/>
      <c r="CV11" s="72"/>
      <c r="CW11" s="72"/>
      <c r="CX11" s="72"/>
      <c r="CY11" s="72"/>
      <c r="CZ11" s="72"/>
      <c r="DA11" s="72"/>
      <c r="DB11" s="72"/>
      <c r="DC11" s="72"/>
      <c r="DD11" s="72"/>
      <c r="DE11" s="72"/>
      <c r="DF11" s="72"/>
      <c r="DG11" s="72"/>
      <c r="DH11" s="72"/>
      <c r="DI11" s="72"/>
      <c r="DJ11" s="72"/>
      <c r="DK11" s="72"/>
      <c r="DL11" s="72"/>
      <c r="DM11" s="72"/>
      <c r="DN11" s="72"/>
      <c r="DO11" s="72"/>
      <c r="DP11" s="72"/>
      <c r="DQ11" s="72"/>
      <c r="DR11" s="72"/>
      <c r="DS11" s="72"/>
      <c r="DT11" s="72"/>
      <c r="DU11" s="72"/>
      <c r="DV11" s="72"/>
      <c r="DW11" s="72"/>
      <c r="DX11" s="72"/>
      <c r="DY11" s="72"/>
      <c r="DZ11" s="81">
        <v>10</v>
      </c>
      <c r="EA11" s="81">
        <v>20</v>
      </c>
      <c r="EB11" s="81"/>
      <c r="EC11" s="72"/>
      <c r="ED11" s="72"/>
      <c r="EE11" s="72"/>
      <c r="EF11" s="72"/>
      <c r="EG11" s="72"/>
      <c r="EH11" s="72"/>
      <c r="EI11" s="72"/>
      <c r="EJ11" s="72"/>
      <c r="EK11" s="72"/>
      <c r="EL11" s="72"/>
      <c r="EM11" s="72"/>
      <c r="EN11" s="72"/>
      <c r="EO11" s="72"/>
      <c r="EP11" s="72"/>
      <c r="EQ11" s="72"/>
      <c r="ER11" s="72"/>
      <c r="ES11" s="72"/>
      <c r="ET11" s="72"/>
      <c r="EU11" s="72"/>
      <c r="EV11" s="72" t="s">
        <v>101</v>
      </c>
      <c r="EW11" s="72">
        <v>0</v>
      </c>
      <c r="EX11" s="72">
        <v>0</v>
      </c>
      <c r="EY11" s="72">
        <v>0</v>
      </c>
      <c r="EZ11" s="72">
        <v>2</v>
      </c>
      <c r="FA11" s="72">
        <v>0</v>
      </c>
      <c r="FB11" s="72">
        <v>2</v>
      </c>
      <c r="FC11" s="72">
        <v>2</v>
      </c>
      <c r="FD11" s="72">
        <v>2</v>
      </c>
      <c r="FE11" s="72">
        <v>0</v>
      </c>
      <c r="FF11" s="72">
        <v>0</v>
      </c>
      <c r="FG11" s="72">
        <v>0</v>
      </c>
      <c r="FH11" s="72">
        <v>0</v>
      </c>
      <c r="FI11" s="72">
        <v>0</v>
      </c>
      <c r="FJ11" s="72">
        <v>0</v>
      </c>
      <c r="FK11" s="72">
        <v>4</v>
      </c>
      <c r="FL11" s="72">
        <v>2</v>
      </c>
      <c r="FM11" s="72">
        <v>6</v>
      </c>
      <c r="FN11" s="72">
        <v>4</v>
      </c>
      <c r="FO11" s="72">
        <v>0</v>
      </c>
      <c r="FP11" s="72">
        <v>6</v>
      </c>
      <c r="FQ11" s="72">
        <v>2</v>
      </c>
      <c r="FR11" s="72">
        <v>6</v>
      </c>
      <c r="FS11" s="72">
        <v>6</v>
      </c>
      <c r="FT11" s="72">
        <v>8</v>
      </c>
      <c r="FU11" s="72">
        <v>12</v>
      </c>
      <c r="FV11" s="72">
        <v>2</v>
      </c>
      <c r="FW11" s="72">
        <v>0</v>
      </c>
      <c r="FX11" s="72">
        <v>6</v>
      </c>
      <c r="FY11" s="72">
        <v>0</v>
      </c>
      <c r="FZ11" s="72">
        <v>6</v>
      </c>
      <c r="GA11" s="72">
        <v>10</v>
      </c>
      <c r="GB11" s="72">
        <v>6</v>
      </c>
      <c r="GC11" s="72">
        <v>6</v>
      </c>
      <c r="GD11" s="72">
        <v>16</v>
      </c>
      <c r="GE11" s="72">
        <v>6</v>
      </c>
      <c r="GF11" s="72">
        <v>2</v>
      </c>
      <c r="GG11" s="72">
        <v>0</v>
      </c>
      <c r="GH11" s="72">
        <v>0</v>
      </c>
      <c r="GI11" s="72">
        <v>8</v>
      </c>
      <c r="GJ11" s="72">
        <v>6</v>
      </c>
      <c r="GK11" s="72">
        <v>4</v>
      </c>
      <c r="GL11" s="72">
        <v>0</v>
      </c>
      <c r="GM11" s="72">
        <v>0</v>
      </c>
      <c r="GN11" s="72">
        <v>2</v>
      </c>
      <c r="GO11" s="72">
        <v>0</v>
      </c>
      <c r="GP11" s="72">
        <v>10</v>
      </c>
      <c r="GQ11" s="72">
        <v>0</v>
      </c>
      <c r="GR11" s="72">
        <v>0</v>
      </c>
      <c r="GS11" s="72">
        <v>2</v>
      </c>
      <c r="GT11" s="72">
        <v>6</v>
      </c>
      <c r="GU11" s="72">
        <v>4</v>
      </c>
      <c r="GV11" s="72"/>
      <c r="GW11" s="72"/>
      <c r="GX11" s="72"/>
      <c r="GY11" s="64" t="s">
        <v>326</v>
      </c>
      <c r="GZ11" s="64">
        <v>0</v>
      </c>
      <c r="HA11" s="64">
        <v>2</v>
      </c>
      <c r="HB11" s="64">
        <v>2</v>
      </c>
      <c r="HC11" s="64">
        <v>0</v>
      </c>
      <c r="HD11" s="64">
        <v>4</v>
      </c>
      <c r="HE11" s="64">
        <v>2</v>
      </c>
      <c r="HF11" s="64">
        <v>0</v>
      </c>
      <c r="HG11" s="64">
        <v>4</v>
      </c>
      <c r="HH11" s="64">
        <v>2</v>
      </c>
      <c r="HI11" s="64">
        <v>0</v>
      </c>
      <c r="HJ11" s="64">
        <v>4</v>
      </c>
      <c r="HK11" s="64">
        <v>2</v>
      </c>
      <c r="HL11" s="64">
        <v>0</v>
      </c>
      <c r="HM11" s="64">
        <v>4</v>
      </c>
      <c r="HN11" s="64">
        <v>2</v>
      </c>
      <c r="HO11" s="64">
        <v>0</v>
      </c>
      <c r="HP11" s="64">
        <v>4</v>
      </c>
      <c r="HQ11" s="64">
        <v>2</v>
      </c>
      <c r="HR11" s="64">
        <v>0</v>
      </c>
      <c r="HS11" s="64">
        <v>4</v>
      </c>
      <c r="HT11" s="64">
        <v>2</v>
      </c>
      <c r="HV11" s="64" t="s">
        <v>380</v>
      </c>
      <c r="HW11" s="72">
        <v>0</v>
      </c>
      <c r="HX11" s="72">
        <v>2</v>
      </c>
      <c r="HY11" s="72">
        <v>0</v>
      </c>
      <c r="HZ11" s="72">
        <v>2</v>
      </c>
      <c r="IA11" s="72">
        <v>0</v>
      </c>
      <c r="IB11" s="72">
        <v>2</v>
      </c>
      <c r="IC11" s="72">
        <v>0</v>
      </c>
      <c r="ID11" s="72">
        <v>2</v>
      </c>
      <c r="IE11" s="72">
        <v>4</v>
      </c>
      <c r="IF11" s="72">
        <v>2</v>
      </c>
      <c r="IG11" s="72">
        <v>4</v>
      </c>
      <c r="IH11" s="72">
        <v>2</v>
      </c>
      <c r="II11" s="72">
        <v>4</v>
      </c>
      <c r="IJ11" s="72">
        <v>2</v>
      </c>
      <c r="IK11" s="72">
        <v>4</v>
      </c>
      <c r="IL11" s="72">
        <v>2</v>
      </c>
      <c r="IM11" s="72">
        <v>4</v>
      </c>
      <c r="IN11" s="72">
        <v>0</v>
      </c>
      <c r="IO11" s="72">
        <v>4</v>
      </c>
      <c r="IP11" s="72">
        <v>0</v>
      </c>
      <c r="IQ11" s="72">
        <v>4</v>
      </c>
      <c r="IS11" s="64" t="s">
        <v>380</v>
      </c>
      <c r="IT11" s="64">
        <f t="shared" si="42"/>
        <v>0</v>
      </c>
      <c r="IU11" s="64">
        <f t="shared" si="43"/>
        <v>4</v>
      </c>
      <c r="IV11" s="64">
        <f t="shared" si="44"/>
        <v>0</v>
      </c>
      <c r="IW11" s="64">
        <f t="shared" si="45"/>
        <v>4</v>
      </c>
      <c r="IX11" s="64">
        <f t="shared" si="46"/>
        <v>0</v>
      </c>
      <c r="IY11" s="64">
        <f t="shared" si="47"/>
        <v>4</v>
      </c>
      <c r="IZ11" s="64">
        <f t="shared" si="48"/>
        <v>0</v>
      </c>
      <c r="JA11" s="64">
        <f t="shared" si="49"/>
        <v>4</v>
      </c>
      <c r="JB11" s="64">
        <f t="shared" si="50"/>
        <v>8</v>
      </c>
      <c r="JC11" s="64">
        <f t="shared" si="51"/>
        <v>4</v>
      </c>
      <c r="JD11" s="64">
        <f t="shared" si="52"/>
        <v>8</v>
      </c>
      <c r="JE11" s="64">
        <f t="shared" si="53"/>
        <v>4</v>
      </c>
      <c r="JF11" s="64">
        <f t="shared" si="54"/>
        <v>8</v>
      </c>
      <c r="JG11" s="64">
        <f t="shared" si="55"/>
        <v>4</v>
      </c>
      <c r="JH11" s="64">
        <f t="shared" si="56"/>
        <v>8</v>
      </c>
      <c r="JI11" s="64">
        <f t="shared" si="57"/>
        <v>4</v>
      </c>
      <c r="JJ11" s="64">
        <f t="shared" si="58"/>
        <v>8</v>
      </c>
      <c r="JK11" s="64">
        <f t="shared" si="59"/>
        <v>0</v>
      </c>
      <c r="JL11" s="64">
        <f t="shared" si="60"/>
        <v>8</v>
      </c>
      <c r="JM11" s="64">
        <f t="shared" si="61"/>
        <v>0</v>
      </c>
      <c r="JN11" s="64">
        <f t="shared" si="62"/>
        <v>8</v>
      </c>
    </row>
    <row r="12" spans="1:300" x14ac:dyDescent="0.25">
      <c r="A12" s="8"/>
      <c r="B12" s="5" t="s">
        <v>61</v>
      </c>
      <c r="C12" s="8"/>
      <c r="D12" s="44" t="s">
        <v>520</v>
      </c>
      <c r="E12" s="9"/>
      <c r="F12" s="9"/>
      <c r="G12" s="9"/>
      <c r="H12" s="9"/>
      <c r="I12" s="9"/>
      <c r="J12" s="9"/>
      <c r="K12" s="9"/>
      <c r="L12" s="6" t="str">
        <f>IF(E6=$Z$2,"SBV250X350",IF(E6=$Z$3,"SBV50X500",IF(E6=$Z$4,"-------",IF(E6=$Z$5,"-------",0))))</f>
        <v>SBV250X350</v>
      </c>
      <c r="M12" s="11">
        <f>INDEX(cenník!$C$2:$I$568,MATCH($L12,cenník!$B$2:$B$557,0),MATCH(M$2,cenník!$C$1:$I$1,0))</f>
        <v>895507</v>
      </c>
      <c r="N12" s="11" t="str">
        <f>INDEX(cenník!$C$2:$I$568,MATCH($L12,cenník!$B$2:$B$557,0),MATCH(N$2,cenník!$C$1:$I$1,0))</f>
        <v>ks</v>
      </c>
      <c r="O12" s="11">
        <f>IF(E6=$Z$2,O3*2,IF(E6=$Z$3,O3,IF(E6=$Z$4,0,IF(E6=$Z$5,,0))))</f>
        <v>0</v>
      </c>
      <c r="P12" s="36">
        <f>INDEX(cenník!$C$2:$I$568,MATCH($L12,cenník!$B$2:$B$557,0),MATCH(P$2,cenník!$C$1:$I$1,0))</f>
        <v>1.4</v>
      </c>
      <c r="Q12" s="36">
        <f t="shared" si="38"/>
        <v>0</v>
      </c>
      <c r="R12" s="37">
        <f t="shared" si="2"/>
        <v>0</v>
      </c>
      <c r="S12" s="36">
        <f>P12*((100-$E$8)/100)</f>
        <v>1.4</v>
      </c>
      <c r="T12" s="36">
        <f t="shared" si="40"/>
        <v>0</v>
      </c>
      <c r="U12" s="36">
        <f>INDEX(cenník!$C$2:$I$568,MATCH($L12,cenník!$B$2:$B$557,0),MATCH(U$2,cenník!$C$1:$I$1,0))*O12</f>
        <v>0</v>
      </c>
      <c r="V12" s="72"/>
      <c r="W12" s="85">
        <f t="shared" si="0"/>
        <v>0</v>
      </c>
      <c r="X12" s="72" t="s">
        <v>196</v>
      </c>
      <c r="Y12" s="72">
        <v>1900</v>
      </c>
      <c r="Z12" s="72" t="s">
        <v>208</v>
      </c>
      <c r="AA12" s="72">
        <v>1834</v>
      </c>
      <c r="AB12" s="72"/>
      <c r="AC12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2,$GB$80:$GV$80,0),MATCH($E$3,$X$7:$X$24,0))</f>
        <v>0</v>
      </c>
      <c r="AD12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2,$GB$80:$GV$80,0),MATCH($E$3,$X$7:$X$24,0))</f>
        <v>0</v>
      </c>
      <c r="AE12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2,$GB$80:$GV$80,0),MATCH($E$3,$X$7:$X$24,0))</f>
        <v>0</v>
      </c>
      <c r="AF12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2,$GB$80:$GV$80,0),MATCH($E$3,$X$7:$X$24,0)))*C2</f>
        <v>0</v>
      </c>
      <c r="AG12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2,$GB$80:$GV$80,0),MATCH($E$3,$X$7:$X$24,0)))*C2</f>
        <v>0</v>
      </c>
      <c r="AH12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2,$GB$80:$GV$80,0),MATCH($E$3,$X$7:$X$24,0)))*C2</f>
        <v>0</v>
      </c>
      <c r="AI12" s="72">
        <f>SUM(AC12:AE12)</f>
        <v>0</v>
      </c>
      <c r="AJ12" s="72">
        <f>IF(AI12&lt;=1,0,IF(AI12&gt;1,(AI12*4-4),0))</f>
        <v>0</v>
      </c>
      <c r="AK12" s="72">
        <f>AJ12*C2</f>
        <v>0</v>
      </c>
      <c r="AL12" s="72"/>
      <c r="AM12" s="72">
        <v>0</v>
      </c>
      <c r="AN12" s="72">
        <v>1</v>
      </c>
      <c r="AO12" s="72">
        <v>2</v>
      </c>
      <c r="AP12" s="72">
        <v>3</v>
      </c>
      <c r="AQ12" s="72">
        <v>4</v>
      </c>
      <c r="AR12" s="72">
        <v>5</v>
      </c>
      <c r="AS12" s="72">
        <v>6</v>
      </c>
      <c r="AT12" s="72">
        <v>7</v>
      </c>
      <c r="AU12" s="72">
        <v>8</v>
      </c>
      <c r="AV12" s="72">
        <v>9</v>
      </c>
      <c r="AW12" s="72">
        <v>10</v>
      </c>
      <c r="AX12" s="72">
        <v>11</v>
      </c>
      <c r="AY12" s="72">
        <v>12</v>
      </c>
      <c r="AZ12" s="72">
        <v>13</v>
      </c>
      <c r="BA12" s="72">
        <v>14</v>
      </c>
      <c r="BB12" s="72">
        <v>15</v>
      </c>
      <c r="BC12" s="72">
        <v>16</v>
      </c>
      <c r="BD12" s="72">
        <v>17</v>
      </c>
      <c r="BE12" s="72">
        <v>18</v>
      </c>
      <c r="BF12" s="72">
        <v>19</v>
      </c>
      <c r="BG12" s="72">
        <v>20</v>
      </c>
      <c r="BH12" s="72">
        <v>21</v>
      </c>
      <c r="BI12" s="72">
        <v>22</v>
      </c>
      <c r="BJ12" s="72">
        <v>23</v>
      </c>
      <c r="BK12" s="72">
        <v>24</v>
      </c>
      <c r="BL12" s="72">
        <v>25</v>
      </c>
      <c r="BM12" s="72">
        <v>26</v>
      </c>
      <c r="BN12" s="72">
        <v>27</v>
      </c>
      <c r="BO12" s="72">
        <v>28</v>
      </c>
      <c r="BP12" s="72">
        <v>29</v>
      </c>
      <c r="BQ12" s="72">
        <v>30</v>
      </c>
      <c r="BR12" s="72">
        <v>31</v>
      </c>
      <c r="BS12" s="72">
        <v>32</v>
      </c>
      <c r="BT12" s="72">
        <v>33</v>
      </c>
      <c r="BU12" s="72">
        <v>34</v>
      </c>
      <c r="BV12" s="72">
        <v>35</v>
      </c>
      <c r="BW12" s="72">
        <v>36</v>
      </c>
      <c r="BX12" s="72">
        <v>37</v>
      </c>
      <c r="BY12" s="72">
        <v>38</v>
      </c>
      <c r="BZ12" s="72">
        <v>39</v>
      </c>
      <c r="CA12" s="72">
        <v>40</v>
      </c>
      <c r="CB12" s="72">
        <v>41</v>
      </c>
      <c r="CC12" s="72">
        <v>42</v>
      </c>
      <c r="CD12" s="72">
        <v>43</v>
      </c>
      <c r="CE12" s="72">
        <v>44</v>
      </c>
      <c r="CF12" s="72">
        <v>45</v>
      </c>
      <c r="CG12" s="72">
        <v>46</v>
      </c>
      <c r="CH12" s="72">
        <v>47</v>
      </c>
      <c r="CI12" s="72">
        <v>48</v>
      </c>
      <c r="CJ12" s="72">
        <v>49</v>
      </c>
      <c r="CK12" s="72">
        <v>50</v>
      </c>
      <c r="CL12" s="72"/>
      <c r="CM12" s="72"/>
      <c r="CN12" s="72">
        <v>39.08</v>
      </c>
      <c r="CO12" s="72">
        <v>43.4</v>
      </c>
      <c r="CP12" s="85">
        <v>44.1</v>
      </c>
      <c r="CQ12" s="72">
        <v>44.7</v>
      </c>
      <c r="CR12" s="85">
        <v>45.22</v>
      </c>
      <c r="CS12" s="85">
        <v>46.36</v>
      </c>
      <c r="CT12" s="85">
        <v>47.44</v>
      </c>
      <c r="CU12" s="85">
        <v>48.59</v>
      </c>
      <c r="CV12" s="85">
        <v>49.61</v>
      </c>
      <c r="CW12" s="72">
        <v>50.35</v>
      </c>
      <c r="CX12" s="72">
        <v>52.51</v>
      </c>
      <c r="CY12" s="72"/>
      <c r="CZ12" s="72"/>
      <c r="DA12" s="72"/>
      <c r="DB12" s="72"/>
      <c r="DC12" s="72"/>
      <c r="DD12" s="72"/>
      <c r="DE12" s="72"/>
      <c r="DF12" s="72"/>
      <c r="DG12" s="72"/>
      <c r="DH12" s="72"/>
      <c r="DI12" s="72"/>
      <c r="DJ12" s="72"/>
      <c r="DK12" s="72"/>
      <c r="DL12" s="72"/>
      <c r="DM12" s="72"/>
      <c r="DN12" s="72"/>
      <c r="DO12" s="72"/>
      <c r="DP12" s="72"/>
      <c r="DQ12" s="72"/>
      <c r="DR12" s="72"/>
      <c r="DS12" s="72"/>
      <c r="DT12" s="72"/>
      <c r="DU12" s="72"/>
      <c r="DV12" s="72"/>
      <c r="DW12" s="72"/>
      <c r="DX12" s="72"/>
      <c r="DY12" s="72"/>
      <c r="DZ12" s="81">
        <v>11</v>
      </c>
      <c r="EA12" s="81">
        <v>22</v>
      </c>
      <c r="EB12" s="81"/>
      <c r="EC12" s="72"/>
      <c r="ED12" s="72"/>
      <c r="EE12" s="72"/>
      <c r="EF12" s="72"/>
      <c r="EG12" s="72"/>
      <c r="EH12" s="72"/>
      <c r="EI12" s="72"/>
      <c r="EJ12" s="72"/>
      <c r="EK12" s="72"/>
      <c r="EL12" s="72"/>
      <c r="EM12" s="72"/>
      <c r="EN12" s="72"/>
      <c r="EO12" s="72"/>
      <c r="EP12" s="72"/>
      <c r="EQ12" s="72"/>
      <c r="ER12" s="72"/>
      <c r="ES12" s="72"/>
      <c r="ET12" s="72"/>
      <c r="EU12" s="72"/>
      <c r="EV12" s="72" t="s">
        <v>102</v>
      </c>
      <c r="EW12" s="72">
        <v>0</v>
      </c>
      <c r="EX12" s="72">
        <v>0</v>
      </c>
      <c r="EY12" s="72">
        <v>0</v>
      </c>
      <c r="EZ12" s="72">
        <v>0</v>
      </c>
      <c r="FA12" s="72">
        <v>0</v>
      </c>
      <c r="FB12" s="72">
        <v>0</v>
      </c>
      <c r="FC12" s="72">
        <v>0</v>
      </c>
      <c r="FD12" s="72">
        <v>2</v>
      </c>
      <c r="FE12" s="72">
        <v>4</v>
      </c>
      <c r="FF12" s="72">
        <v>4</v>
      </c>
      <c r="FG12" s="72">
        <v>4</v>
      </c>
      <c r="FH12" s="72">
        <v>4</v>
      </c>
      <c r="FI12" s="72">
        <v>6</v>
      </c>
      <c r="FJ12" s="72">
        <v>4</v>
      </c>
      <c r="FK12" s="72">
        <v>4</v>
      </c>
      <c r="FL12" s="72">
        <v>0</v>
      </c>
      <c r="FM12" s="72">
        <v>0</v>
      </c>
      <c r="FN12" s="72">
        <v>4</v>
      </c>
      <c r="FO12" s="72">
        <v>10</v>
      </c>
      <c r="FP12" s="72">
        <v>0</v>
      </c>
      <c r="FQ12" s="72">
        <v>6</v>
      </c>
      <c r="FR12" s="72">
        <v>6</v>
      </c>
      <c r="FS12" s="72">
        <v>0</v>
      </c>
      <c r="FT12" s="72">
        <v>2</v>
      </c>
      <c r="FU12" s="72">
        <v>2</v>
      </c>
      <c r="FV12" s="72">
        <v>12</v>
      </c>
      <c r="FW12" s="72">
        <v>8</v>
      </c>
      <c r="FX12" s="72">
        <v>6</v>
      </c>
      <c r="FY12" s="72">
        <v>14</v>
      </c>
      <c r="FZ12" s="72">
        <v>4</v>
      </c>
      <c r="GA12" s="72">
        <v>4</v>
      </c>
      <c r="GB12" s="72">
        <v>10</v>
      </c>
      <c r="GC12" s="72">
        <v>12</v>
      </c>
      <c r="GD12" s="72">
        <v>0</v>
      </c>
      <c r="GE12" s="72">
        <v>10</v>
      </c>
      <c r="GF12" s="72">
        <v>16</v>
      </c>
      <c r="GG12" s="72">
        <v>20</v>
      </c>
      <c r="GH12" s="72">
        <v>16</v>
      </c>
      <c r="GI12" s="72">
        <v>12</v>
      </c>
      <c r="GJ12" s="72">
        <v>16</v>
      </c>
      <c r="GK12" s="72">
        <v>12</v>
      </c>
      <c r="GL12" s="72">
        <v>18</v>
      </c>
      <c r="GM12" s="72">
        <v>22</v>
      </c>
      <c r="GN12" s="72">
        <v>22</v>
      </c>
      <c r="GO12" s="72">
        <v>18</v>
      </c>
      <c r="GP12" s="72">
        <v>14</v>
      </c>
      <c r="GQ12" s="72">
        <v>24</v>
      </c>
      <c r="GR12" s="72">
        <v>26</v>
      </c>
      <c r="GS12" s="72">
        <v>20</v>
      </c>
      <c r="GT12" s="72">
        <v>20</v>
      </c>
      <c r="GU12" s="72">
        <v>24</v>
      </c>
      <c r="GV12" s="72"/>
      <c r="GW12" s="72"/>
      <c r="GX12" s="72"/>
      <c r="GY12" s="64" t="s">
        <v>327</v>
      </c>
      <c r="GZ12" s="64">
        <v>0</v>
      </c>
      <c r="HA12" s="64">
        <v>0</v>
      </c>
      <c r="HB12" s="64">
        <v>0</v>
      </c>
      <c r="HC12" s="64">
        <v>2</v>
      </c>
      <c r="HD12" s="64">
        <v>0</v>
      </c>
      <c r="HE12" s="64">
        <v>2</v>
      </c>
      <c r="HF12" s="64">
        <v>4</v>
      </c>
      <c r="HG12" s="64">
        <v>2</v>
      </c>
      <c r="HH12" s="64">
        <v>4</v>
      </c>
      <c r="HI12" s="64">
        <v>6</v>
      </c>
      <c r="HJ12" s="64">
        <v>4</v>
      </c>
      <c r="HK12" s="64">
        <v>6</v>
      </c>
      <c r="HL12" s="64">
        <v>8</v>
      </c>
      <c r="HM12" s="64">
        <v>6</v>
      </c>
      <c r="HN12" s="64">
        <v>8</v>
      </c>
      <c r="HO12" s="64">
        <v>10</v>
      </c>
      <c r="HP12" s="64">
        <v>8</v>
      </c>
      <c r="HQ12" s="64">
        <v>10</v>
      </c>
      <c r="HR12" s="64">
        <v>12</v>
      </c>
      <c r="HS12" s="64">
        <v>10</v>
      </c>
      <c r="HT12" s="64">
        <v>12</v>
      </c>
      <c r="HV12" s="64" t="s">
        <v>379</v>
      </c>
      <c r="HW12" s="72">
        <v>0</v>
      </c>
      <c r="HX12" s="72">
        <v>0</v>
      </c>
      <c r="HY12" s="72">
        <v>2</v>
      </c>
      <c r="HZ12" s="72">
        <v>2</v>
      </c>
      <c r="IA12" s="72">
        <v>4</v>
      </c>
      <c r="IB12" s="72">
        <v>4</v>
      </c>
      <c r="IC12" s="72">
        <v>6</v>
      </c>
      <c r="ID12" s="72">
        <v>6</v>
      </c>
      <c r="IE12" s="72">
        <v>6</v>
      </c>
      <c r="IF12" s="72">
        <v>8</v>
      </c>
      <c r="IG12" s="72">
        <v>8</v>
      </c>
      <c r="IH12" s="72">
        <v>10</v>
      </c>
      <c r="II12" s="72">
        <v>10</v>
      </c>
      <c r="IJ12" s="72">
        <v>12</v>
      </c>
      <c r="IK12" s="72">
        <v>12</v>
      </c>
      <c r="IL12" s="72">
        <v>14</v>
      </c>
      <c r="IM12" s="72">
        <v>14</v>
      </c>
      <c r="IN12" s="72">
        <v>18</v>
      </c>
      <c r="IO12" s="72">
        <v>16</v>
      </c>
      <c r="IP12" s="72">
        <v>20</v>
      </c>
      <c r="IQ12" s="72">
        <v>18</v>
      </c>
      <c r="IS12" s="64" t="s">
        <v>379</v>
      </c>
      <c r="IT12" s="64">
        <f t="shared" si="42"/>
        <v>0</v>
      </c>
      <c r="IU12" s="64">
        <f t="shared" si="43"/>
        <v>0</v>
      </c>
      <c r="IV12" s="64">
        <f t="shared" si="44"/>
        <v>4</v>
      </c>
      <c r="IW12" s="64">
        <f t="shared" si="45"/>
        <v>4</v>
      </c>
      <c r="IX12" s="64">
        <f t="shared" si="46"/>
        <v>8</v>
      </c>
      <c r="IY12" s="64">
        <f t="shared" si="47"/>
        <v>8</v>
      </c>
      <c r="IZ12" s="64">
        <f t="shared" si="48"/>
        <v>12</v>
      </c>
      <c r="JA12" s="64">
        <f t="shared" si="49"/>
        <v>12</v>
      </c>
      <c r="JB12" s="64">
        <f t="shared" si="50"/>
        <v>12</v>
      </c>
      <c r="JC12" s="64">
        <f t="shared" si="51"/>
        <v>16</v>
      </c>
      <c r="JD12" s="64">
        <f t="shared" si="52"/>
        <v>16</v>
      </c>
      <c r="JE12" s="64">
        <f t="shared" si="53"/>
        <v>20</v>
      </c>
      <c r="JF12" s="64">
        <f t="shared" si="54"/>
        <v>20</v>
      </c>
      <c r="JG12" s="64">
        <f t="shared" si="55"/>
        <v>24</v>
      </c>
      <c r="JH12" s="64">
        <f t="shared" si="56"/>
        <v>24</v>
      </c>
      <c r="JI12" s="64">
        <f t="shared" si="57"/>
        <v>28</v>
      </c>
      <c r="JJ12" s="64">
        <f t="shared" si="58"/>
        <v>28</v>
      </c>
      <c r="JK12" s="64">
        <f t="shared" si="59"/>
        <v>36</v>
      </c>
      <c r="JL12" s="64">
        <f t="shared" si="60"/>
        <v>32</v>
      </c>
      <c r="JM12" s="64">
        <f t="shared" si="61"/>
        <v>40</v>
      </c>
      <c r="JN12" s="64">
        <f t="shared" si="62"/>
        <v>36</v>
      </c>
      <c r="JQ12" s="88"/>
    </row>
    <row r="13" spans="1:300" x14ac:dyDescent="0.25">
      <c r="A13" s="8"/>
      <c r="B13" s="5" t="s">
        <v>61</v>
      </c>
      <c r="C13" s="8"/>
      <c r="D13" s="44" t="s">
        <v>574</v>
      </c>
      <c r="E13" s="9"/>
      <c r="F13" s="9"/>
      <c r="G13" s="85"/>
      <c r="H13" s="9"/>
      <c r="I13" s="9"/>
      <c r="J13" s="9"/>
      <c r="K13" s="9"/>
      <c r="L13" s="6" t="str">
        <f>IF(E6=$Z$2,"PBK40MC",IF(E6=$Z$3,"-------",IF(E6=$Z$4,"SPM2",IF(E6=$Z$5,"SMA40/033",0))))</f>
        <v>PBK40MC</v>
      </c>
      <c r="M13" s="11">
        <f>INDEX(cenník!$C$2:$I$568,MATCH($L13,cenník!$B$2:$B$557,0),MATCH(M$2,cenník!$C$1:$I$1,0))</f>
        <v>858440</v>
      </c>
      <c r="N13" s="11" t="str">
        <f>INDEX(cenník!$C$2:$I$568,MATCH($L13,cenník!$B$2:$B$557,0),MATCH(N$2,cenník!$C$1:$I$1,0))</f>
        <v>ks</v>
      </c>
      <c r="O13" s="11">
        <f>IF(E6=$Z$2,O3*2,IF(E6=$Z$3,0,IF(E6=$Z$4,O3,IF(E6=$Z$5,O3*2,0))))</f>
        <v>0</v>
      </c>
      <c r="P13" s="36">
        <f>INDEX(cenník!$C$2:$I$568,MATCH($L13,cenník!$B$2:$B$557,0),MATCH(P$2,cenník!$C$1:$I$1,0))</f>
        <v>5.67</v>
      </c>
      <c r="Q13" s="36">
        <f t="shared" si="38"/>
        <v>0</v>
      </c>
      <c r="R13" s="37">
        <f t="shared" si="2"/>
        <v>0</v>
      </c>
      <c r="S13" s="36">
        <f t="shared" si="39"/>
        <v>5.67</v>
      </c>
      <c r="T13" s="36">
        <f t="shared" si="40"/>
        <v>0</v>
      </c>
      <c r="U13" s="36">
        <f>INDEX(cenník!$C$2:$I$568,MATCH($L13,cenník!$B$2:$B$557,0),MATCH(U$2,cenník!$C$1:$I$1,0))*O13</f>
        <v>0</v>
      </c>
      <c r="V13" s="72"/>
      <c r="W13" s="85">
        <f t="shared" si="0"/>
        <v>0</v>
      </c>
      <c r="X13" s="72" t="s">
        <v>198</v>
      </c>
      <c r="Y13" s="72">
        <v>1950</v>
      </c>
      <c r="Z13" s="72" t="s">
        <v>209</v>
      </c>
      <c r="AA13" s="72">
        <v>1872</v>
      </c>
      <c r="AB13" s="72"/>
      <c r="AC13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3,$GB$80:$GV$80,0),MATCH($E$3,$X$7:$X$24,0))</f>
        <v>0</v>
      </c>
      <c r="AD13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3,$GB$80:$GV$80,0),MATCH($E$3,$X$7:$X$24,0))</f>
        <v>0</v>
      </c>
      <c r="AE13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3,$GB$80:$GV$80,0),MATCH($E$3,$X$7:$X$24,0))</f>
        <v>0</v>
      </c>
      <c r="AF13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3,$GB$80:$GV$80,0),MATCH($E$3,$X$7:$X$24,0)))*C3</f>
        <v>0</v>
      </c>
      <c r="AG13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3,$GB$80:$GV$80,0),MATCH($E$3,$X$7:$X$24,0)))*C3</f>
        <v>0</v>
      </c>
      <c r="AH13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3,$GB$80:$GV$80,0),MATCH($E$3,$X$7:$X$24,0)))*C3</f>
        <v>0</v>
      </c>
      <c r="AI13" s="72">
        <f t="shared" ref="AI13:AI26" si="63">SUM(AC13:AE13)</f>
        <v>0</v>
      </c>
      <c r="AJ13" s="72">
        <f t="shared" ref="AJ13:AJ27" si="64">IF(AI13&lt;=1,0,IF(AI13&gt;1,(AI13*4-4),0))</f>
        <v>0</v>
      </c>
      <c r="AK13" s="72">
        <f t="shared" ref="AK13:AK27" si="65">AJ13*C3</f>
        <v>0</v>
      </c>
      <c r="AL13" s="72" t="s">
        <v>63</v>
      </c>
      <c r="AM13" s="72">
        <v>0</v>
      </c>
      <c r="AN13" s="72">
        <v>2</v>
      </c>
      <c r="AO13" s="72">
        <v>0</v>
      </c>
      <c r="AP13" s="72">
        <v>0</v>
      </c>
      <c r="AQ13" s="72">
        <v>0</v>
      </c>
      <c r="AR13" s="72">
        <v>0</v>
      </c>
      <c r="AS13" s="72">
        <v>0</v>
      </c>
      <c r="AT13" s="72">
        <v>0</v>
      </c>
      <c r="AU13" s="72">
        <v>0</v>
      </c>
      <c r="AV13" s="72">
        <v>0</v>
      </c>
      <c r="AW13" s="72">
        <v>0</v>
      </c>
      <c r="AX13" s="72">
        <v>0</v>
      </c>
      <c r="AY13" s="72">
        <v>0</v>
      </c>
      <c r="AZ13" s="72">
        <v>0</v>
      </c>
      <c r="BA13" s="72">
        <v>0</v>
      </c>
      <c r="BB13" s="72">
        <v>0</v>
      </c>
      <c r="BC13" s="72">
        <v>0</v>
      </c>
      <c r="BD13" s="72">
        <v>0</v>
      </c>
      <c r="BE13" s="72">
        <v>0</v>
      </c>
      <c r="BF13" s="72">
        <v>0</v>
      </c>
      <c r="BG13" s="72">
        <v>0</v>
      </c>
      <c r="BH13" s="72">
        <v>0</v>
      </c>
      <c r="BI13" s="72">
        <v>0</v>
      </c>
      <c r="BJ13" s="72">
        <v>0</v>
      </c>
      <c r="BK13" s="72">
        <v>0</v>
      </c>
      <c r="BL13" s="72">
        <v>0</v>
      </c>
      <c r="BM13" s="72">
        <v>0</v>
      </c>
      <c r="BN13" s="72">
        <v>0</v>
      </c>
      <c r="BO13" s="72">
        <v>0</v>
      </c>
      <c r="BP13" s="72">
        <v>0</v>
      </c>
      <c r="BQ13" s="72">
        <v>0</v>
      </c>
      <c r="BR13" s="72">
        <v>0</v>
      </c>
      <c r="BS13" s="72">
        <v>0</v>
      </c>
      <c r="BT13" s="72">
        <v>0</v>
      </c>
      <c r="BU13" s="72">
        <v>0</v>
      </c>
      <c r="BV13" s="72">
        <v>0</v>
      </c>
      <c r="BW13" s="72">
        <v>0</v>
      </c>
      <c r="BX13" s="72">
        <v>2</v>
      </c>
      <c r="BY13" s="72">
        <v>0</v>
      </c>
      <c r="BZ13" s="72">
        <v>0</v>
      </c>
      <c r="CA13" s="72">
        <v>0</v>
      </c>
      <c r="CB13" s="72">
        <v>0</v>
      </c>
      <c r="CC13" s="72">
        <v>0</v>
      </c>
      <c r="CD13" s="72">
        <v>0</v>
      </c>
      <c r="CE13" s="72">
        <v>0</v>
      </c>
      <c r="CF13" s="72">
        <v>0</v>
      </c>
      <c r="CG13" s="72">
        <v>0</v>
      </c>
      <c r="CH13" s="72">
        <v>2</v>
      </c>
      <c r="CI13" s="72">
        <v>0</v>
      </c>
      <c r="CJ13" s="72">
        <v>0</v>
      </c>
      <c r="CK13" s="72">
        <v>0</v>
      </c>
      <c r="CL13" s="72"/>
      <c r="CM13" s="72"/>
      <c r="CN13" s="72">
        <v>46.6</v>
      </c>
      <c r="CO13" s="72">
        <v>52.08</v>
      </c>
      <c r="CP13" s="85">
        <v>52.4</v>
      </c>
      <c r="CQ13" s="72">
        <v>52.64</v>
      </c>
      <c r="CR13" s="85">
        <v>53.25</v>
      </c>
      <c r="CS13" s="85">
        <v>55.31</v>
      </c>
      <c r="CT13" s="85">
        <v>56.4</v>
      </c>
      <c r="CU13" s="85">
        <v>58.6</v>
      </c>
      <c r="CV13" s="85">
        <v>59.24</v>
      </c>
      <c r="CW13" s="72">
        <v>60.45</v>
      </c>
      <c r="CX13" s="72">
        <v>61.32</v>
      </c>
      <c r="CY13" s="72"/>
      <c r="CZ13" s="72"/>
      <c r="DA13" s="72"/>
      <c r="DB13" s="72"/>
      <c r="DC13" s="72"/>
      <c r="DD13" s="72"/>
      <c r="DE13" s="72"/>
      <c r="DF13" s="72"/>
      <c r="DG13" s="72"/>
      <c r="DH13" s="72"/>
      <c r="DI13" s="72"/>
      <c r="DJ13" s="72"/>
      <c r="DK13" s="72"/>
      <c r="DL13" s="72"/>
      <c r="DM13" s="72"/>
      <c r="DN13" s="72"/>
      <c r="DO13" s="72"/>
      <c r="DP13" s="72"/>
      <c r="DQ13" s="72"/>
      <c r="DR13" s="72"/>
      <c r="DS13" s="72"/>
      <c r="DT13" s="72"/>
      <c r="DU13" s="72"/>
      <c r="DV13" s="72"/>
      <c r="DW13" s="72"/>
      <c r="DX13" s="72"/>
      <c r="DY13" s="72"/>
      <c r="DZ13" s="81">
        <v>12</v>
      </c>
      <c r="EA13" s="81">
        <v>24</v>
      </c>
      <c r="EB13" s="81"/>
      <c r="EC13" s="72"/>
      <c r="ED13" s="72"/>
      <c r="EE13" s="72"/>
      <c r="EF13" s="72"/>
      <c r="EG13" s="72"/>
      <c r="EH13" s="72"/>
      <c r="EI13" s="72"/>
      <c r="EJ13" s="72"/>
      <c r="EK13" s="72"/>
      <c r="EL13" s="72"/>
      <c r="EM13" s="72"/>
      <c r="EN13" s="72"/>
      <c r="EO13" s="72"/>
      <c r="EP13" s="72"/>
      <c r="EQ13" s="72"/>
      <c r="ER13" s="72"/>
      <c r="ES13" s="72"/>
      <c r="ET13" s="72"/>
      <c r="EU13" s="72"/>
      <c r="EV13" s="72" t="s">
        <v>10</v>
      </c>
      <c r="EW13" s="72">
        <v>0</v>
      </c>
      <c r="EX13" s="72">
        <v>0</v>
      </c>
      <c r="EY13" s="72">
        <v>0</v>
      </c>
      <c r="EZ13" s="72">
        <v>0</v>
      </c>
      <c r="FA13" s="72">
        <v>2</v>
      </c>
      <c r="FB13" s="72">
        <v>2</v>
      </c>
      <c r="FC13" s="72">
        <v>2</v>
      </c>
      <c r="FD13" s="72">
        <v>2</v>
      </c>
      <c r="FE13" s="72">
        <v>4</v>
      </c>
      <c r="FF13" s="72">
        <v>4</v>
      </c>
      <c r="FG13" s="72">
        <v>4</v>
      </c>
      <c r="FH13" s="72">
        <v>6</v>
      </c>
      <c r="FI13" s="72">
        <v>6</v>
      </c>
      <c r="FJ13" s="72">
        <v>6</v>
      </c>
      <c r="FK13" s="72">
        <v>6</v>
      </c>
      <c r="FL13" s="72">
        <v>8</v>
      </c>
      <c r="FM13" s="72">
        <v>8</v>
      </c>
      <c r="FN13" s="72">
        <v>8</v>
      </c>
      <c r="FO13" s="72">
        <v>8</v>
      </c>
      <c r="FP13" s="72">
        <v>10</v>
      </c>
      <c r="FQ13" s="72">
        <v>10</v>
      </c>
      <c r="FR13" s="72">
        <v>10</v>
      </c>
      <c r="FS13" s="72">
        <v>12</v>
      </c>
      <c r="FT13" s="72">
        <v>12</v>
      </c>
      <c r="FU13" s="72">
        <v>12</v>
      </c>
      <c r="FV13" s="72">
        <v>12</v>
      </c>
      <c r="FW13" s="72">
        <v>14</v>
      </c>
      <c r="FX13" s="72">
        <v>14</v>
      </c>
      <c r="FY13" s="72">
        <v>14</v>
      </c>
      <c r="FZ13" s="72">
        <v>16</v>
      </c>
      <c r="GA13" s="72">
        <v>16</v>
      </c>
      <c r="GB13" s="72">
        <v>16</v>
      </c>
      <c r="GC13" s="72">
        <v>16</v>
      </c>
      <c r="GD13" s="72">
        <v>18</v>
      </c>
      <c r="GE13" s="72">
        <v>18</v>
      </c>
      <c r="GF13" s="72">
        <v>18</v>
      </c>
      <c r="GG13" s="72">
        <v>18</v>
      </c>
      <c r="GH13" s="72">
        <v>20</v>
      </c>
      <c r="GI13" s="72">
        <v>20</v>
      </c>
      <c r="GJ13" s="72">
        <v>20</v>
      </c>
      <c r="GK13" s="72">
        <v>22</v>
      </c>
      <c r="GL13" s="72">
        <v>22</v>
      </c>
      <c r="GM13" s="72">
        <v>22</v>
      </c>
      <c r="GN13" s="72">
        <v>22</v>
      </c>
      <c r="GO13" s="72">
        <v>24</v>
      </c>
      <c r="GP13" s="72">
        <v>24</v>
      </c>
      <c r="GQ13" s="72">
        <v>24</v>
      </c>
      <c r="GR13" s="72">
        <v>24</v>
      </c>
      <c r="GS13" s="72">
        <v>26</v>
      </c>
      <c r="GT13" s="72">
        <v>26</v>
      </c>
      <c r="GU13" s="72">
        <v>26</v>
      </c>
      <c r="GV13" s="72"/>
      <c r="GW13" s="72"/>
      <c r="GX13" s="72"/>
      <c r="GY13" s="64" t="s">
        <v>328</v>
      </c>
      <c r="GZ13" s="64">
        <v>0</v>
      </c>
      <c r="HA13" s="64">
        <v>0</v>
      </c>
      <c r="HB13" s="64">
        <v>0</v>
      </c>
      <c r="HC13" s="64">
        <v>0</v>
      </c>
      <c r="HD13" s="64">
        <v>2</v>
      </c>
      <c r="HE13" s="64">
        <v>2</v>
      </c>
      <c r="HF13" s="64">
        <v>2</v>
      </c>
      <c r="HG13" s="64">
        <v>4</v>
      </c>
      <c r="HH13" s="64">
        <v>4</v>
      </c>
      <c r="HI13" s="64">
        <v>4</v>
      </c>
      <c r="HJ13" s="64">
        <v>6</v>
      </c>
      <c r="HK13" s="64">
        <v>6</v>
      </c>
      <c r="HL13" s="64">
        <v>6</v>
      </c>
      <c r="HM13" s="64">
        <v>8</v>
      </c>
      <c r="HN13" s="64">
        <v>8</v>
      </c>
      <c r="HO13" s="64">
        <v>8</v>
      </c>
      <c r="HP13" s="64">
        <v>10</v>
      </c>
      <c r="HQ13" s="64">
        <v>10</v>
      </c>
      <c r="HR13" s="64">
        <v>10</v>
      </c>
      <c r="HS13" s="64">
        <v>12</v>
      </c>
      <c r="HT13" s="64">
        <v>12</v>
      </c>
      <c r="HV13" s="64" t="s">
        <v>406</v>
      </c>
      <c r="HW13" s="72">
        <v>0</v>
      </c>
      <c r="HX13" s="72">
        <v>0</v>
      </c>
      <c r="HY13" s="72">
        <v>0</v>
      </c>
      <c r="HZ13" s="72">
        <v>2</v>
      </c>
      <c r="IA13" s="72">
        <v>2</v>
      </c>
      <c r="IB13" s="72">
        <v>4</v>
      </c>
      <c r="IC13" s="72">
        <v>4</v>
      </c>
      <c r="ID13" s="72">
        <v>6</v>
      </c>
      <c r="IE13" s="72">
        <v>8</v>
      </c>
      <c r="IF13" s="72">
        <v>8</v>
      </c>
      <c r="IG13" s="72">
        <v>10</v>
      </c>
      <c r="IH13" s="72">
        <v>10</v>
      </c>
      <c r="II13" s="72">
        <v>12</v>
      </c>
      <c r="IJ13" s="72">
        <v>12</v>
      </c>
      <c r="IK13" s="72">
        <v>14</v>
      </c>
      <c r="IL13" s="72">
        <v>14</v>
      </c>
      <c r="IM13" s="72">
        <v>16</v>
      </c>
      <c r="IN13" s="72">
        <v>16</v>
      </c>
      <c r="IO13" s="72">
        <v>18</v>
      </c>
      <c r="IP13" s="72">
        <v>18</v>
      </c>
      <c r="IQ13" s="72">
        <v>20</v>
      </c>
      <c r="IS13" s="64" t="s">
        <v>406</v>
      </c>
      <c r="IT13" s="64">
        <f t="shared" si="42"/>
        <v>0</v>
      </c>
      <c r="IU13" s="64">
        <f t="shared" si="43"/>
        <v>0</v>
      </c>
      <c r="IV13" s="64">
        <f t="shared" si="44"/>
        <v>0</v>
      </c>
      <c r="IW13" s="64">
        <f t="shared" si="45"/>
        <v>4</v>
      </c>
      <c r="IX13" s="64">
        <f t="shared" si="46"/>
        <v>4</v>
      </c>
      <c r="IY13" s="64">
        <f t="shared" si="47"/>
        <v>8</v>
      </c>
      <c r="IZ13" s="64">
        <f t="shared" si="48"/>
        <v>8</v>
      </c>
      <c r="JA13" s="64">
        <f t="shared" si="49"/>
        <v>12</v>
      </c>
      <c r="JB13" s="64">
        <f t="shared" si="50"/>
        <v>16</v>
      </c>
      <c r="JC13" s="64">
        <f t="shared" si="51"/>
        <v>16</v>
      </c>
      <c r="JD13" s="64">
        <f t="shared" si="52"/>
        <v>20</v>
      </c>
      <c r="JE13" s="64">
        <f t="shared" si="53"/>
        <v>20</v>
      </c>
      <c r="JF13" s="64">
        <f t="shared" si="54"/>
        <v>24</v>
      </c>
      <c r="JG13" s="64">
        <f t="shared" si="55"/>
        <v>24</v>
      </c>
      <c r="JH13" s="64">
        <f t="shared" si="56"/>
        <v>28</v>
      </c>
      <c r="JI13" s="64">
        <f t="shared" si="57"/>
        <v>28</v>
      </c>
      <c r="JJ13" s="64">
        <f t="shared" si="58"/>
        <v>32</v>
      </c>
      <c r="JK13" s="64">
        <f t="shared" si="59"/>
        <v>32</v>
      </c>
      <c r="JL13" s="64">
        <f t="shared" si="60"/>
        <v>36</v>
      </c>
      <c r="JM13" s="64">
        <f t="shared" si="61"/>
        <v>36</v>
      </c>
      <c r="JN13" s="64">
        <f t="shared" si="62"/>
        <v>40</v>
      </c>
      <c r="JQ13" s="88"/>
      <c r="KG13" s="88"/>
    </row>
    <row r="14" spans="1:300" x14ac:dyDescent="0.25">
      <c r="A14" s="8"/>
      <c r="B14" s="5" t="s">
        <v>61</v>
      </c>
      <c r="C14" s="8"/>
      <c r="D14" s="44" t="s">
        <v>575</v>
      </c>
      <c r="E14" s="9"/>
      <c r="F14" s="9"/>
      <c r="G14" s="85"/>
      <c r="H14" s="9"/>
      <c r="I14" s="9"/>
      <c r="J14" s="9"/>
      <c r="K14" s="9"/>
      <c r="L14" s="6" t="str">
        <f>IF(E6=$Z$2,"SGKFM10X20PV",IF(E6=$Z$3,"-------",IF(E6=$Z$4,"-------",IF(E6=$Z$5,"SMDP6,0X25E",0))))</f>
        <v>SGKFM10X20PV</v>
      </c>
      <c r="M14" s="11">
        <f>INDEX(cenník!$C$2:$I$568,MATCH($L14,cenník!$B$2:$B$557,0),MATCH(M$2,cenník!$C$1:$I$1,0))</f>
        <v>651643</v>
      </c>
      <c r="N14" s="11" t="str">
        <f>INDEX(cenník!$C$2:$I$568,MATCH($L14,cenník!$B$2:$B$557,0),MATCH(N$2,cenník!$C$1:$I$1,0))</f>
        <v>100ks</v>
      </c>
      <c r="O14" s="11">
        <f>IF(E6=$Z$2,ROUNDUP((O3*0)/100,0),IF(E6=$Z$3,0,IF(E6=$Z$4,0,IF(E6=$Z$5,O13*4,0))))</f>
        <v>0</v>
      </c>
      <c r="P14" s="36">
        <f>INDEX(cenník!$C$2:$I$568,MATCH($L14,cenník!$B$2:$B$557,0),MATCH(P$2,cenník!$C$1:$I$1,0))</f>
        <v>49.87</v>
      </c>
      <c r="Q14" s="36">
        <f t="shared" si="38"/>
        <v>0</v>
      </c>
      <c r="R14" s="37">
        <f t="shared" si="2"/>
        <v>0</v>
      </c>
      <c r="S14" s="36">
        <f t="shared" si="39"/>
        <v>49.87</v>
      </c>
      <c r="T14" s="36">
        <f t="shared" si="40"/>
        <v>0</v>
      </c>
      <c r="U14" s="36">
        <f>INDEX(cenník!$C$2:$I$568,MATCH($L14,cenník!$B$2:$B$557,0),MATCH(U$2,cenník!$C$1:$I$1,0))*O14</f>
        <v>0</v>
      </c>
      <c r="V14" s="72"/>
      <c r="W14" s="85">
        <f t="shared" si="0"/>
        <v>0</v>
      </c>
      <c r="X14" s="72" t="s">
        <v>58</v>
      </c>
      <c r="Y14" s="72">
        <v>2000</v>
      </c>
      <c r="Z14" s="72" t="s">
        <v>210</v>
      </c>
      <c r="AA14" s="72">
        <v>1910</v>
      </c>
      <c r="AB14" s="72"/>
      <c r="AC14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4,$GB$80:$GV$80,0),MATCH($E$3,$X$7:$X$24,0))</f>
        <v>0</v>
      </c>
      <c r="AD14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4,$GB$80:$GV$80,0),MATCH($E$3,$X$7:$X$24,0))</f>
        <v>0</v>
      </c>
      <c r="AE14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4,$GB$80:$GV$80,0),MATCH($E$3,$X$7:$X$24,0))</f>
        <v>0</v>
      </c>
      <c r="AF14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4,$GB$80:$GV$80,0),MATCH($E$3,$X$7:$X$24,0)))*C4</f>
        <v>0</v>
      </c>
      <c r="AG14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4,$GB$80:$GV$80,0),MATCH($E$3,$X$7:$X$24,0)))*C4</f>
        <v>0</v>
      </c>
      <c r="AH14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4,$GB$80:$GV$80,0),MATCH($E$3,$X$7:$X$24,0)))*C4</f>
        <v>0</v>
      </c>
      <c r="AI14" s="72">
        <f t="shared" si="63"/>
        <v>0</v>
      </c>
      <c r="AJ14" s="72">
        <f t="shared" si="64"/>
        <v>0</v>
      </c>
      <c r="AK14" s="72">
        <f t="shared" si="65"/>
        <v>0</v>
      </c>
      <c r="AL14" s="72" t="s">
        <v>11</v>
      </c>
      <c r="AM14" s="72">
        <v>0</v>
      </c>
      <c r="AN14" s="72">
        <v>0</v>
      </c>
      <c r="AO14" s="72">
        <v>0</v>
      </c>
      <c r="AP14" s="72">
        <v>0</v>
      </c>
      <c r="AQ14" s="72">
        <v>0</v>
      </c>
      <c r="AR14" s="72">
        <v>0</v>
      </c>
      <c r="AS14" s="72">
        <v>0</v>
      </c>
      <c r="AT14" s="72">
        <v>0</v>
      </c>
      <c r="AU14" s="72">
        <v>2</v>
      </c>
      <c r="AV14" s="72">
        <v>0</v>
      </c>
      <c r="AW14" s="72">
        <v>0</v>
      </c>
      <c r="AX14" s="72">
        <v>0</v>
      </c>
      <c r="AY14" s="72">
        <v>0</v>
      </c>
      <c r="AZ14" s="72">
        <v>4</v>
      </c>
      <c r="BA14" s="72">
        <v>2</v>
      </c>
      <c r="BB14" s="72">
        <v>0</v>
      </c>
      <c r="BC14" s="72">
        <v>2</v>
      </c>
      <c r="BD14" s="72">
        <v>0</v>
      </c>
      <c r="BE14" s="72">
        <v>0</v>
      </c>
      <c r="BF14" s="72">
        <v>4</v>
      </c>
      <c r="BG14" s="72">
        <v>2</v>
      </c>
      <c r="BH14" s="72">
        <v>0</v>
      </c>
      <c r="BI14" s="72">
        <v>0</v>
      </c>
      <c r="BJ14" s="72">
        <v>2</v>
      </c>
      <c r="BK14" s="72">
        <v>0</v>
      </c>
      <c r="BL14" s="72">
        <v>0</v>
      </c>
      <c r="BM14" s="72">
        <v>0</v>
      </c>
      <c r="BN14" s="72">
        <v>0</v>
      </c>
      <c r="BO14" s="72">
        <v>4</v>
      </c>
      <c r="BP14" s="72">
        <v>2</v>
      </c>
      <c r="BQ14" s="72">
        <v>0</v>
      </c>
      <c r="BR14" s="72">
        <v>2</v>
      </c>
      <c r="BS14" s="72">
        <v>0</v>
      </c>
      <c r="BT14" s="72">
        <v>0</v>
      </c>
      <c r="BU14" s="72">
        <v>2</v>
      </c>
      <c r="BV14" s="72">
        <v>0</v>
      </c>
      <c r="BW14" s="72">
        <v>0</v>
      </c>
      <c r="BX14" s="72">
        <v>0</v>
      </c>
      <c r="BY14" s="72">
        <v>0</v>
      </c>
      <c r="BZ14" s="72">
        <v>0</v>
      </c>
      <c r="CA14" s="72">
        <v>0</v>
      </c>
      <c r="CB14" s="72">
        <v>0</v>
      </c>
      <c r="CC14" s="72">
        <v>0</v>
      </c>
      <c r="CD14" s="72">
        <v>0</v>
      </c>
      <c r="CE14" s="72">
        <v>0</v>
      </c>
      <c r="CF14" s="72">
        <v>0</v>
      </c>
      <c r="CG14" s="72">
        <v>0</v>
      </c>
      <c r="CH14" s="72">
        <v>0</v>
      </c>
      <c r="CI14" s="72">
        <v>0</v>
      </c>
      <c r="CJ14" s="72">
        <v>0</v>
      </c>
      <c r="CK14" s="72">
        <v>0</v>
      </c>
      <c r="CL14" s="72"/>
      <c r="CM14" s="72"/>
      <c r="CN14" s="72">
        <v>57.19</v>
      </c>
      <c r="CO14" s="72">
        <v>62.51</v>
      </c>
      <c r="CP14" s="85">
        <v>63.3</v>
      </c>
      <c r="CQ14" s="72">
        <v>64.38</v>
      </c>
      <c r="CR14" s="85">
        <v>65.8</v>
      </c>
      <c r="CS14" s="85">
        <v>67.22</v>
      </c>
      <c r="CT14" s="85">
        <v>68.349999999999994</v>
      </c>
      <c r="CU14" s="85">
        <v>69.900000000000006</v>
      </c>
      <c r="CV14" s="85">
        <v>71.8</v>
      </c>
      <c r="CW14" s="72">
        <v>72.52</v>
      </c>
      <c r="CX14" s="72">
        <v>73.2</v>
      </c>
      <c r="CY14" s="72"/>
      <c r="CZ14" s="72"/>
      <c r="DA14" s="72"/>
      <c r="DB14" s="72"/>
      <c r="DC14" s="72"/>
      <c r="DD14" s="72"/>
      <c r="DE14" s="72"/>
      <c r="DF14" s="72"/>
      <c r="DG14" s="72"/>
      <c r="DH14" s="72"/>
      <c r="DI14" s="72"/>
      <c r="DJ14" s="72"/>
      <c r="DK14" s="72"/>
      <c r="DL14" s="72"/>
      <c r="DM14" s="72"/>
      <c r="DN14" s="72"/>
      <c r="DO14" s="72"/>
      <c r="DP14" s="72"/>
      <c r="DQ14" s="72"/>
      <c r="DR14" s="72"/>
      <c r="DS14" s="72"/>
      <c r="DT14" s="72"/>
      <c r="DU14" s="72"/>
      <c r="DV14" s="72"/>
      <c r="DW14" s="72"/>
      <c r="DX14" s="72"/>
      <c r="DY14" s="72"/>
      <c r="DZ14" s="81">
        <v>13</v>
      </c>
      <c r="EA14" s="81">
        <v>26</v>
      </c>
      <c r="EB14" s="81"/>
      <c r="EC14" s="72"/>
      <c r="ED14" s="72"/>
      <c r="EE14" s="72"/>
      <c r="EF14" s="72"/>
      <c r="EG14" s="72"/>
      <c r="EH14" s="72"/>
      <c r="EI14" s="72"/>
      <c r="EJ14" s="72"/>
      <c r="EK14" s="72"/>
      <c r="EL14" s="72"/>
      <c r="EM14" s="72"/>
      <c r="EN14" s="72"/>
      <c r="EO14" s="82" t="s">
        <v>120</v>
      </c>
      <c r="EP14" s="82" t="s">
        <v>121</v>
      </c>
      <c r="EQ14" s="82" t="s">
        <v>194</v>
      </c>
      <c r="ER14" s="82" t="s">
        <v>122</v>
      </c>
      <c r="ES14" s="88" t="s">
        <v>123</v>
      </c>
      <c r="ET14" s="88"/>
      <c r="EU14" s="88"/>
      <c r="EV14" s="72"/>
      <c r="EW14" s="72"/>
      <c r="EX14" s="72"/>
      <c r="EY14" s="72"/>
      <c r="EZ14" s="72"/>
      <c r="FA14" s="72"/>
      <c r="FB14" s="72"/>
      <c r="FC14" s="72"/>
      <c r="FD14" s="72"/>
      <c r="FE14" s="72"/>
      <c r="FF14" s="72"/>
      <c r="FG14" s="72"/>
      <c r="FH14" s="72"/>
      <c r="FI14" s="72"/>
      <c r="FJ14" s="72"/>
      <c r="FK14" s="72"/>
      <c r="FL14" s="72"/>
      <c r="FM14" s="72"/>
      <c r="FN14" s="72"/>
      <c r="FO14" s="72"/>
      <c r="FP14" s="72"/>
      <c r="FQ14" s="72"/>
      <c r="FR14" s="72"/>
      <c r="FS14" s="72"/>
      <c r="FT14" s="72"/>
      <c r="FU14" s="72"/>
      <c r="FV14" s="72"/>
      <c r="FW14" s="72"/>
      <c r="FX14" s="72"/>
      <c r="FY14" s="72"/>
      <c r="FZ14" s="72"/>
      <c r="GA14" s="72"/>
      <c r="GB14" s="72"/>
      <c r="GC14" s="72"/>
      <c r="GD14" s="72"/>
      <c r="GE14" s="72"/>
      <c r="GF14" s="72"/>
      <c r="GG14" s="72"/>
      <c r="GH14" s="72"/>
      <c r="GI14" s="72"/>
      <c r="GJ14" s="72"/>
      <c r="GK14" s="72"/>
      <c r="GL14" s="72"/>
      <c r="GM14" s="72"/>
      <c r="GN14" s="72"/>
      <c r="GO14" s="72"/>
      <c r="GP14" s="72"/>
      <c r="GQ14" s="72"/>
      <c r="GR14" s="72"/>
      <c r="GS14" s="72"/>
      <c r="GT14" s="72"/>
      <c r="GU14" s="72"/>
      <c r="GV14" s="72"/>
      <c r="GW14" s="72"/>
      <c r="GX14" s="72"/>
      <c r="HW14" s="72"/>
      <c r="HX14" s="72"/>
      <c r="HY14" s="72"/>
      <c r="HZ14" s="72"/>
      <c r="IA14" s="72"/>
      <c r="IB14" s="72"/>
      <c r="IC14" s="72"/>
      <c r="ID14" s="72"/>
      <c r="IE14" s="72"/>
      <c r="IF14" s="72"/>
      <c r="IG14" s="72"/>
      <c r="IH14" s="72"/>
      <c r="II14" s="72"/>
      <c r="IJ14" s="72"/>
      <c r="IK14" s="72"/>
      <c r="IL14" s="72"/>
      <c r="IM14" s="72"/>
      <c r="IN14" s="72"/>
      <c r="IO14" s="72"/>
      <c r="IP14" s="72"/>
      <c r="IQ14" s="72"/>
      <c r="JQ14" s="88"/>
      <c r="KG14" s="88"/>
    </row>
    <row r="15" spans="1:300" x14ac:dyDescent="0.25">
      <c r="A15" s="8"/>
      <c r="B15" s="5" t="s">
        <v>61</v>
      </c>
      <c r="C15" s="8"/>
      <c r="D15" s="9"/>
      <c r="E15" s="9"/>
      <c r="F15" s="9"/>
      <c r="G15" s="85"/>
      <c r="H15" s="9"/>
      <c r="I15" s="9"/>
      <c r="J15" s="9"/>
      <c r="K15" s="9"/>
      <c r="L15" s="6" t="s">
        <v>19</v>
      </c>
      <c r="M15" s="11">
        <f>INDEX(cenník!$C$2:$I$568,MATCH($L15,cenník!$B$2:$B$557,0),MATCH(M$2,cenník!$C$1:$I$1,0))</f>
        <v>6506513</v>
      </c>
      <c r="N15" s="11" t="str">
        <f>INDEX(cenník!$C$2:$I$568,MATCH($L15,cenník!$B$2:$B$557,0),MATCH(N$2,cenník!$C$1:$I$1,0))</f>
        <v>ks</v>
      </c>
      <c r="O15" s="11">
        <f>SUM(O4:O5)+E9</f>
        <v>0</v>
      </c>
      <c r="P15" s="36">
        <f>INDEX(cenník!$C$2:$I$568,MATCH($L15,cenník!$B$2:$B$557,0),MATCH(P$2,cenník!$C$1:$I$1,0))</f>
        <v>1.46</v>
      </c>
      <c r="Q15" s="36">
        <f t="shared" si="38"/>
        <v>0</v>
      </c>
      <c r="R15" s="37">
        <f t="shared" si="2"/>
        <v>0</v>
      </c>
      <c r="S15" s="36">
        <f t="shared" si="39"/>
        <v>1.46</v>
      </c>
      <c r="T15" s="36">
        <f t="shared" si="40"/>
        <v>0</v>
      </c>
      <c r="U15" s="36">
        <f>INDEX(cenník!$C$2:$I$568,MATCH($L15,cenník!$B$2:$B$557,0),MATCH(U$2,cenník!$C$1:$I$1,0))*O15</f>
        <v>0</v>
      </c>
      <c r="V15" s="72"/>
      <c r="W15" s="85">
        <f t="shared" si="0"/>
        <v>0</v>
      </c>
      <c r="X15" s="72" t="s">
        <v>71</v>
      </c>
      <c r="Y15" s="72">
        <v>2050</v>
      </c>
      <c r="Z15" s="72" t="s">
        <v>211</v>
      </c>
      <c r="AA15" s="64">
        <v>1942</v>
      </c>
      <c r="AB15" s="64">
        <f>IF($E$3=$Z$7,$AA$7,IF($E$3=$Z$8,$AA$8,IF($E$3=$Z$9,$AA$9,IF($E$3=$Z$10,$AA$10,IF($E$3=$Z$11,$AA$11,IF($E$3=$Z$12,$AA$12,IF($E$3=$Z$13,$AA$13,IF($E$3=$Z$14,$AA$14,IF($E$3=$Z$15,$AA$15,IF($E$3=$Z$16,$AA$16,IF($E$3=$Z$17,$AA$17,IF($E$3=$Z$18,$AA$18,IF($E$3=$Z$19,$AA$19,0)))))))))))))</f>
        <v>0</v>
      </c>
      <c r="AC1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5,$GB$80:$GV$80,0),MATCH($E$3,$X$7:$X$24,0))</f>
        <v>0</v>
      </c>
      <c r="AD1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5,$GB$80:$GV$80,0),MATCH($E$3,$X$7:$X$24,0))</f>
        <v>0</v>
      </c>
      <c r="AE1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5,$GB$80:$GV$80,0),MATCH($E$3,$X$7:$X$24,0))</f>
        <v>0</v>
      </c>
      <c r="AF1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5,$GB$80:$GV$80,0),MATCH($E$3,$X$7:$X$24,0)))*C5</f>
        <v>0</v>
      </c>
      <c r="AG1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5,$GB$80:$GV$80,0),MATCH($E$3,$X$7:$X$24,0)))*C5</f>
        <v>0</v>
      </c>
      <c r="AH1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5,$GB$80:$GV$80,0),MATCH($E$3,$X$7:$X$24,0)))*C5</f>
        <v>0</v>
      </c>
      <c r="AI15" s="72">
        <f t="shared" si="63"/>
        <v>0</v>
      </c>
      <c r="AJ15" s="72">
        <f t="shared" si="64"/>
        <v>0</v>
      </c>
      <c r="AK15" s="72">
        <f t="shared" si="65"/>
        <v>0</v>
      </c>
      <c r="AL15" s="72" t="s">
        <v>64</v>
      </c>
      <c r="AM15" s="72">
        <v>0</v>
      </c>
      <c r="AN15" s="72">
        <v>0</v>
      </c>
      <c r="AO15" s="72">
        <v>2</v>
      </c>
      <c r="AP15" s="72">
        <v>0</v>
      </c>
      <c r="AQ15" s="72">
        <v>4</v>
      </c>
      <c r="AR15" s="72">
        <v>2</v>
      </c>
      <c r="AS15" s="72">
        <v>0</v>
      </c>
      <c r="AT15" s="72">
        <v>4</v>
      </c>
      <c r="AU15" s="72">
        <v>0</v>
      </c>
      <c r="AV15" s="72">
        <v>0</v>
      </c>
      <c r="AW15" s="72">
        <v>4</v>
      </c>
      <c r="AX15" s="72">
        <v>2</v>
      </c>
      <c r="AY15" s="72">
        <v>0</v>
      </c>
      <c r="AZ15" s="72">
        <v>0</v>
      </c>
      <c r="BA15" s="72">
        <v>0</v>
      </c>
      <c r="BB15" s="72">
        <v>0</v>
      </c>
      <c r="BC15" s="72">
        <v>2</v>
      </c>
      <c r="BD15" s="72">
        <v>2</v>
      </c>
      <c r="BE15" s="72">
        <v>0</v>
      </c>
      <c r="BF15" s="72">
        <v>0</v>
      </c>
      <c r="BG15" s="72">
        <v>0</v>
      </c>
      <c r="BH15" s="72">
        <v>0</v>
      </c>
      <c r="BI15" s="72">
        <v>4</v>
      </c>
      <c r="BJ15" s="72">
        <v>0</v>
      </c>
      <c r="BK15" s="72">
        <v>0</v>
      </c>
      <c r="BL15" s="72">
        <v>4</v>
      </c>
      <c r="BM15" s="72">
        <v>2</v>
      </c>
      <c r="BN15" s="72">
        <v>0</v>
      </c>
      <c r="BO15" s="72">
        <v>0</v>
      </c>
      <c r="BP15" s="72">
        <v>0</v>
      </c>
      <c r="BQ15" s="72">
        <v>0</v>
      </c>
      <c r="BR15" s="72">
        <v>2</v>
      </c>
      <c r="BS15" s="72">
        <v>2</v>
      </c>
      <c r="BT15" s="72">
        <v>0</v>
      </c>
      <c r="BU15" s="72">
        <v>0</v>
      </c>
      <c r="BV15" s="72">
        <v>0</v>
      </c>
      <c r="BW15" s="72">
        <v>0</v>
      </c>
      <c r="BX15" s="72">
        <v>2</v>
      </c>
      <c r="BY15" s="72">
        <v>0</v>
      </c>
      <c r="BZ15" s="72">
        <v>0</v>
      </c>
      <c r="CA15" s="72">
        <v>0</v>
      </c>
      <c r="CB15" s="72">
        <v>2</v>
      </c>
      <c r="CC15" s="72">
        <v>0</v>
      </c>
      <c r="CD15" s="72">
        <v>0</v>
      </c>
      <c r="CE15" s="72">
        <v>0</v>
      </c>
      <c r="CF15" s="72">
        <v>0</v>
      </c>
      <c r="CG15" s="72">
        <v>0</v>
      </c>
      <c r="CH15" s="72">
        <v>0</v>
      </c>
      <c r="CI15" s="72">
        <v>0</v>
      </c>
      <c r="CJ15" s="72">
        <v>0</v>
      </c>
      <c r="CK15" s="72">
        <v>2</v>
      </c>
      <c r="CL15" s="72"/>
      <c r="CM15" s="72"/>
      <c r="CN15" s="82" t="s">
        <v>120</v>
      </c>
      <c r="CO15" s="82" t="s">
        <v>121</v>
      </c>
      <c r="CP15" s="82" t="s">
        <v>206</v>
      </c>
      <c r="CQ15" s="82" t="s">
        <v>194</v>
      </c>
      <c r="CR15" s="88" t="s">
        <v>207</v>
      </c>
      <c r="CS15" s="88" t="s">
        <v>208</v>
      </c>
      <c r="CT15" s="88" t="s">
        <v>209</v>
      </c>
      <c r="CU15" s="88" t="s">
        <v>210</v>
      </c>
      <c r="CV15" s="88" t="s">
        <v>211</v>
      </c>
      <c r="CW15" s="82" t="s">
        <v>122</v>
      </c>
      <c r="CX15" s="82" t="s">
        <v>123</v>
      </c>
      <c r="CY15" s="88" t="s">
        <v>248</v>
      </c>
      <c r="CZ15" s="88" t="s">
        <v>249</v>
      </c>
      <c r="DA15" s="88" t="s">
        <v>250</v>
      </c>
      <c r="DB15" s="88" t="s">
        <v>251</v>
      </c>
      <c r="DC15" s="88" t="s">
        <v>252</v>
      </c>
      <c r="DD15" s="88" t="s">
        <v>253</v>
      </c>
      <c r="DE15" s="88" t="s">
        <v>254</v>
      </c>
      <c r="DF15" s="88" t="s">
        <v>255</v>
      </c>
      <c r="DG15" s="72"/>
      <c r="DH15" s="72"/>
      <c r="DI15" s="72"/>
      <c r="DJ15" s="72"/>
      <c r="DK15" s="72"/>
      <c r="DL15" s="72"/>
      <c r="DM15" s="72"/>
      <c r="DN15" s="72"/>
      <c r="DO15" s="72"/>
      <c r="DP15" s="72"/>
      <c r="DQ15" s="72"/>
      <c r="DR15" s="72"/>
      <c r="DS15" s="72"/>
      <c r="DT15" s="72"/>
      <c r="DU15" s="72"/>
      <c r="DV15" s="72"/>
      <c r="DW15" s="72"/>
      <c r="DX15" s="72"/>
      <c r="DY15" s="72"/>
      <c r="DZ15" s="81">
        <v>14</v>
      </c>
      <c r="EA15" s="81">
        <v>28</v>
      </c>
      <c r="EB15" s="81"/>
      <c r="EC15" s="72"/>
      <c r="ED15" s="72"/>
      <c r="EE15" s="72"/>
      <c r="EF15" s="72"/>
      <c r="EG15" s="72"/>
      <c r="EH15" s="72"/>
      <c r="EI15" s="72"/>
      <c r="EJ15" s="72"/>
      <c r="EK15" s="72"/>
      <c r="EL15" s="72"/>
      <c r="EM15" s="72"/>
      <c r="EN15" s="72"/>
      <c r="EO15" s="72"/>
      <c r="EP15" s="72"/>
      <c r="EQ15" s="72"/>
      <c r="ER15" s="72"/>
      <c r="ES15" s="72"/>
      <c r="ET15" s="72"/>
      <c r="EU15" s="72"/>
      <c r="EV15" s="72" t="s">
        <v>60</v>
      </c>
      <c r="EW15" s="72"/>
      <c r="EX15" s="72"/>
      <c r="EY15" s="72"/>
      <c r="EZ15" s="72"/>
      <c r="FA15" s="72"/>
      <c r="FB15" s="72"/>
      <c r="FC15" s="72"/>
      <c r="FD15" s="72"/>
      <c r="FE15" s="72"/>
      <c r="FF15" s="72"/>
      <c r="FG15" s="72"/>
      <c r="FH15" s="72"/>
      <c r="FI15" s="72"/>
      <c r="FJ15" s="72"/>
      <c r="FK15" s="72"/>
      <c r="FL15" s="72"/>
      <c r="FM15" s="72"/>
      <c r="FN15" s="72"/>
      <c r="FO15" s="72"/>
      <c r="FP15" s="72"/>
      <c r="FQ15" s="72"/>
      <c r="FR15" s="72"/>
      <c r="FS15" s="72"/>
      <c r="FT15" s="72"/>
      <c r="FU15" s="72"/>
      <c r="FV15" s="72"/>
      <c r="FW15" s="72"/>
      <c r="FX15" s="72"/>
      <c r="FY15" s="72"/>
      <c r="FZ15" s="72"/>
      <c r="GA15" s="72"/>
      <c r="GB15" s="72"/>
      <c r="GC15" s="72"/>
      <c r="GD15" s="72"/>
      <c r="GE15" s="72"/>
      <c r="GF15" s="72"/>
      <c r="GG15" s="72"/>
      <c r="GH15" s="72"/>
      <c r="GI15" s="72"/>
      <c r="GJ15" s="72"/>
      <c r="GK15" s="72"/>
      <c r="GL15" s="72"/>
      <c r="GM15" s="72"/>
      <c r="GN15" s="72"/>
      <c r="GO15" s="72"/>
      <c r="GP15" s="72"/>
      <c r="GQ15" s="72"/>
      <c r="GR15" s="72"/>
      <c r="GS15" s="72"/>
      <c r="GT15" s="72"/>
      <c r="GU15" s="72"/>
      <c r="GV15" s="72"/>
      <c r="GW15" s="72"/>
      <c r="GX15" s="72"/>
      <c r="GY15" s="64" t="s">
        <v>199</v>
      </c>
      <c r="HU15" s="124"/>
      <c r="HV15" s="83" t="s">
        <v>67</v>
      </c>
      <c r="HW15" s="72"/>
      <c r="HX15" s="72"/>
      <c r="HY15" s="72"/>
      <c r="HZ15" s="72"/>
      <c r="IA15" s="72"/>
      <c r="IB15" s="72"/>
      <c r="IC15" s="72"/>
      <c r="ID15" s="72"/>
      <c r="IE15" s="72"/>
      <c r="IF15" s="72"/>
      <c r="IG15" s="72"/>
      <c r="IH15" s="72"/>
      <c r="II15" s="72"/>
      <c r="IJ15" s="72"/>
      <c r="IK15" s="72"/>
      <c r="IL15" s="72"/>
      <c r="IM15" s="72"/>
      <c r="IN15" s="72"/>
      <c r="IO15" s="72"/>
      <c r="IP15" s="72"/>
      <c r="IQ15" s="72"/>
      <c r="IS15" s="64" t="s">
        <v>67</v>
      </c>
      <c r="KG15" s="88"/>
    </row>
    <row r="16" spans="1:300" x14ac:dyDescent="0.25">
      <c r="A16" s="8"/>
      <c r="B16" s="5" t="s">
        <v>61</v>
      </c>
      <c r="C16" s="8"/>
      <c r="D16" s="9"/>
      <c r="E16" s="9"/>
      <c r="F16" s="9"/>
      <c r="G16" s="85"/>
      <c r="H16" s="9"/>
      <c r="I16" s="9"/>
      <c r="J16" s="9"/>
      <c r="K16" s="9"/>
      <c r="L16" s="6" t="str">
        <f>IF(E4="štandardné","PUP",IF(E4="klik","PUPK",0))</f>
        <v>PUPK</v>
      </c>
      <c r="M16" s="11">
        <f>INDEX(cenník!$C$2:$I$568,MATCH($L16,cenník!$B$2:$B$557,0),MATCH(M$2,cenník!$C$1:$I$1,0))</f>
        <v>897304</v>
      </c>
      <c r="N16" s="11" t="str">
        <f>INDEX(cenník!$C$2:$I$568,MATCH($L16,cenník!$B$2:$B$557,0),MATCH(N$2,cenník!$C$1:$I$1,0))</f>
        <v>ks</v>
      </c>
      <c r="O16" s="11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16" s="36">
        <f>INDEX(cenník!$C$2:$I$568,MATCH($L16,cenník!$B$2:$B$557,0),MATCH(P$2,cenník!$C$1:$I$1,0))</f>
        <v>0.83</v>
      </c>
      <c r="Q16" s="36">
        <f t="shared" ref="Q16:Q21" si="66">O16*P16</f>
        <v>0</v>
      </c>
      <c r="R16" s="37">
        <f t="shared" si="2"/>
        <v>0</v>
      </c>
      <c r="S16" s="36">
        <f t="shared" ref="S16:S21" si="67">P16*((100-$E$8)/100)</f>
        <v>0.83</v>
      </c>
      <c r="T16" s="36">
        <f t="shared" ref="T16:T21" si="68">O16*S16</f>
        <v>0</v>
      </c>
      <c r="U16" s="36">
        <f>INDEX(cenník!$C$2:$I$568,MATCH($L16,cenník!$B$2:$B$557,0),MATCH(U$2,cenník!$C$1:$I$1,0))*O16</f>
        <v>0</v>
      </c>
      <c r="V16" s="72"/>
      <c r="W16" s="85">
        <f t="shared" si="0"/>
        <v>0</v>
      </c>
      <c r="X16" s="72" t="s">
        <v>72</v>
      </c>
      <c r="Y16" s="72">
        <v>2100</v>
      </c>
      <c r="Z16" s="72" t="s">
        <v>122</v>
      </c>
      <c r="AA16" s="72">
        <v>1980</v>
      </c>
      <c r="AB16" s="72"/>
      <c r="AC1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6,$GB$80:$GV$80,0),MATCH($E$3,$X$7:$X$24,0))</f>
        <v>0</v>
      </c>
      <c r="AD1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6,$GB$80:$GV$80,0),MATCH($E$3,$X$7:$X$24,0))</f>
        <v>0</v>
      </c>
      <c r="AE1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6,$GB$80:$GV$80,0),MATCH($E$3,$X$7:$X$24,0))</f>
        <v>0</v>
      </c>
      <c r="AF1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6,$GB$80:$GV$80,0),MATCH($E$3,$X$7:$X$24,0)))*C6</f>
        <v>0</v>
      </c>
      <c r="AG1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6,$GB$80:$GV$80,0),MATCH($E$3,$X$7:$X$24,0)))*C6</f>
        <v>0</v>
      </c>
      <c r="AH1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6,$GB$80:$GV$80,0),MATCH($E$3,$X$7:$X$24,0)))*C6</f>
        <v>0</v>
      </c>
      <c r="AI16" s="72">
        <f t="shared" si="63"/>
        <v>0</v>
      </c>
      <c r="AJ16" s="72">
        <f t="shared" si="64"/>
        <v>0</v>
      </c>
      <c r="AK16" s="72">
        <f t="shared" si="65"/>
        <v>0</v>
      </c>
      <c r="AL16" s="72" t="s">
        <v>14</v>
      </c>
      <c r="AM16" s="72">
        <v>0</v>
      </c>
      <c r="AN16" s="72">
        <v>0</v>
      </c>
      <c r="AO16" s="72">
        <v>0</v>
      </c>
      <c r="AP16" s="72">
        <v>0</v>
      </c>
      <c r="AQ16" s="72">
        <v>0</v>
      </c>
      <c r="AR16" s="72">
        <v>0</v>
      </c>
      <c r="AS16" s="72">
        <v>0</v>
      </c>
      <c r="AT16" s="72">
        <v>2</v>
      </c>
      <c r="AU16" s="72">
        <v>0</v>
      </c>
      <c r="AV16" s="72">
        <v>2</v>
      </c>
      <c r="AW16" s="72">
        <v>2</v>
      </c>
      <c r="AX16" s="72">
        <v>2</v>
      </c>
      <c r="AY16" s="72">
        <v>4</v>
      </c>
      <c r="AZ16" s="72">
        <v>0</v>
      </c>
      <c r="BA16" s="72">
        <v>2</v>
      </c>
      <c r="BB16" s="72">
        <v>4</v>
      </c>
      <c r="BC16" s="72">
        <v>2</v>
      </c>
      <c r="BD16" s="72">
        <v>6</v>
      </c>
      <c r="BE16" s="72">
        <v>4</v>
      </c>
      <c r="BF16" s="72">
        <v>2</v>
      </c>
      <c r="BG16" s="72">
        <v>4</v>
      </c>
      <c r="BH16" s="72">
        <v>6</v>
      </c>
      <c r="BI16" s="72">
        <v>8</v>
      </c>
      <c r="BJ16" s="72">
        <v>4</v>
      </c>
      <c r="BK16" s="72">
        <v>6</v>
      </c>
      <c r="BL16" s="72">
        <v>6</v>
      </c>
      <c r="BM16" s="72">
        <v>6</v>
      </c>
      <c r="BN16" s="72">
        <v>6</v>
      </c>
      <c r="BO16" s="72">
        <v>4</v>
      </c>
      <c r="BP16" s="72">
        <v>6</v>
      </c>
      <c r="BQ16" s="72">
        <v>8</v>
      </c>
      <c r="BR16" s="72">
        <v>6</v>
      </c>
      <c r="BS16" s="72">
        <v>12</v>
      </c>
      <c r="BT16" s="72">
        <v>8</v>
      </c>
      <c r="BU16" s="72">
        <v>22</v>
      </c>
      <c r="BV16" s="72">
        <v>24</v>
      </c>
      <c r="BW16" s="72">
        <v>10</v>
      </c>
      <c r="BX16" s="72">
        <v>0</v>
      </c>
      <c r="BY16" s="72">
        <v>24</v>
      </c>
      <c r="BZ16" s="72">
        <v>10</v>
      </c>
      <c r="CA16" s="72">
        <v>0</v>
      </c>
      <c r="CB16" s="72">
        <v>10</v>
      </c>
      <c r="CC16" s="72">
        <v>10</v>
      </c>
      <c r="CD16" s="72">
        <v>0</v>
      </c>
      <c r="CE16" s="72">
        <v>26</v>
      </c>
      <c r="CF16" s="72">
        <v>12</v>
      </c>
      <c r="CG16" s="72">
        <v>0</v>
      </c>
      <c r="CH16" s="72">
        <v>4</v>
      </c>
      <c r="CI16" s="72">
        <v>12</v>
      </c>
      <c r="CJ16" s="72">
        <v>0</v>
      </c>
      <c r="CK16" s="72">
        <v>12</v>
      </c>
      <c r="CL16" s="72"/>
      <c r="CM16" s="88">
        <v>10</v>
      </c>
      <c r="CN16" s="72" t="s">
        <v>146</v>
      </c>
      <c r="CO16" s="72" t="s">
        <v>134</v>
      </c>
      <c r="CP16" s="72" t="s">
        <v>212</v>
      </c>
      <c r="CQ16" s="72" t="s">
        <v>143</v>
      </c>
      <c r="CR16" s="72" t="s">
        <v>213</v>
      </c>
      <c r="CS16" s="72" t="s">
        <v>214</v>
      </c>
      <c r="CT16" s="72" t="s">
        <v>215</v>
      </c>
      <c r="CU16" s="72" t="s">
        <v>216</v>
      </c>
      <c r="CV16" s="72" t="s">
        <v>217</v>
      </c>
      <c r="CW16" s="72" t="s">
        <v>137</v>
      </c>
      <c r="CX16" s="72" t="s">
        <v>140</v>
      </c>
      <c r="CY16" s="72" t="s">
        <v>256</v>
      </c>
      <c r="CZ16" s="72" t="s">
        <v>259</v>
      </c>
      <c r="DA16" s="72" t="s">
        <v>262</v>
      </c>
      <c r="DB16" s="72" t="s">
        <v>265</v>
      </c>
      <c r="DC16" s="72" t="s">
        <v>268</v>
      </c>
      <c r="DD16" s="72" t="s">
        <v>271</v>
      </c>
      <c r="DE16" s="72" t="s">
        <v>274</v>
      </c>
      <c r="DF16" s="72" t="s">
        <v>277</v>
      </c>
      <c r="DG16" s="72"/>
      <c r="DH16" s="72"/>
      <c r="DI16" s="72"/>
      <c r="DJ16" s="72"/>
      <c r="DK16" s="72"/>
      <c r="DL16" s="72"/>
      <c r="DM16" s="72"/>
      <c r="DN16" s="72"/>
      <c r="DO16" s="72"/>
      <c r="DP16" s="72"/>
      <c r="DQ16" s="72"/>
      <c r="DR16" s="72"/>
      <c r="DS16" s="72"/>
      <c r="DT16" s="72"/>
      <c r="DU16" s="72"/>
      <c r="DV16" s="72"/>
      <c r="DW16" s="72"/>
      <c r="DX16" s="72"/>
      <c r="DY16" s="72"/>
      <c r="DZ16" s="81">
        <v>15</v>
      </c>
      <c r="EA16" s="81">
        <v>30</v>
      </c>
      <c r="EB16" s="81"/>
      <c r="EC16" s="72"/>
      <c r="ED16" s="72"/>
      <c r="EE16" s="72"/>
      <c r="EF16" s="72"/>
      <c r="EG16" s="72"/>
      <c r="EH16" s="72"/>
      <c r="EI16" s="72"/>
      <c r="EJ16" s="72"/>
      <c r="EK16" s="72"/>
      <c r="EL16" s="72"/>
      <c r="EM16" s="72"/>
      <c r="EN16" s="72"/>
      <c r="EO16" s="72"/>
      <c r="EP16" s="72"/>
      <c r="EQ16" s="72"/>
      <c r="ER16" s="72"/>
      <c r="ES16" s="72"/>
      <c r="ET16" s="72"/>
      <c r="EU16" s="72"/>
      <c r="EV16" s="72"/>
      <c r="EW16" s="72">
        <v>0</v>
      </c>
      <c r="EX16" s="72">
        <v>1</v>
      </c>
      <c r="EY16" s="72">
        <v>2</v>
      </c>
      <c r="EZ16" s="72">
        <v>3</v>
      </c>
      <c r="FA16" s="72">
        <v>4</v>
      </c>
      <c r="FB16" s="72">
        <v>5</v>
      </c>
      <c r="FC16" s="72">
        <v>6</v>
      </c>
      <c r="FD16" s="72">
        <v>7</v>
      </c>
      <c r="FE16" s="72">
        <v>8</v>
      </c>
      <c r="FF16" s="72">
        <v>9</v>
      </c>
      <c r="FG16" s="72">
        <v>10</v>
      </c>
      <c r="FH16" s="72">
        <v>11</v>
      </c>
      <c r="FI16" s="72">
        <v>12</v>
      </c>
      <c r="FJ16" s="72">
        <v>13</v>
      </c>
      <c r="FK16" s="72">
        <v>14</v>
      </c>
      <c r="FL16" s="72">
        <v>15</v>
      </c>
      <c r="FM16" s="72">
        <v>16</v>
      </c>
      <c r="FN16" s="72">
        <v>17</v>
      </c>
      <c r="FO16" s="72">
        <v>18</v>
      </c>
      <c r="FP16" s="72">
        <v>19</v>
      </c>
      <c r="FQ16" s="72">
        <v>20</v>
      </c>
      <c r="FR16" s="72">
        <v>21</v>
      </c>
      <c r="FS16" s="72">
        <v>22</v>
      </c>
      <c r="FT16" s="72">
        <v>23</v>
      </c>
      <c r="FU16" s="72">
        <v>24</v>
      </c>
      <c r="FV16" s="72">
        <v>25</v>
      </c>
      <c r="FW16" s="72">
        <v>26</v>
      </c>
      <c r="FX16" s="72">
        <v>27</v>
      </c>
      <c r="FY16" s="72">
        <v>28</v>
      </c>
      <c r="FZ16" s="72">
        <v>29</v>
      </c>
      <c r="GA16" s="72">
        <v>30</v>
      </c>
      <c r="GB16" s="72">
        <v>31</v>
      </c>
      <c r="GC16" s="72">
        <v>32</v>
      </c>
      <c r="GD16" s="72">
        <v>33</v>
      </c>
      <c r="GE16" s="72">
        <v>34</v>
      </c>
      <c r="GF16" s="72">
        <v>35</v>
      </c>
      <c r="GG16" s="72">
        <v>36</v>
      </c>
      <c r="GH16" s="72">
        <v>37</v>
      </c>
      <c r="GI16" s="72">
        <v>38</v>
      </c>
      <c r="GJ16" s="72">
        <v>39</v>
      </c>
      <c r="GK16" s="72">
        <v>40</v>
      </c>
      <c r="GL16" s="72">
        <v>41</v>
      </c>
      <c r="GM16" s="72">
        <v>42</v>
      </c>
      <c r="GN16" s="72">
        <v>43</v>
      </c>
      <c r="GO16" s="72">
        <v>44</v>
      </c>
      <c r="GP16" s="72">
        <v>45</v>
      </c>
      <c r="GQ16" s="72">
        <v>46</v>
      </c>
      <c r="GR16" s="72">
        <v>47</v>
      </c>
      <c r="GS16" s="72">
        <v>48</v>
      </c>
      <c r="GT16" s="72">
        <v>49</v>
      </c>
      <c r="GU16" s="72">
        <v>50</v>
      </c>
      <c r="GV16" s="72"/>
      <c r="GW16" s="72"/>
      <c r="GX16" s="72"/>
      <c r="GZ16" s="64">
        <v>0</v>
      </c>
      <c r="HA16" s="64">
        <v>1</v>
      </c>
      <c r="HB16" s="64">
        <v>2</v>
      </c>
      <c r="HC16" s="64">
        <v>3</v>
      </c>
      <c r="HD16" s="64">
        <v>4</v>
      </c>
      <c r="HE16" s="64">
        <v>5</v>
      </c>
      <c r="HF16" s="64">
        <v>6</v>
      </c>
      <c r="HG16" s="64">
        <v>7</v>
      </c>
      <c r="HH16" s="64">
        <v>8</v>
      </c>
      <c r="HI16" s="64">
        <v>9</v>
      </c>
      <c r="HJ16" s="64">
        <v>10</v>
      </c>
      <c r="HK16" s="64">
        <v>11</v>
      </c>
      <c r="HL16" s="64">
        <v>12</v>
      </c>
      <c r="HM16" s="64">
        <v>13</v>
      </c>
      <c r="HN16" s="64">
        <v>14</v>
      </c>
      <c r="HO16" s="64">
        <v>15</v>
      </c>
      <c r="HP16" s="64">
        <v>16</v>
      </c>
      <c r="HQ16" s="64">
        <v>17</v>
      </c>
      <c r="HR16" s="64">
        <v>18</v>
      </c>
      <c r="HS16" s="64">
        <v>19</v>
      </c>
      <c r="HT16" s="64">
        <v>20</v>
      </c>
      <c r="HW16" s="72">
        <v>0</v>
      </c>
      <c r="HX16" s="72">
        <v>1</v>
      </c>
      <c r="HY16" s="72">
        <v>2</v>
      </c>
      <c r="HZ16" s="72">
        <v>3</v>
      </c>
      <c r="IA16" s="72">
        <v>4</v>
      </c>
      <c r="IB16" s="72">
        <v>5</v>
      </c>
      <c r="IC16" s="72">
        <v>6</v>
      </c>
      <c r="ID16" s="72">
        <v>7</v>
      </c>
      <c r="IE16" s="72">
        <v>8</v>
      </c>
      <c r="IF16" s="72">
        <v>9</v>
      </c>
      <c r="IG16" s="72">
        <v>10</v>
      </c>
      <c r="IH16" s="72">
        <v>11</v>
      </c>
      <c r="II16" s="72">
        <v>12</v>
      </c>
      <c r="IJ16" s="72">
        <v>13</v>
      </c>
      <c r="IK16" s="72">
        <v>14</v>
      </c>
      <c r="IL16" s="72">
        <v>15</v>
      </c>
      <c r="IM16" s="72">
        <v>16</v>
      </c>
      <c r="IN16" s="72">
        <v>17</v>
      </c>
      <c r="IO16" s="72">
        <v>18</v>
      </c>
      <c r="IP16" s="72">
        <v>19</v>
      </c>
      <c r="IQ16" s="72">
        <v>20</v>
      </c>
      <c r="IT16" s="64">
        <f t="shared" si="42"/>
        <v>0</v>
      </c>
      <c r="IU16" s="64">
        <f t="shared" si="43"/>
        <v>2</v>
      </c>
      <c r="IV16" s="64">
        <f t="shared" si="44"/>
        <v>4</v>
      </c>
      <c r="IW16" s="64">
        <f t="shared" si="45"/>
        <v>6</v>
      </c>
      <c r="IX16" s="64">
        <f t="shared" si="46"/>
        <v>8</v>
      </c>
      <c r="IY16" s="64">
        <f t="shared" si="47"/>
        <v>10</v>
      </c>
      <c r="IZ16" s="64">
        <f t="shared" si="48"/>
        <v>12</v>
      </c>
      <c r="JA16" s="64">
        <f t="shared" si="49"/>
        <v>14</v>
      </c>
      <c r="JB16" s="64">
        <f t="shared" si="50"/>
        <v>16</v>
      </c>
      <c r="JC16" s="64">
        <f t="shared" si="51"/>
        <v>18</v>
      </c>
      <c r="JD16" s="64">
        <f t="shared" si="52"/>
        <v>20</v>
      </c>
      <c r="JE16" s="64">
        <f t="shared" si="53"/>
        <v>22</v>
      </c>
      <c r="JF16" s="64">
        <f t="shared" si="54"/>
        <v>24</v>
      </c>
      <c r="JG16" s="64">
        <f t="shared" si="55"/>
        <v>26</v>
      </c>
      <c r="JH16" s="64">
        <f t="shared" si="56"/>
        <v>28</v>
      </c>
      <c r="JI16" s="64">
        <f t="shared" si="57"/>
        <v>30</v>
      </c>
      <c r="JJ16" s="64">
        <f t="shared" si="58"/>
        <v>32</v>
      </c>
      <c r="JK16" s="64">
        <f t="shared" si="59"/>
        <v>34</v>
      </c>
      <c r="JL16" s="64">
        <f t="shared" si="60"/>
        <v>36</v>
      </c>
      <c r="JM16" s="64">
        <f t="shared" si="61"/>
        <v>38</v>
      </c>
      <c r="JN16" s="64">
        <f t="shared" si="62"/>
        <v>40</v>
      </c>
    </row>
    <row r="17" spans="1:295" x14ac:dyDescent="0.25">
      <c r="A17" s="8"/>
      <c r="B17" s="5" t="s">
        <v>61</v>
      </c>
      <c r="C17" s="8"/>
      <c r="D17" s="9"/>
      <c r="E17" s="9"/>
      <c r="F17" s="16" t="str">
        <f>IF(L17="PSRM10X90F","NÁVRH KOTIEV - OVERÍ SA",IF(L17="-------","",""))</f>
        <v/>
      </c>
      <c r="G17" s="9"/>
      <c r="H17" s="9"/>
      <c r="I17" s="9"/>
      <c r="J17" s="9"/>
      <c r="K17" s="9"/>
      <c r="L17" s="6" t="str">
        <f>IF(E6=$Z$2,"-------",IF(E6=$Z$3,"PSRM10X90F",IF(E6=$Z$4,"-------",IF(E6=$Z$5,"SSZ8X30E A2",0))))</f>
        <v>-------</v>
      </c>
      <c r="M17" s="11" t="str">
        <f>INDEX(cenník!$C$2:$I$568,MATCH($L17,cenník!$B$2:$B$557,0),MATCH(M$2,cenník!$C$1:$I$1,0))</f>
        <v>-------</v>
      </c>
      <c r="N17" s="11">
        <f>INDEX(cenník!$C$2:$I$568,MATCH($L17,cenník!$B$2:$B$557,0),MATCH(N$2,cenník!$C$1:$I$1,0))</f>
        <v>0</v>
      </c>
      <c r="O17" s="11">
        <f>IF(E6=$Z$2,0,IF(E6=$Z$3,O3*4,IF(E6=$Z$4,0,IF(E6=$Z$5,ROUNDUP((O3*2)/100,0),0))))</f>
        <v>0</v>
      </c>
      <c r="P17" s="36">
        <f>INDEX(cenník!$C$2:$I$568,MATCH($L17,cenník!$B$2:$B$557,0),MATCH(P$2,cenník!$C$1:$I$1,0))</f>
        <v>0</v>
      </c>
      <c r="Q17" s="36">
        <f t="shared" si="66"/>
        <v>0</v>
      </c>
      <c r="R17" s="37">
        <f t="shared" si="2"/>
        <v>0</v>
      </c>
      <c r="S17" s="36">
        <f t="shared" si="67"/>
        <v>0</v>
      </c>
      <c r="T17" s="36">
        <f t="shared" si="68"/>
        <v>0</v>
      </c>
      <c r="U17" s="36">
        <f>INDEX(cenník!$C$2:$I$568,MATCH($L17,cenník!$B$2:$B$557,0),MATCH(U$2,cenník!$C$1:$I$1,0))*O17</f>
        <v>0</v>
      </c>
      <c r="V17" s="72"/>
      <c r="W17" s="85">
        <f t="shared" si="0"/>
        <v>0</v>
      </c>
      <c r="X17" s="72" t="s">
        <v>203</v>
      </c>
      <c r="Y17" s="72">
        <v>2150</v>
      </c>
      <c r="Z17" s="72" t="s">
        <v>123</v>
      </c>
      <c r="AA17" s="72">
        <v>2018</v>
      </c>
      <c r="AB17" s="72" t="s">
        <v>392</v>
      </c>
      <c r="AC1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7,$GB$80:$GV$80,0),MATCH($E$3,$X$7:$X$24,0))</f>
        <v>0</v>
      </c>
      <c r="AD1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7,$GB$80:$GV$80,0),MATCH($E$3,$X$7:$X$24,0))</f>
        <v>0</v>
      </c>
      <c r="AE1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7,$GB$80:$GV$80,0),MATCH($E$3,$X$7:$X$24,0))</f>
        <v>0</v>
      </c>
      <c r="AF1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7,$GB$80:$GV$80,0),MATCH($E$3,$X$7:$X$24,0)))*C7</f>
        <v>0</v>
      </c>
      <c r="AG1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7,$GB$80:$GV$80,0),MATCH($E$3,$X$7:$X$24,0)))*C7</f>
        <v>0</v>
      </c>
      <c r="AH1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7,$GB$80:$GV$80,0),MATCH($E$3,$X$7:$X$24,0)))*C7</f>
        <v>0</v>
      </c>
      <c r="AI17" s="72">
        <f t="shared" si="63"/>
        <v>0</v>
      </c>
      <c r="AJ17" s="72">
        <f t="shared" si="64"/>
        <v>0</v>
      </c>
      <c r="AK17" s="72">
        <f t="shared" si="65"/>
        <v>0</v>
      </c>
      <c r="AL17" s="72" t="s">
        <v>18</v>
      </c>
      <c r="AM17" s="72">
        <v>0</v>
      </c>
      <c r="AN17" s="72">
        <v>0</v>
      </c>
      <c r="AO17" s="72">
        <v>0</v>
      </c>
      <c r="AP17" s="72">
        <v>2</v>
      </c>
      <c r="AQ17" s="72">
        <v>0</v>
      </c>
      <c r="AR17" s="72">
        <v>2</v>
      </c>
      <c r="AS17" s="72">
        <v>4</v>
      </c>
      <c r="AT17" s="72">
        <v>0</v>
      </c>
      <c r="AU17" s="72">
        <v>4</v>
      </c>
      <c r="AV17" s="72">
        <v>4</v>
      </c>
      <c r="AW17" s="72">
        <v>2</v>
      </c>
      <c r="AX17" s="72">
        <v>4</v>
      </c>
      <c r="AY17" s="72">
        <v>4</v>
      </c>
      <c r="AZ17" s="72">
        <v>6</v>
      </c>
      <c r="BA17" s="72">
        <v>6</v>
      </c>
      <c r="BB17" s="72">
        <v>6</v>
      </c>
      <c r="BC17" s="72">
        <v>6</v>
      </c>
      <c r="BD17" s="72">
        <v>4</v>
      </c>
      <c r="BE17" s="72">
        <v>8</v>
      </c>
      <c r="BF17" s="72">
        <v>8</v>
      </c>
      <c r="BG17" s="72">
        <v>8</v>
      </c>
      <c r="BH17" s="72">
        <v>8</v>
      </c>
      <c r="BI17" s="72">
        <v>4</v>
      </c>
      <c r="BJ17" s="72">
        <v>10</v>
      </c>
      <c r="BK17" s="72">
        <v>10</v>
      </c>
      <c r="BL17" s="72">
        <v>8</v>
      </c>
      <c r="BM17" s="72">
        <v>10</v>
      </c>
      <c r="BN17" s="72">
        <v>12</v>
      </c>
      <c r="BO17" s="72">
        <v>12</v>
      </c>
      <c r="BP17" s="72">
        <v>12</v>
      </c>
      <c r="BQ17" s="72">
        <v>12</v>
      </c>
      <c r="BR17" s="72">
        <v>12</v>
      </c>
      <c r="BS17" s="72">
        <v>8</v>
      </c>
      <c r="BT17" s="72">
        <v>14</v>
      </c>
      <c r="BU17" s="72">
        <v>0</v>
      </c>
      <c r="BV17" s="72">
        <v>0</v>
      </c>
      <c r="BW17" s="72">
        <v>14</v>
      </c>
      <c r="BX17" s="72">
        <v>22</v>
      </c>
      <c r="BY17" s="72">
        <v>2</v>
      </c>
      <c r="BZ17" s="72">
        <v>16</v>
      </c>
      <c r="CA17" s="72">
        <v>26</v>
      </c>
      <c r="CB17" s="72">
        <v>16</v>
      </c>
      <c r="CC17" s="72">
        <v>18</v>
      </c>
      <c r="CD17" s="72">
        <v>28</v>
      </c>
      <c r="CE17" s="72">
        <v>4</v>
      </c>
      <c r="CF17" s="72">
        <v>18</v>
      </c>
      <c r="CG17" s="72">
        <v>30</v>
      </c>
      <c r="CH17" s="72">
        <v>26</v>
      </c>
      <c r="CI17" s="72">
        <v>20</v>
      </c>
      <c r="CJ17" s="72">
        <v>32</v>
      </c>
      <c r="CK17" s="72">
        <v>20</v>
      </c>
      <c r="CL17" s="72"/>
      <c r="CM17" s="88">
        <v>15</v>
      </c>
      <c r="CN17" s="72" t="s">
        <v>147</v>
      </c>
      <c r="CO17" s="72" t="s">
        <v>135</v>
      </c>
      <c r="CP17" s="72" t="s">
        <v>218</v>
      </c>
      <c r="CQ17" s="72" t="s">
        <v>144</v>
      </c>
      <c r="CR17" s="72" t="s">
        <v>219</v>
      </c>
      <c r="CS17" s="72" t="s">
        <v>220</v>
      </c>
      <c r="CT17" s="72" t="s">
        <v>221</v>
      </c>
      <c r="CU17" s="72" t="s">
        <v>222</v>
      </c>
      <c r="CV17" s="72" t="s">
        <v>223</v>
      </c>
      <c r="CW17" s="72" t="s">
        <v>138</v>
      </c>
      <c r="CX17" s="72" t="s">
        <v>141</v>
      </c>
      <c r="CY17" s="72" t="s">
        <v>257</v>
      </c>
      <c r="CZ17" s="72" t="s">
        <v>260</v>
      </c>
      <c r="DA17" s="72" t="s">
        <v>263</v>
      </c>
      <c r="DB17" s="72" t="s">
        <v>266</v>
      </c>
      <c r="DC17" s="72" t="s">
        <v>269</v>
      </c>
      <c r="DD17" s="72" t="s">
        <v>272</v>
      </c>
      <c r="DE17" s="72" t="s">
        <v>275</v>
      </c>
      <c r="DF17" s="72" t="s">
        <v>278</v>
      </c>
      <c r="DG17" s="72"/>
      <c r="DH17" s="72"/>
      <c r="DI17" s="72"/>
      <c r="DJ17" s="72"/>
      <c r="DK17" s="72"/>
      <c r="DL17" s="72"/>
      <c r="DM17" s="72"/>
      <c r="DN17" s="72"/>
      <c r="DO17" s="72"/>
      <c r="DP17" s="72"/>
      <c r="DQ17" s="72"/>
      <c r="DR17" s="72"/>
      <c r="DS17" s="72"/>
      <c r="DT17" s="72"/>
      <c r="DU17" s="72"/>
      <c r="DV17" s="72"/>
      <c r="DW17" s="72"/>
      <c r="DX17" s="72"/>
      <c r="DY17" s="72"/>
      <c r="DZ17" s="81">
        <v>16</v>
      </c>
      <c r="EA17" s="81">
        <v>32</v>
      </c>
      <c r="EB17" s="81"/>
      <c r="EC17" s="72"/>
      <c r="ED17" s="72"/>
      <c r="EE17" s="72"/>
      <c r="EF17" s="72"/>
      <c r="EG17" s="72"/>
      <c r="EH17" s="72"/>
      <c r="EI17" s="72"/>
      <c r="EJ17" s="72"/>
      <c r="EK17" s="72"/>
      <c r="EL17" s="72"/>
      <c r="EM17" s="72"/>
      <c r="EN17" s="72"/>
      <c r="EO17" s="72"/>
      <c r="EP17" s="72"/>
      <c r="EQ17" s="72"/>
      <c r="ER17" s="72"/>
      <c r="ES17" s="72"/>
      <c r="ET17" s="72"/>
      <c r="EU17" s="72"/>
      <c r="EV17" s="72" t="s">
        <v>99</v>
      </c>
      <c r="EW17" s="72">
        <v>0</v>
      </c>
      <c r="EX17" s="72">
        <v>0</v>
      </c>
      <c r="EY17" s="72">
        <v>0</v>
      </c>
      <c r="EZ17" s="72">
        <v>0</v>
      </c>
      <c r="FA17" s="72">
        <v>2</v>
      </c>
      <c r="FB17" s="72">
        <v>0</v>
      </c>
      <c r="FC17" s="72">
        <v>0</v>
      </c>
      <c r="FD17" s="72">
        <v>2</v>
      </c>
      <c r="FE17" s="72">
        <v>0</v>
      </c>
      <c r="FF17" s="72">
        <v>0</v>
      </c>
      <c r="FG17" s="72">
        <v>0</v>
      </c>
      <c r="FH17" s="72">
        <v>2</v>
      </c>
      <c r="FI17" s="72">
        <v>0</v>
      </c>
      <c r="FJ17" s="72">
        <v>0</v>
      </c>
      <c r="FK17" s="72">
        <v>2</v>
      </c>
      <c r="FL17" s="72">
        <v>0</v>
      </c>
      <c r="FM17" s="72">
        <v>0</v>
      </c>
      <c r="FN17" s="72">
        <v>0</v>
      </c>
      <c r="FO17" s="72">
        <v>0</v>
      </c>
      <c r="FP17" s="72">
        <v>0</v>
      </c>
      <c r="FQ17" s="72">
        <v>0</v>
      </c>
      <c r="FR17" s="72">
        <v>0</v>
      </c>
      <c r="FS17" s="72">
        <v>0</v>
      </c>
      <c r="FT17" s="72">
        <v>0</v>
      </c>
      <c r="FU17" s="72">
        <v>0</v>
      </c>
      <c r="FV17" s="72">
        <v>0</v>
      </c>
      <c r="FW17" s="72">
        <v>0</v>
      </c>
      <c r="FX17" s="72">
        <v>0</v>
      </c>
      <c r="FY17" s="72">
        <v>0</v>
      </c>
      <c r="FZ17" s="72">
        <v>0</v>
      </c>
      <c r="GA17" s="72">
        <v>0</v>
      </c>
      <c r="GB17" s="72">
        <v>0</v>
      </c>
      <c r="GC17" s="72">
        <v>0</v>
      </c>
      <c r="GD17" s="72">
        <v>0</v>
      </c>
      <c r="GE17" s="72">
        <v>0</v>
      </c>
      <c r="GF17" s="72">
        <v>0</v>
      </c>
      <c r="GG17" s="72">
        <v>0</v>
      </c>
      <c r="GH17" s="72">
        <v>0</v>
      </c>
      <c r="GI17" s="72">
        <v>0</v>
      </c>
      <c r="GJ17" s="72">
        <v>0</v>
      </c>
      <c r="GK17" s="72">
        <v>0</v>
      </c>
      <c r="GL17" s="72">
        <v>0</v>
      </c>
      <c r="GM17" s="72">
        <v>0</v>
      </c>
      <c r="GN17" s="72">
        <v>0</v>
      </c>
      <c r="GO17" s="72">
        <v>0</v>
      </c>
      <c r="GP17" s="72">
        <v>0</v>
      </c>
      <c r="GQ17" s="72">
        <v>0</v>
      </c>
      <c r="GR17" s="72">
        <v>0</v>
      </c>
      <c r="GS17" s="72">
        <v>0</v>
      </c>
      <c r="GT17" s="72">
        <v>0</v>
      </c>
      <c r="GU17" s="72">
        <v>0</v>
      </c>
      <c r="GV17" s="72"/>
      <c r="GW17" s="72"/>
      <c r="GX17" s="72"/>
      <c r="GY17" s="64" t="s">
        <v>326</v>
      </c>
      <c r="GZ17" s="64">
        <v>0</v>
      </c>
      <c r="HA17" s="64">
        <v>2</v>
      </c>
      <c r="HB17" s="64">
        <v>0</v>
      </c>
      <c r="HC17" s="64">
        <v>4</v>
      </c>
      <c r="HD17" s="64">
        <v>2</v>
      </c>
      <c r="HE17" s="64">
        <v>0</v>
      </c>
      <c r="HF17" s="64">
        <v>4</v>
      </c>
      <c r="HG17" s="64">
        <v>2</v>
      </c>
      <c r="HH17" s="64">
        <v>0</v>
      </c>
      <c r="HI17" s="64">
        <v>4</v>
      </c>
      <c r="HJ17" s="64">
        <v>2</v>
      </c>
      <c r="HK17" s="64">
        <v>0</v>
      </c>
      <c r="HL17" s="64">
        <v>4</v>
      </c>
      <c r="HM17" s="64">
        <v>2</v>
      </c>
      <c r="HN17" s="64">
        <v>0</v>
      </c>
      <c r="HO17" s="64">
        <v>4</v>
      </c>
      <c r="HP17" s="64">
        <v>2</v>
      </c>
      <c r="HQ17" s="64">
        <v>0</v>
      </c>
      <c r="HR17" s="64">
        <v>4</v>
      </c>
      <c r="HS17" s="64">
        <v>2</v>
      </c>
      <c r="HT17" s="64">
        <v>0</v>
      </c>
      <c r="HV17" s="64" t="s">
        <v>380</v>
      </c>
      <c r="HW17" s="72">
        <v>0</v>
      </c>
      <c r="HX17" s="72">
        <v>2</v>
      </c>
      <c r="HY17" s="72">
        <v>0</v>
      </c>
      <c r="HZ17" s="72">
        <v>2</v>
      </c>
      <c r="IA17" s="72">
        <v>0</v>
      </c>
      <c r="IB17" s="72">
        <v>2</v>
      </c>
      <c r="IC17" s="72">
        <v>4</v>
      </c>
      <c r="ID17" s="72">
        <v>2</v>
      </c>
      <c r="IE17" s="72">
        <v>4</v>
      </c>
      <c r="IF17" s="72">
        <v>0</v>
      </c>
      <c r="IG17" s="72">
        <v>4</v>
      </c>
      <c r="IH17" s="72">
        <v>0</v>
      </c>
      <c r="II17" s="72">
        <v>4</v>
      </c>
      <c r="IJ17" s="72">
        <v>0</v>
      </c>
      <c r="IK17" s="72">
        <v>2</v>
      </c>
      <c r="IL17" s="72">
        <v>0</v>
      </c>
      <c r="IM17" s="72">
        <v>2</v>
      </c>
      <c r="IN17" s="72">
        <v>0</v>
      </c>
      <c r="IO17" s="72">
        <v>2</v>
      </c>
      <c r="IP17" s="72">
        <v>4</v>
      </c>
      <c r="IQ17" s="72">
        <v>2</v>
      </c>
      <c r="IS17" s="64" t="s">
        <v>380</v>
      </c>
      <c r="IT17" s="64">
        <f t="shared" si="42"/>
        <v>0</v>
      </c>
      <c r="IU17" s="64">
        <f t="shared" si="43"/>
        <v>4</v>
      </c>
      <c r="IV17" s="64">
        <f t="shared" si="44"/>
        <v>0</v>
      </c>
      <c r="IW17" s="64">
        <f t="shared" si="45"/>
        <v>4</v>
      </c>
      <c r="IX17" s="64">
        <f t="shared" si="46"/>
        <v>0</v>
      </c>
      <c r="IY17" s="64">
        <f t="shared" si="47"/>
        <v>4</v>
      </c>
      <c r="IZ17" s="64">
        <f t="shared" si="48"/>
        <v>8</v>
      </c>
      <c r="JA17" s="64">
        <f t="shared" si="49"/>
        <v>4</v>
      </c>
      <c r="JB17" s="64">
        <f t="shared" si="50"/>
        <v>8</v>
      </c>
      <c r="JC17" s="64">
        <f t="shared" si="51"/>
        <v>0</v>
      </c>
      <c r="JD17" s="64">
        <f t="shared" si="52"/>
        <v>8</v>
      </c>
      <c r="JE17" s="64">
        <f t="shared" si="53"/>
        <v>0</v>
      </c>
      <c r="JF17" s="64">
        <f t="shared" si="54"/>
        <v>8</v>
      </c>
      <c r="JG17" s="64">
        <f t="shared" si="55"/>
        <v>0</v>
      </c>
      <c r="JH17" s="64">
        <f t="shared" si="56"/>
        <v>4</v>
      </c>
      <c r="JI17" s="64">
        <f t="shared" si="57"/>
        <v>0</v>
      </c>
      <c r="JJ17" s="64">
        <f t="shared" si="58"/>
        <v>4</v>
      </c>
      <c r="JK17" s="64">
        <f t="shared" si="59"/>
        <v>0</v>
      </c>
      <c r="JL17" s="64">
        <f t="shared" si="60"/>
        <v>4</v>
      </c>
      <c r="JM17" s="64">
        <f t="shared" si="61"/>
        <v>8</v>
      </c>
      <c r="JN17" s="64">
        <f t="shared" si="62"/>
        <v>4</v>
      </c>
    </row>
    <row r="18" spans="1:295" x14ac:dyDescent="0.25">
      <c r="A18" s="9"/>
      <c r="B18" s="6"/>
      <c r="C18" s="9"/>
      <c r="D18" s="9"/>
      <c r="E18" s="9"/>
      <c r="F18" s="9"/>
      <c r="G18" s="9"/>
      <c r="H18" s="9"/>
      <c r="I18" s="9"/>
      <c r="J18" s="9"/>
      <c r="K18" s="9"/>
      <c r="L18" s="6" t="str">
        <f>IF(E6=$Z$2,"PW8E A2",IF(E6=$Z$3,"PW8E A2",IF(E6=$Z$4,"PW8E A2",IF(E6=$Z$5,"PW8E A2",0))))</f>
        <v>PW8E A2</v>
      </c>
      <c r="M18" s="11">
        <f>INDEX(cenník!$C$2:$I$568,MATCH($L18,cenník!$B$2:$B$557,0),MATCH(M$2,cenník!$C$1:$I$1,0))</f>
        <v>660944</v>
      </c>
      <c r="N18" s="11" t="str">
        <f>INDEX(cenník!$C$2:$I$568,MATCH($L18,cenník!$B$2:$B$557,0),MATCH(N$2,cenník!$C$1:$I$1,0))</f>
        <v>bal</v>
      </c>
      <c r="O18" s="11">
        <f>ROUNDUP(((IF(E6=$Z$2,(O5*2)+((SUM(AK29:AK44)*2)),IF(E6=$Z$3,(O5*2)+((SUM(AK29:AK44)*2)),IF(E6=$Z$4,(O5*2)+((SUM(AK29:AK44)*2)),IF(E6=$Z$5,(O3*2)+(O5*2)+((SUM(AK29:AK44)*2)),0))))))/100,0)</f>
        <v>0</v>
      </c>
      <c r="P18" s="36">
        <f>INDEX(cenník!$C$2:$I$568,MATCH($L18,cenník!$B$2:$B$557,0),MATCH(P$2,cenník!$C$1:$I$1,0))</f>
        <v>8.24</v>
      </c>
      <c r="Q18" s="36">
        <f t="shared" si="66"/>
        <v>0</v>
      </c>
      <c r="R18" s="37">
        <f t="shared" si="2"/>
        <v>0</v>
      </c>
      <c r="S18" s="36">
        <f t="shared" si="67"/>
        <v>8.24</v>
      </c>
      <c r="T18" s="36">
        <f t="shared" si="68"/>
        <v>0</v>
      </c>
      <c r="U18" s="36">
        <f>INDEX(cenník!$C$2:$I$568,MATCH($L18,cenník!$B$2:$B$557,0),MATCH(U$2,cenník!$C$1:$I$1,0))*O18</f>
        <v>0</v>
      </c>
      <c r="V18" s="72"/>
      <c r="W18" s="72"/>
      <c r="X18" s="72" t="s">
        <v>204</v>
      </c>
      <c r="Y18" s="72">
        <v>2200</v>
      </c>
      <c r="Z18" s="72" t="s">
        <v>248</v>
      </c>
      <c r="AA18" s="72">
        <v>2056</v>
      </c>
      <c r="AB18" s="72">
        <f t="shared" ref="AB18:AB33" si="69">ROUNDUP((((IF(((INT((((A2*$AB$15)+((A2-1)*20))/2000))*2000)+200)&gt;=(((A2*$AB$15)+((A2-1)*20))),(INT((((A2*$AB$15)+((A2-1)*20))/2000))),IF(((INT((((A2*$AB$15)+((A2-1)*20))/2000))*2000)+200)&lt;(((A2*$AB$15)+((A2-1)*20))),(INT((((A2*$AB$15)+((A2-1)*20))/2000))+1),0)))*C2)/2),0)</f>
        <v>0</v>
      </c>
      <c r="AC18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8,$GB$80:$GV$80,0),MATCH($E$3,$X$7:$X$24,0))</f>
        <v>0</v>
      </c>
      <c r="AD18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8,$GB$80:$GV$80,0),MATCH($E$3,$X$7:$X$24,0))</f>
        <v>0</v>
      </c>
      <c r="AE18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8,$GB$80:$GV$80,0),MATCH($E$3,$X$7:$X$24,0))</f>
        <v>0</v>
      </c>
      <c r="AF18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8,$GB$80:$GV$80,0),MATCH($E$3,$X$7:$X$24,0)))*C8</f>
        <v>0</v>
      </c>
      <c r="AG18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8,$GB$80:$GV$80,0),MATCH($E$3,$X$7:$X$24,0)))*C8</f>
        <v>0</v>
      </c>
      <c r="AH18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8,$GB$80:$GV$80,0),MATCH($E$3,$X$7:$X$24,0)))*C8</f>
        <v>0</v>
      </c>
      <c r="AI18" s="72">
        <f t="shared" si="63"/>
        <v>0</v>
      </c>
      <c r="AJ18" s="72">
        <f t="shared" si="64"/>
        <v>0</v>
      </c>
      <c r="AK18" s="72">
        <f t="shared" si="65"/>
        <v>0</v>
      </c>
      <c r="AL18" s="72" t="s">
        <v>179</v>
      </c>
      <c r="AM18" s="72">
        <v>0</v>
      </c>
      <c r="AN18" s="72">
        <f>((((SUM(AN13:AN17))/2)-1))*4</f>
        <v>0</v>
      </c>
      <c r="AO18" s="72">
        <f>((((SUM(AO13:AO17))/2)-1))*4</f>
        <v>0</v>
      </c>
      <c r="AP18" s="72">
        <f t="shared" ref="AP18:CK18" si="70">((((SUM(AP13:AP17))/2)-1))*4</f>
        <v>0</v>
      </c>
      <c r="AQ18" s="72">
        <f t="shared" si="70"/>
        <v>4</v>
      </c>
      <c r="AR18" s="72">
        <f t="shared" si="70"/>
        <v>4</v>
      </c>
      <c r="AS18" s="72">
        <f t="shared" si="70"/>
        <v>4</v>
      </c>
      <c r="AT18" s="72">
        <f t="shared" si="70"/>
        <v>8</v>
      </c>
      <c r="AU18" s="72">
        <f t="shared" si="70"/>
        <v>8</v>
      </c>
      <c r="AV18" s="72">
        <f t="shared" si="70"/>
        <v>8</v>
      </c>
      <c r="AW18" s="72">
        <f t="shared" si="70"/>
        <v>12</v>
      </c>
      <c r="AX18" s="72">
        <f t="shared" si="70"/>
        <v>12</v>
      </c>
      <c r="AY18" s="72">
        <f t="shared" si="70"/>
        <v>12</v>
      </c>
      <c r="AZ18" s="72">
        <f t="shared" si="70"/>
        <v>16</v>
      </c>
      <c r="BA18" s="72">
        <f t="shared" si="70"/>
        <v>16</v>
      </c>
      <c r="BB18" s="72">
        <f t="shared" si="70"/>
        <v>16</v>
      </c>
      <c r="BC18" s="72">
        <f t="shared" si="70"/>
        <v>20</v>
      </c>
      <c r="BD18" s="72">
        <f t="shared" si="70"/>
        <v>20</v>
      </c>
      <c r="BE18" s="72">
        <f t="shared" si="70"/>
        <v>20</v>
      </c>
      <c r="BF18" s="72">
        <f t="shared" si="70"/>
        <v>24</v>
      </c>
      <c r="BG18" s="72">
        <f t="shared" si="70"/>
        <v>24</v>
      </c>
      <c r="BH18" s="72">
        <f t="shared" si="70"/>
        <v>24</v>
      </c>
      <c r="BI18" s="72">
        <f t="shared" si="70"/>
        <v>28</v>
      </c>
      <c r="BJ18" s="72">
        <f t="shared" si="70"/>
        <v>28</v>
      </c>
      <c r="BK18" s="72">
        <f t="shared" si="70"/>
        <v>28</v>
      </c>
      <c r="BL18" s="72">
        <f t="shared" si="70"/>
        <v>32</v>
      </c>
      <c r="BM18" s="72">
        <f t="shared" si="70"/>
        <v>32</v>
      </c>
      <c r="BN18" s="72">
        <f t="shared" si="70"/>
        <v>32</v>
      </c>
      <c r="BO18" s="72">
        <f t="shared" si="70"/>
        <v>36</v>
      </c>
      <c r="BP18" s="72">
        <f t="shared" si="70"/>
        <v>36</v>
      </c>
      <c r="BQ18" s="72">
        <f t="shared" si="70"/>
        <v>36</v>
      </c>
      <c r="BR18" s="72">
        <f t="shared" si="70"/>
        <v>40</v>
      </c>
      <c r="BS18" s="72">
        <f t="shared" si="70"/>
        <v>40</v>
      </c>
      <c r="BT18" s="72">
        <f t="shared" si="70"/>
        <v>40</v>
      </c>
      <c r="BU18" s="72">
        <f t="shared" si="70"/>
        <v>44</v>
      </c>
      <c r="BV18" s="72">
        <f t="shared" si="70"/>
        <v>44</v>
      </c>
      <c r="BW18" s="72">
        <f t="shared" si="70"/>
        <v>44</v>
      </c>
      <c r="BX18" s="72">
        <f t="shared" si="70"/>
        <v>48</v>
      </c>
      <c r="BY18" s="72">
        <f t="shared" si="70"/>
        <v>48</v>
      </c>
      <c r="BZ18" s="72">
        <f t="shared" si="70"/>
        <v>48</v>
      </c>
      <c r="CA18" s="72">
        <f t="shared" si="70"/>
        <v>48</v>
      </c>
      <c r="CB18" s="72">
        <f t="shared" si="70"/>
        <v>52</v>
      </c>
      <c r="CC18" s="72">
        <f t="shared" si="70"/>
        <v>52</v>
      </c>
      <c r="CD18" s="72">
        <f t="shared" si="70"/>
        <v>52</v>
      </c>
      <c r="CE18" s="72">
        <f t="shared" si="70"/>
        <v>56</v>
      </c>
      <c r="CF18" s="72">
        <f t="shared" si="70"/>
        <v>56</v>
      </c>
      <c r="CG18" s="72">
        <f t="shared" si="70"/>
        <v>56</v>
      </c>
      <c r="CH18" s="72">
        <f t="shared" si="70"/>
        <v>60</v>
      </c>
      <c r="CI18" s="72">
        <f t="shared" si="70"/>
        <v>60</v>
      </c>
      <c r="CJ18" s="72">
        <f t="shared" si="70"/>
        <v>60</v>
      </c>
      <c r="CK18" s="72">
        <f t="shared" si="70"/>
        <v>64</v>
      </c>
      <c r="CL18" s="72"/>
      <c r="CM18" s="88">
        <v>20</v>
      </c>
      <c r="CN18" s="72" t="s">
        <v>148</v>
      </c>
      <c r="CO18" s="72" t="s">
        <v>136</v>
      </c>
      <c r="CP18" s="72" t="s">
        <v>224</v>
      </c>
      <c r="CQ18" s="72" t="s">
        <v>145</v>
      </c>
      <c r="CR18" s="72" t="s">
        <v>225</v>
      </c>
      <c r="CS18" s="72" t="s">
        <v>226</v>
      </c>
      <c r="CT18" s="72" t="s">
        <v>227</v>
      </c>
      <c r="CU18" s="72" t="s">
        <v>228</v>
      </c>
      <c r="CV18" s="72" t="s">
        <v>229</v>
      </c>
      <c r="CW18" s="72" t="s">
        <v>139</v>
      </c>
      <c r="CX18" s="72" t="s">
        <v>142</v>
      </c>
      <c r="CY18" s="72" t="s">
        <v>258</v>
      </c>
      <c r="CZ18" s="72" t="s">
        <v>261</v>
      </c>
      <c r="DA18" s="72" t="s">
        <v>264</v>
      </c>
      <c r="DB18" s="72" t="s">
        <v>267</v>
      </c>
      <c r="DC18" s="72" t="s">
        <v>270</v>
      </c>
      <c r="DD18" s="72" t="s">
        <v>273</v>
      </c>
      <c r="DE18" s="72" t="s">
        <v>276</v>
      </c>
      <c r="DF18" s="72" t="s">
        <v>279</v>
      </c>
      <c r="DG18" s="72"/>
      <c r="DH18" s="72"/>
      <c r="DI18" s="72"/>
      <c r="DJ18" s="72"/>
      <c r="DK18" s="72"/>
      <c r="DL18" s="72"/>
      <c r="DM18" s="72"/>
      <c r="DN18" s="72"/>
      <c r="DO18" s="72"/>
      <c r="DP18" s="72"/>
      <c r="DQ18" s="72"/>
      <c r="DR18" s="72"/>
      <c r="DS18" s="72"/>
      <c r="DT18" s="72"/>
      <c r="DU18" s="72"/>
      <c r="DV18" s="72"/>
      <c r="DW18" s="72"/>
      <c r="DX18" s="72"/>
      <c r="DY18" s="72"/>
      <c r="DZ18" s="81">
        <v>17</v>
      </c>
      <c r="EA18" s="81">
        <v>34</v>
      </c>
      <c r="EB18" s="81"/>
      <c r="EC18" s="72"/>
      <c r="ED18" s="72"/>
      <c r="EE18" s="72"/>
      <c r="EF18" s="72"/>
      <c r="EG18" s="72"/>
      <c r="EH18" s="72"/>
      <c r="EI18" s="72"/>
      <c r="EJ18" s="72"/>
      <c r="EK18" s="72"/>
      <c r="EL18" s="72"/>
      <c r="EM18" s="72"/>
      <c r="EN18" s="72"/>
      <c r="EO18" s="72"/>
      <c r="EP18" s="72">
        <v>10</v>
      </c>
      <c r="EQ18" s="72">
        <v>15</v>
      </c>
      <c r="ER18" s="72">
        <v>20</v>
      </c>
      <c r="ES18" s="72"/>
      <c r="ET18" s="72"/>
      <c r="EU18" s="72"/>
      <c r="EV18" s="72" t="s">
        <v>8</v>
      </c>
      <c r="EW18" s="72">
        <v>0</v>
      </c>
      <c r="EX18" s="72">
        <v>2</v>
      </c>
      <c r="EY18" s="72">
        <v>0</v>
      </c>
      <c r="EZ18" s="72">
        <v>0</v>
      </c>
      <c r="FA18" s="72">
        <v>0</v>
      </c>
      <c r="FB18" s="72">
        <v>0</v>
      </c>
      <c r="FC18" s="72">
        <v>0</v>
      </c>
      <c r="FD18" s="72">
        <v>0</v>
      </c>
      <c r="FE18" s="72">
        <v>0</v>
      </c>
      <c r="FF18" s="72">
        <v>0</v>
      </c>
      <c r="FG18" s="72">
        <v>0</v>
      </c>
      <c r="FH18" s="72">
        <v>0</v>
      </c>
      <c r="FI18" s="72">
        <v>0</v>
      </c>
      <c r="FJ18" s="72">
        <v>0</v>
      </c>
      <c r="FK18" s="72">
        <v>0</v>
      </c>
      <c r="FL18" s="72">
        <v>0</v>
      </c>
      <c r="FM18" s="72">
        <v>0</v>
      </c>
      <c r="FN18" s="72">
        <v>0</v>
      </c>
      <c r="FO18" s="72">
        <v>0</v>
      </c>
      <c r="FP18" s="72">
        <v>0</v>
      </c>
      <c r="FQ18" s="72">
        <v>0</v>
      </c>
      <c r="FR18" s="72">
        <v>0</v>
      </c>
      <c r="FS18" s="72">
        <v>0</v>
      </c>
      <c r="FT18" s="72">
        <v>0</v>
      </c>
      <c r="FU18" s="72">
        <v>0</v>
      </c>
      <c r="FV18" s="72">
        <v>0</v>
      </c>
      <c r="FW18" s="72">
        <v>0</v>
      </c>
      <c r="FX18" s="72">
        <v>0</v>
      </c>
      <c r="FY18" s="72">
        <v>0</v>
      </c>
      <c r="FZ18" s="72">
        <v>0</v>
      </c>
      <c r="GA18" s="72">
        <v>0</v>
      </c>
      <c r="GB18" s="72">
        <v>0</v>
      </c>
      <c r="GC18" s="72">
        <v>0</v>
      </c>
      <c r="GD18" s="72">
        <v>0</v>
      </c>
      <c r="GE18" s="72">
        <v>0</v>
      </c>
      <c r="GF18" s="72">
        <v>0</v>
      </c>
      <c r="GG18" s="72">
        <v>0</v>
      </c>
      <c r="GH18" s="72">
        <v>0</v>
      </c>
      <c r="GI18" s="72">
        <v>0</v>
      </c>
      <c r="GJ18" s="72">
        <v>0</v>
      </c>
      <c r="GK18" s="72">
        <v>0</v>
      </c>
      <c r="GL18" s="72">
        <v>0</v>
      </c>
      <c r="GM18" s="72">
        <v>0</v>
      </c>
      <c r="GN18" s="72">
        <v>0</v>
      </c>
      <c r="GO18" s="72">
        <v>0</v>
      </c>
      <c r="GP18" s="72">
        <v>0</v>
      </c>
      <c r="GQ18" s="72">
        <v>0</v>
      </c>
      <c r="GR18" s="72">
        <v>0</v>
      </c>
      <c r="GS18" s="72">
        <v>0</v>
      </c>
      <c r="GT18" s="72">
        <v>0</v>
      </c>
      <c r="GU18" s="72">
        <v>0</v>
      </c>
      <c r="GV18" s="72"/>
      <c r="GW18" s="72"/>
      <c r="GX18" s="72"/>
      <c r="GY18" s="64" t="s">
        <v>327</v>
      </c>
      <c r="GZ18" s="64">
        <v>0</v>
      </c>
      <c r="HA18" s="64">
        <v>0</v>
      </c>
      <c r="HB18" s="64">
        <v>2</v>
      </c>
      <c r="HC18" s="64">
        <v>0</v>
      </c>
      <c r="HD18" s="64">
        <v>2</v>
      </c>
      <c r="HE18" s="64">
        <v>4</v>
      </c>
      <c r="HF18" s="64">
        <v>2</v>
      </c>
      <c r="HG18" s="64">
        <v>4</v>
      </c>
      <c r="HH18" s="64">
        <v>6</v>
      </c>
      <c r="HI18" s="64">
        <v>4</v>
      </c>
      <c r="HJ18" s="64">
        <v>6</v>
      </c>
      <c r="HK18" s="64">
        <v>8</v>
      </c>
      <c r="HL18" s="64">
        <v>6</v>
      </c>
      <c r="HM18" s="64">
        <v>8</v>
      </c>
      <c r="HN18" s="64">
        <v>10</v>
      </c>
      <c r="HO18" s="64">
        <v>8</v>
      </c>
      <c r="HP18" s="64">
        <v>10</v>
      </c>
      <c r="HQ18" s="64">
        <v>12</v>
      </c>
      <c r="HR18" s="64">
        <v>10</v>
      </c>
      <c r="HS18" s="64">
        <v>12</v>
      </c>
      <c r="HT18" s="64">
        <v>14</v>
      </c>
      <c r="HV18" s="64" t="s">
        <v>379</v>
      </c>
      <c r="HW18" s="72">
        <v>0</v>
      </c>
      <c r="HX18" s="72">
        <v>0</v>
      </c>
      <c r="HY18" s="72">
        <v>2</v>
      </c>
      <c r="HZ18" s="72">
        <v>2</v>
      </c>
      <c r="IA18" s="72">
        <v>4</v>
      </c>
      <c r="IB18" s="72">
        <v>4</v>
      </c>
      <c r="IC18" s="72">
        <v>4</v>
      </c>
      <c r="ID18" s="72">
        <v>6</v>
      </c>
      <c r="IE18" s="72">
        <v>6</v>
      </c>
      <c r="IF18" s="72">
        <v>10</v>
      </c>
      <c r="IG18" s="72">
        <v>8</v>
      </c>
      <c r="IH18" s="72">
        <v>12</v>
      </c>
      <c r="II18" s="72">
        <v>10</v>
      </c>
      <c r="IJ18" s="72">
        <v>14</v>
      </c>
      <c r="IK18" s="72">
        <v>14</v>
      </c>
      <c r="IL18" s="72">
        <v>16</v>
      </c>
      <c r="IM18" s="72">
        <v>16</v>
      </c>
      <c r="IN18" s="72">
        <v>18</v>
      </c>
      <c r="IO18" s="72">
        <v>18</v>
      </c>
      <c r="IP18" s="72">
        <v>18</v>
      </c>
      <c r="IQ18" s="72">
        <v>20</v>
      </c>
      <c r="IS18" s="64" t="s">
        <v>379</v>
      </c>
      <c r="IT18" s="64">
        <f t="shared" si="42"/>
        <v>0</v>
      </c>
      <c r="IU18" s="64">
        <f t="shared" si="43"/>
        <v>0</v>
      </c>
      <c r="IV18" s="64">
        <f t="shared" si="44"/>
        <v>4</v>
      </c>
      <c r="IW18" s="64">
        <f t="shared" si="45"/>
        <v>4</v>
      </c>
      <c r="IX18" s="64">
        <f t="shared" si="46"/>
        <v>8</v>
      </c>
      <c r="IY18" s="64">
        <f t="shared" si="47"/>
        <v>8</v>
      </c>
      <c r="IZ18" s="64">
        <f t="shared" si="48"/>
        <v>8</v>
      </c>
      <c r="JA18" s="64">
        <f t="shared" si="49"/>
        <v>12</v>
      </c>
      <c r="JB18" s="64">
        <f t="shared" si="50"/>
        <v>12</v>
      </c>
      <c r="JC18" s="64">
        <f t="shared" si="51"/>
        <v>20</v>
      </c>
      <c r="JD18" s="64">
        <f t="shared" si="52"/>
        <v>16</v>
      </c>
      <c r="JE18" s="64">
        <f t="shared" si="53"/>
        <v>24</v>
      </c>
      <c r="JF18" s="64">
        <f t="shared" si="54"/>
        <v>20</v>
      </c>
      <c r="JG18" s="64">
        <f t="shared" si="55"/>
        <v>28</v>
      </c>
      <c r="JH18" s="64">
        <f t="shared" si="56"/>
        <v>28</v>
      </c>
      <c r="JI18" s="64">
        <f t="shared" si="57"/>
        <v>32</v>
      </c>
      <c r="JJ18" s="64">
        <f t="shared" si="58"/>
        <v>32</v>
      </c>
      <c r="JK18" s="64">
        <f t="shared" si="59"/>
        <v>36</v>
      </c>
      <c r="JL18" s="64">
        <f t="shared" si="60"/>
        <v>36</v>
      </c>
      <c r="JM18" s="64">
        <f t="shared" si="61"/>
        <v>36</v>
      </c>
      <c r="JN18" s="64">
        <f t="shared" si="62"/>
        <v>40</v>
      </c>
      <c r="JQ18" s="88"/>
    </row>
    <row r="19" spans="1:295" x14ac:dyDescent="0.25">
      <c r="A19" s="9"/>
      <c r="B19" s="6"/>
      <c r="C19" s="9"/>
      <c r="D19" s="9"/>
      <c r="E19" s="9"/>
      <c r="G19" s="9"/>
      <c r="H19" s="9"/>
      <c r="I19" s="9"/>
      <c r="J19" s="9"/>
      <c r="K19" s="9"/>
      <c r="L19" s="6" t="str">
        <f>IF(E6=$Z$2,"PC50P",IF(E6=$Z$3,"PC50P",IF(E6=$Z$4,"PC50P",IF(E6=$Z$5,"-------",0))))</f>
        <v>PC50P</v>
      </c>
      <c r="M19" s="11">
        <f>INDEX(cenník!$C$2:$I$568,MATCH($L19,cenník!$B$2:$B$557,0),MATCH(M$2,cenník!$C$1:$I$1,0))</f>
        <v>858434</v>
      </c>
      <c r="N19" s="11" t="str">
        <f>INDEX(cenník!$C$2:$I$568,MATCH($L19,cenník!$B$2:$B$557,0),MATCH(N$2,cenník!$C$1:$I$1,0))</f>
        <v>ks</v>
      </c>
      <c r="O19" s="11">
        <f>IF(E6=$Z$2,O3*2,IF(E6=$Z$3,O3*2,IF(E6=$Z$4,O3*2,IF(E6=$Z$5,0,0))))</f>
        <v>0</v>
      </c>
      <c r="P19" s="36">
        <f>INDEX(cenník!$C$2:$I$568,MATCH($L19,cenník!$B$2:$B$557,0),MATCH(P$2,cenník!$C$1:$I$1,0))</f>
        <v>1.79</v>
      </c>
      <c r="Q19" s="36">
        <f t="shared" si="66"/>
        <v>0</v>
      </c>
      <c r="R19" s="37">
        <f t="shared" si="2"/>
        <v>0</v>
      </c>
      <c r="S19" s="36">
        <f t="shared" si="67"/>
        <v>1.79</v>
      </c>
      <c r="T19" s="36">
        <f t="shared" si="68"/>
        <v>0</v>
      </c>
      <c r="U19" s="36">
        <f>INDEX(cenník!$C$2:$I$568,MATCH($L19,cenník!$B$2:$B$557,0),MATCH(U$2,cenník!$C$1:$I$1,0))*O19</f>
        <v>0</v>
      </c>
      <c r="V19" s="72"/>
      <c r="W19" s="72"/>
      <c r="X19" s="72" t="s">
        <v>232</v>
      </c>
      <c r="Y19" s="72">
        <v>2250</v>
      </c>
      <c r="Z19" s="72" t="s">
        <v>249</v>
      </c>
      <c r="AA19" s="72">
        <v>2094</v>
      </c>
      <c r="AB19" s="72">
        <f t="shared" si="69"/>
        <v>0</v>
      </c>
      <c r="AC19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9,$GB$80:$GV$80,0),MATCH($E$3,$X$7:$X$24,0))</f>
        <v>0</v>
      </c>
      <c r="AD19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9,$GB$80:$GV$80,0),MATCH($E$3,$X$7:$X$24,0))</f>
        <v>0</v>
      </c>
      <c r="AE19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9,$GB$80:$GV$80,0),MATCH($E$3,$X$7:$X$24,0))</f>
        <v>0</v>
      </c>
      <c r="AF19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9,$GB$80:$GV$80,0),MATCH($E$3,$X$7:$X$24,0)))*C9</f>
        <v>0</v>
      </c>
      <c r="AG19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9,$GB$80:$GV$80,0),MATCH($E$3,$X$7:$X$24,0)))*C9</f>
        <v>0</v>
      </c>
      <c r="AH19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9,$GB$80:$GV$80,0),MATCH($E$3,$X$7:$X$24,0)))*C9</f>
        <v>0</v>
      </c>
      <c r="AI19" s="72">
        <f t="shared" si="63"/>
        <v>0</v>
      </c>
      <c r="AJ19" s="72">
        <f t="shared" si="64"/>
        <v>0</v>
      </c>
      <c r="AK19" s="72">
        <f t="shared" si="65"/>
        <v>0</v>
      </c>
      <c r="AL19" s="72"/>
      <c r="AM19" s="72"/>
      <c r="AN19" s="72"/>
      <c r="AO19" s="72"/>
      <c r="AP19" s="72"/>
      <c r="AQ19" s="72"/>
      <c r="AR19" s="72"/>
      <c r="AS19" s="72"/>
      <c r="AT19" s="72"/>
      <c r="AU19" s="72"/>
      <c r="AV19" s="72"/>
      <c r="AW19" s="72"/>
      <c r="AX19" s="72"/>
      <c r="AY19" s="72"/>
      <c r="AZ19" s="72"/>
      <c r="BA19" s="72"/>
      <c r="BB19" s="72"/>
      <c r="BC19" s="72"/>
      <c r="BD19" s="72"/>
      <c r="BE19" s="72"/>
      <c r="BF19" s="72"/>
      <c r="BG19" s="72"/>
      <c r="BH19" s="72"/>
      <c r="BI19" s="72"/>
      <c r="BJ19" s="72"/>
      <c r="BK19" s="72"/>
      <c r="BL19" s="72"/>
      <c r="BM19" s="72"/>
      <c r="BN19" s="72"/>
      <c r="BO19" s="72"/>
      <c r="BP19" s="72"/>
      <c r="BQ19" s="72"/>
      <c r="BR19" s="72"/>
      <c r="BS19" s="72"/>
      <c r="BT19" s="72"/>
      <c r="BU19" s="72"/>
      <c r="BV19" s="72"/>
      <c r="BW19" s="72"/>
      <c r="BX19" s="72"/>
      <c r="BY19" s="72"/>
      <c r="BZ19" s="72"/>
      <c r="CA19" s="72"/>
      <c r="CB19" s="72"/>
      <c r="CC19" s="72"/>
      <c r="CD19" s="72"/>
      <c r="CE19" s="72"/>
      <c r="CF19" s="72"/>
      <c r="CG19" s="72"/>
      <c r="CH19" s="72"/>
      <c r="CI19" s="72"/>
      <c r="CJ19" s="72"/>
      <c r="CK19" s="72"/>
      <c r="CL19" s="72"/>
      <c r="CM19" s="88"/>
      <c r="CN19" s="72"/>
      <c r="CO19" s="72"/>
      <c r="CP19" s="72"/>
      <c r="CQ19" s="72"/>
      <c r="CR19" s="72"/>
      <c r="CS19" s="72"/>
      <c r="CT19" s="72"/>
      <c r="CU19" s="72"/>
      <c r="CV19" s="72"/>
      <c r="CW19" s="72"/>
      <c r="CX19" s="72"/>
      <c r="CY19" s="72"/>
      <c r="CZ19" s="72"/>
      <c r="DA19" s="72"/>
      <c r="DB19" s="72"/>
      <c r="DC19" s="72"/>
      <c r="DD19" s="72"/>
      <c r="DE19" s="72"/>
      <c r="DF19" s="72"/>
      <c r="DG19" s="72"/>
      <c r="DH19" s="72"/>
      <c r="DI19" s="72"/>
      <c r="DJ19" s="72"/>
      <c r="DK19" s="72"/>
      <c r="DL19" s="72"/>
      <c r="DM19" s="72"/>
      <c r="DN19" s="72"/>
      <c r="DO19" s="72"/>
      <c r="DP19" s="72"/>
      <c r="DQ19" s="72"/>
      <c r="DR19" s="72"/>
      <c r="DS19" s="72"/>
      <c r="DT19" s="72"/>
      <c r="DU19" s="72"/>
      <c r="DV19" s="72"/>
      <c r="DW19" s="72"/>
      <c r="DX19" s="72"/>
      <c r="DY19" s="72"/>
      <c r="DZ19" s="81">
        <v>18</v>
      </c>
      <c r="EA19" s="81">
        <v>36</v>
      </c>
      <c r="EB19" s="81"/>
      <c r="EC19" s="72"/>
      <c r="ED19" s="72"/>
      <c r="EE19" s="72"/>
      <c r="EF19" s="72"/>
      <c r="EG19" s="72"/>
      <c r="EH19" s="72"/>
      <c r="EI19" s="72"/>
      <c r="EJ19" s="72" t="str">
        <f>INDEX((EP19:ER28),MATCH(E3,EO19:EO28,0),MATCH(E7,EP18:ER18,0),1)</f>
        <v>OWN15/2,4MC</v>
      </c>
      <c r="EK19" s="72"/>
      <c r="EL19" s="72"/>
      <c r="EM19" s="72"/>
      <c r="EN19" s="72"/>
      <c r="EO19" s="72" t="s">
        <v>56</v>
      </c>
      <c r="EP19" s="72" t="s">
        <v>411</v>
      </c>
      <c r="EQ19" s="72" t="s">
        <v>417</v>
      </c>
      <c r="ER19" s="72" t="s">
        <v>418</v>
      </c>
      <c r="ES19" s="72"/>
      <c r="ET19" s="72"/>
      <c r="EU19" s="72"/>
      <c r="EV19" s="72" t="s">
        <v>98</v>
      </c>
      <c r="EW19" s="72">
        <v>0</v>
      </c>
      <c r="EX19" s="72">
        <v>0</v>
      </c>
      <c r="EY19" s="72">
        <v>0</v>
      </c>
      <c r="EZ19" s="72">
        <v>0</v>
      </c>
      <c r="FA19" s="72">
        <v>0</v>
      </c>
      <c r="FB19" s="72">
        <v>0</v>
      </c>
      <c r="FC19" s="72">
        <v>0</v>
      </c>
      <c r="FD19" s="72">
        <v>0</v>
      </c>
      <c r="FE19" s="72">
        <v>2</v>
      </c>
      <c r="FF19" s="72">
        <v>0</v>
      </c>
      <c r="FG19" s="72">
        <v>0</v>
      </c>
      <c r="FH19" s="72">
        <v>0</v>
      </c>
      <c r="FI19" s="72">
        <v>0</v>
      </c>
      <c r="FJ19" s="72">
        <v>0</v>
      </c>
      <c r="FK19" s="72">
        <v>0</v>
      </c>
      <c r="FL19" s="72">
        <v>0</v>
      </c>
      <c r="FM19" s="72">
        <v>0</v>
      </c>
      <c r="FN19" s="72">
        <v>0</v>
      </c>
      <c r="FO19" s="72">
        <v>0</v>
      </c>
      <c r="FP19" s="72">
        <v>0</v>
      </c>
      <c r="FQ19" s="72">
        <v>0</v>
      </c>
      <c r="FR19" s="72">
        <v>0</v>
      </c>
      <c r="FS19" s="72">
        <v>0</v>
      </c>
      <c r="FT19" s="72">
        <v>0</v>
      </c>
      <c r="FU19" s="72">
        <v>0</v>
      </c>
      <c r="FV19" s="72">
        <v>0</v>
      </c>
      <c r="FW19" s="72">
        <v>0</v>
      </c>
      <c r="FX19" s="72">
        <v>0</v>
      </c>
      <c r="FY19" s="72">
        <v>0</v>
      </c>
      <c r="FZ19" s="72">
        <v>0</v>
      </c>
      <c r="GA19" s="72">
        <v>0</v>
      </c>
      <c r="GB19" s="72">
        <v>0</v>
      </c>
      <c r="GC19" s="72">
        <v>0</v>
      </c>
      <c r="GD19" s="72">
        <v>0</v>
      </c>
      <c r="GE19" s="72">
        <v>0</v>
      </c>
      <c r="GF19" s="72">
        <v>0</v>
      </c>
      <c r="GG19" s="72">
        <v>0</v>
      </c>
      <c r="GH19" s="72">
        <v>0</v>
      </c>
      <c r="GI19" s="72">
        <v>0</v>
      </c>
      <c r="GJ19" s="72">
        <v>0</v>
      </c>
      <c r="GK19" s="72">
        <v>0</v>
      </c>
      <c r="GL19" s="72">
        <v>0</v>
      </c>
      <c r="GM19" s="72">
        <v>0</v>
      </c>
      <c r="GN19" s="72">
        <v>0</v>
      </c>
      <c r="GO19" s="72">
        <v>0</v>
      </c>
      <c r="GP19" s="72">
        <v>0</v>
      </c>
      <c r="GQ19" s="72">
        <v>0</v>
      </c>
      <c r="GR19" s="72">
        <v>0</v>
      </c>
      <c r="GS19" s="72">
        <v>0</v>
      </c>
      <c r="GT19" s="72">
        <v>0</v>
      </c>
      <c r="GU19" s="72">
        <v>0</v>
      </c>
      <c r="GV19" s="72"/>
      <c r="GW19" s="72"/>
      <c r="GX19" s="72"/>
      <c r="GY19" s="64" t="s">
        <v>328</v>
      </c>
      <c r="GZ19" s="64">
        <v>0</v>
      </c>
      <c r="HA19" s="64">
        <v>0</v>
      </c>
      <c r="HB19" s="64">
        <v>0</v>
      </c>
      <c r="HC19" s="64">
        <v>2</v>
      </c>
      <c r="HD19" s="64">
        <v>2</v>
      </c>
      <c r="HE19" s="64">
        <v>2</v>
      </c>
      <c r="HF19" s="64">
        <v>4</v>
      </c>
      <c r="HG19" s="64">
        <v>4</v>
      </c>
      <c r="HH19" s="64">
        <v>4</v>
      </c>
      <c r="HI19" s="64">
        <v>6</v>
      </c>
      <c r="HJ19" s="64">
        <v>6</v>
      </c>
      <c r="HK19" s="64">
        <v>6</v>
      </c>
      <c r="HL19" s="64">
        <v>8</v>
      </c>
      <c r="HM19" s="64">
        <v>8</v>
      </c>
      <c r="HN19" s="64">
        <v>8</v>
      </c>
      <c r="HO19" s="64">
        <v>10</v>
      </c>
      <c r="HP19" s="64">
        <v>10</v>
      </c>
      <c r="HQ19" s="64">
        <v>10</v>
      </c>
      <c r="HR19" s="64">
        <v>12</v>
      </c>
      <c r="HS19" s="64">
        <v>12</v>
      </c>
      <c r="HT19" s="64">
        <v>12</v>
      </c>
      <c r="HV19" s="64" t="s">
        <v>406</v>
      </c>
      <c r="HW19" s="72">
        <v>0</v>
      </c>
      <c r="HX19" s="72">
        <v>0</v>
      </c>
      <c r="HY19" s="72">
        <v>0</v>
      </c>
      <c r="HZ19" s="72">
        <v>2</v>
      </c>
      <c r="IA19" s="72">
        <v>2</v>
      </c>
      <c r="IB19" s="72">
        <v>4</v>
      </c>
      <c r="IC19" s="72">
        <v>6</v>
      </c>
      <c r="ID19" s="72">
        <v>6</v>
      </c>
      <c r="IE19" s="72">
        <v>8</v>
      </c>
      <c r="IF19" s="72">
        <v>8</v>
      </c>
      <c r="IG19" s="72">
        <v>10</v>
      </c>
      <c r="IH19" s="72">
        <v>10</v>
      </c>
      <c r="II19" s="72">
        <v>12</v>
      </c>
      <c r="IJ19" s="72">
        <v>12</v>
      </c>
      <c r="IK19" s="72">
        <v>14</v>
      </c>
      <c r="IL19" s="72">
        <v>14</v>
      </c>
      <c r="IM19" s="72">
        <v>16</v>
      </c>
      <c r="IN19" s="72">
        <v>16</v>
      </c>
      <c r="IO19" s="72">
        <v>18</v>
      </c>
      <c r="IP19" s="72">
        <v>20</v>
      </c>
      <c r="IQ19" s="72">
        <v>20</v>
      </c>
      <c r="IS19" s="64" t="s">
        <v>406</v>
      </c>
      <c r="IT19" s="64">
        <f t="shared" si="42"/>
        <v>0</v>
      </c>
      <c r="IU19" s="64">
        <f t="shared" si="43"/>
        <v>0</v>
      </c>
      <c r="IV19" s="64">
        <f t="shared" si="44"/>
        <v>0</v>
      </c>
      <c r="IW19" s="64">
        <f t="shared" si="45"/>
        <v>4</v>
      </c>
      <c r="IX19" s="64">
        <f t="shared" si="46"/>
        <v>4</v>
      </c>
      <c r="IY19" s="64">
        <f t="shared" si="47"/>
        <v>8</v>
      </c>
      <c r="IZ19" s="64">
        <f t="shared" si="48"/>
        <v>12</v>
      </c>
      <c r="JA19" s="64">
        <f t="shared" si="49"/>
        <v>12</v>
      </c>
      <c r="JB19" s="64">
        <f t="shared" si="50"/>
        <v>16</v>
      </c>
      <c r="JC19" s="64">
        <f t="shared" si="51"/>
        <v>16</v>
      </c>
      <c r="JD19" s="64">
        <f t="shared" si="52"/>
        <v>20</v>
      </c>
      <c r="JE19" s="64">
        <f t="shared" si="53"/>
        <v>20</v>
      </c>
      <c r="JF19" s="64">
        <f t="shared" si="54"/>
        <v>24</v>
      </c>
      <c r="JG19" s="64">
        <f t="shared" si="55"/>
        <v>24</v>
      </c>
      <c r="JH19" s="64">
        <f t="shared" si="56"/>
        <v>28</v>
      </c>
      <c r="JI19" s="64">
        <f t="shared" si="57"/>
        <v>28</v>
      </c>
      <c r="JJ19" s="64">
        <f t="shared" si="58"/>
        <v>32</v>
      </c>
      <c r="JK19" s="64">
        <f t="shared" si="59"/>
        <v>32</v>
      </c>
      <c r="JL19" s="64">
        <f t="shared" si="60"/>
        <v>36</v>
      </c>
      <c r="JM19" s="64">
        <f t="shared" si="61"/>
        <v>40</v>
      </c>
      <c r="JN19" s="64">
        <f t="shared" si="62"/>
        <v>40</v>
      </c>
      <c r="JQ19" s="88"/>
      <c r="KG19" s="88"/>
    </row>
    <row r="20" spans="1:295" x14ac:dyDescent="0.25">
      <c r="A20" s="9"/>
      <c r="B20" s="9"/>
      <c r="C20" s="9"/>
      <c r="D20" s="9"/>
      <c r="E20" s="9"/>
      <c r="F20" s="9"/>
      <c r="G20" s="9"/>
      <c r="H20" s="9"/>
      <c r="I20" s="9"/>
      <c r="J20" s="9"/>
      <c r="K20" s="9"/>
      <c r="L20" s="6" t="s">
        <v>981</v>
      </c>
      <c r="M20" s="11">
        <f>INDEX(cenník!$C$2:$I$568,MATCH($L20,cenník!$B$2:$B$557,0),MATCH(M$2,cenník!$C$1:$I$1,0))</f>
        <v>760401</v>
      </c>
      <c r="N20" s="11" t="str">
        <f>INDEX(cenník!$C$2:$I$568,MATCH($L20,cenník!$B$2:$B$557,0),MATCH(N$2,cenník!$C$1:$I$1,0))</f>
        <v>ks</v>
      </c>
      <c r="O20" s="11">
        <f>O3*2</f>
        <v>0</v>
      </c>
      <c r="P20" s="36">
        <f>INDEX(cenník!$C$2:$I$568,MATCH($L20,cenník!$B$2:$B$557,0),MATCH(P$2,cenník!$C$1:$I$1,0))</f>
        <v>0.44</v>
      </c>
      <c r="Q20" s="36">
        <f t="shared" si="66"/>
        <v>0</v>
      </c>
      <c r="R20" s="37">
        <f t="shared" si="2"/>
        <v>0</v>
      </c>
      <c r="S20" s="36">
        <f t="shared" si="67"/>
        <v>0.44</v>
      </c>
      <c r="T20" s="36">
        <f t="shared" si="68"/>
        <v>0</v>
      </c>
      <c r="U20" s="36">
        <f>INDEX(cenník!$C$2:$I$568,MATCH($L20,cenník!$B$2:$B$557,0),MATCH(U$2,cenník!$C$1:$I$1,0))*O20</f>
        <v>0</v>
      </c>
      <c r="V20" s="72"/>
      <c r="W20" s="72"/>
      <c r="X20" s="72" t="s">
        <v>231</v>
      </c>
      <c r="Y20" s="72">
        <v>2300</v>
      </c>
      <c r="Z20" s="72"/>
      <c r="AA20" s="72"/>
      <c r="AB20" s="72">
        <f t="shared" si="69"/>
        <v>0</v>
      </c>
      <c r="AC20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10,$GB$80:$GV$80,0),MATCH($E$3,$X$7:$X$24,0))</f>
        <v>0</v>
      </c>
      <c r="AD20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10,$GB$80:$GV$80,0),MATCH($E$3,$X$7:$X$24,0))</f>
        <v>0</v>
      </c>
      <c r="AE20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10,$GB$80:$GV$80,0),MATCH($E$3,$X$7:$X$24,0))</f>
        <v>0</v>
      </c>
      <c r="AF20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10,$GB$80:$GV$80,0),MATCH($E$3,$X$7:$X$24,0)))*C10</f>
        <v>0</v>
      </c>
      <c r="AG20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10,$GB$80:$GV$80,0),MATCH($E$3,$X$7:$X$24,0)))*C10</f>
        <v>0</v>
      </c>
      <c r="AH20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10,$GB$80:$GV$80,0),MATCH($E$3,$X$7:$X$24,0)))*C10</f>
        <v>0</v>
      </c>
      <c r="AI20" s="72">
        <f t="shared" si="63"/>
        <v>0</v>
      </c>
      <c r="AJ20" s="72">
        <f t="shared" si="64"/>
        <v>0</v>
      </c>
      <c r="AK20" s="72">
        <f t="shared" si="65"/>
        <v>0</v>
      </c>
      <c r="AL20" s="72" t="s">
        <v>60</v>
      </c>
      <c r="AM20" s="72"/>
      <c r="AN20" s="72"/>
      <c r="AO20" s="72"/>
      <c r="AP20" s="72"/>
      <c r="AQ20" s="72"/>
      <c r="AR20" s="72"/>
      <c r="AS20" s="72"/>
      <c r="AT20" s="72"/>
      <c r="AU20" s="72"/>
      <c r="AV20" s="72"/>
      <c r="AW20" s="72"/>
      <c r="AX20" s="72"/>
      <c r="AY20" s="72"/>
      <c r="AZ20" s="72"/>
      <c r="BA20" s="72"/>
      <c r="BB20" s="72"/>
      <c r="BC20" s="72"/>
      <c r="BD20" s="72"/>
      <c r="BE20" s="72"/>
      <c r="BF20" s="72"/>
      <c r="BG20" s="72"/>
      <c r="BH20" s="72"/>
      <c r="BI20" s="72"/>
      <c r="BJ20" s="72"/>
      <c r="BK20" s="72"/>
      <c r="BL20" s="72"/>
      <c r="BM20" s="72"/>
      <c r="BN20" s="72"/>
      <c r="BO20" s="72"/>
      <c r="BP20" s="72"/>
      <c r="BQ20" s="72"/>
      <c r="BR20" s="72"/>
      <c r="BS20" s="72"/>
      <c r="BT20" s="72"/>
      <c r="BU20" s="72"/>
      <c r="BV20" s="72"/>
      <c r="BW20" s="72"/>
      <c r="BX20" s="72"/>
      <c r="BY20" s="72"/>
      <c r="BZ20" s="72"/>
      <c r="CA20" s="72"/>
      <c r="CB20" s="72"/>
      <c r="CC20" s="72"/>
      <c r="CD20" s="72"/>
      <c r="CE20" s="72"/>
      <c r="CF20" s="72"/>
      <c r="CG20" s="72"/>
      <c r="CH20" s="72"/>
      <c r="CI20" s="72"/>
      <c r="CJ20" s="72"/>
      <c r="CK20" s="72"/>
      <c r="CL20" s="72"/>
      <c r="CM20" s="72"/>
      <c r="CN20" s="72"/>
      <c r="CO20" s="72"/>
      <c r="CP20" s="72"/>
      <c r="CQ20" s="72"/>
      <c r="CR20" s="72"/>
      <c r="CS20" s="72"/>
      <c r="CT20" s="72"/>
      <c r="CU20" s="72"/>
      <c r="CV20" s="72"/>
      <c r="CW20" s="72"/>
      <c r="CX20" s="72"/>
      <c r="CY20" s="72"/>
      <c r="CZ20" s="72"/>
      <c r="DA20" s="72"/>
      <c r="DB20" s="72"/>
      <c r="DC20" s="72"/>
      <c r="DD20" s="72"/>
      <c r="DE20" s="72"/>
      <c r="DF20" s="72"/>
      <c r="DG20" s="72"/>
      <c r="DH20" s="72"/>
      <c r="DI20" s="72"/>
      <c r="DJ20" s="72"/>
      <c r="DK20" s="72"/>
      <c r="DL20" s="72"/>
      <c r="DM20" s="72"/>
      <c r="DN20" s="72"/>
      <c r="DO20" s="72"/>
      <c r="DP20" s="72"/>
      <c r="DQ20" s="72"/>
      <c r="DR20" s="72"/>
      <c r="DS20" s="72"/>
      <c r="DT20" s="72"/>
      <c r="DU20" s="72"/>
      <c r="DV20" s="72"/>
      <c r="DW20" s="72"/>
      <c r="DX20" s="72"/>
      <c r="DY20" s="72"/>
      <c r="DZ20" s="81">
        <v>19</v>
      </c>
      <c r="EA20" s="81">
        <v>38</v>
      </c>
      <c r="EB20" s="81"/>
      <c r="EC20" s="72"/>
      <c r="ED20" s="72"/>
      <c r="EE20" s="72"/>
      <c r="EF20" s="72"/>
      <c r="EG20" s="72"/>
      <c r="EH20" s="72"/>
      <c r="EI20" s="72"/>
      <c r="EJ20" s="72"/>
      <c r="EK20" s="72"/>
      <c r="EL20" s="72"/>
      <c r="EM20" s="72"/>
      <c r="EN20" s="72"/>
      <c r="EO20" s="72" t="s">
        <v>57</v>
      </c>
      <c r="EP20" s="72" t="s">
        <v>411</v>
      </c>
      <c r="EQ20" s="72" t="s">
        <v>417</v>
      </c>
      <c r="ER20" s="72" t="s">
        <v>418</v>
      </c>
      <c r="ES20" s="72"/>
      <c r="ET20" s="72"/>
      <c r="EU20" s="72"/>
      <c r="EV20" s="72" t="s">
        <v>100</v>
      </c>
      <c r="EW20" s="72">
        <v>0</v>
      </c>
      <c r="EX20" s="72">
        <v>0</v>
      </c>
      <c r="EY20" s="72">
        <v>0</v>
      </c>
      <c r="EZ20" s="72">
        <v>0</v>
      </c>
      <c r="FA20" s="72">
        <v>0</v>
      </c>
      <c r="FB20" s="72">
        <v>2</v>
      </c>
      <c r="FC20" s="72">
        <v>0</v>
      </c>
      <c r="FD20" s="72">
        <v>0</v>
      </c>
      <c r="FE20" s="72">
        <v>0</v>
      </c>
      <c r="FF20" s="72">
        <v>0</v>
      </c>
      <c r="FG20" s="72">
        <v>0</v>
      </c>
      <c r="FH20" s="72">
        <v>0</v>
      </c>
      <c r="FI20" s="72">
        <v>0</v>
      </c>
      <c r="FJ20" s="72">
        <v>0</v>
      </c>
      <c r="FK20" s="72">
        <v>0</v>
      </c>
      <c r="FL20" s="72">
        <v>0</v>
      </c>
      <c r="FM20" s="72">
        <v>0</v>
      </c>
      <c r="FN20" s="72">
        <v>0</v>
      </c>
      <c r="FO20" s="72">
        <v>0</v>
      </c>
      <c r="FP20" s="72">
        <v>0</v>
      </c>
      <c r="FQ20" s="72">
        <v>0</v>
      </c>
      <c r="FR20" s="72">
        <v>0</v>
      </c>
      <c r="FS20" s="72">
        <v>0</v>
      </c>
      <c r="FT20" s="72">
        <v>0</v>
      </c>
      <c r="FU20" s="72">
        <v>0</v>
      </c>
      <c r="FV20" s="72">
        <v>0</v>
      </c>
      <c r="FW20" s="72">
        <v>0</v>
      </c>
      <c r="FX20" s="72">
        <v>0</v>
      </c>
      <c r="FY20" s="72">
        <v>0</v>
      </c>
      <c r="FZ20" s="72">
        <v>0</v>
      </c>
      <c r="GA20" s="72">
        <v>0</v>
      </c>
      <c r="GB20" s="72">
        <v>0</v>
      </c>
      <c r="GC20" s="72">
        <v>0</v>
      </c>
      <c r="GD20" s="72">
        <v>0</v>
      </c>
      <c r="GE20" s="72">
        <v>0</v>
      </c>
      <c r="GF20" s="72">
        <v>0</v>
      </c>
      <c r="GG20" s="72">
        <v>0</v>
      </c>
      <c r="GH20" s="72">
        <v>0</v>
      </c>
      <c r="GI20" s="72">
        <v>0</v>
      </c>
      <c r="GJ20" s="72">
        <v>0</v>
      </c>
      <c r="GK20" s="72">
        <v>0</v>
      </c>
      <c r="GL20" s="72">
        <v>0</v>
      </c>
      <c r="GM20" s="72">
        <v>0</v>
      </c>
      <c r="GN20" s="72">
        <v>0</v>
      </c>
      <c r="GO20" s="72">
        <v>0</v>
      </c>
      <c r="GP20" s="72">
        <v>0</v>
      </c>
      <c r="GQ20" s="72">
        <v>0</v>
      </c>
      <c r="GR20" s="72">
        <v>0</v>
      </c>
      <c r="GS20" s="72">
        <v>0</v>
      </c>
      <c r="GT20" s="72">
        <v>0</v>
      </c>
      <c r="GU20" s="72">
        <v>0</v>
      </c>
      <c r="GV20" s="72"/>
      <c r="GW20" s="72"/>
      <c r="GX20" s="72"/>
      <c r="HW20" s="72"/>
      <c r="HX20" s="72"/>
      <c r="HY20" s="72"/>
      <c r="HZ20" s="72"/>
      <c r="IA20" s="72"/>
      <c r="IB20" s="72"/>
      <c r="IC20" s="72"/>
      <c r="ID20" s="72"/>
      <c r="IE20" s="72"/>
      <c r="IF20" s="72"/>
      <c r="IG20" s="72"/>
      <c r="IH20" s="72"/>
      <c r="II20" s="72"/>
      <c r="IJ20" s="72"/>
      <c r="IK20" s="72"/>
      <c r="IL20" s="72"/>
      <c r="IM20" s="72"/>
      <c r="IN20" s="72"/>
      <c r="IO20" s="72"/>
      <c r="IP20" s="72"/>
      <c r="IQ20" s="72"/>
      <c r="JQ20" s="88"/>
      <c r="KG20" s="88"/>
    </row>
    <row r="21" spans="1:295" x14ac:dyDescent="0.25">
      <c r="A21" s="9"/>
      <c r="B21" s="9"/>
      <c r="C21" s="9"/>
      <c r="D21" s="9"/>
      <c r="E21" s="9"/>
      <c r="F21" s="9"/>
      <c r="G21" s="9"/>
      <c r="H21" s="9"/>
      <c r="I21" s="9"/>
      <c r="J21" s="9"/>
      <c r="K21" s="9"/>
      <c r="L21" s="6" t="s">
        <v>401</v>
      </c>
      <c r="M21" s="11">
        <f>INDEX(cenník!$C$2:$I$568,MATCH($L21,cenník!$B$2:$B$557,0),MATCH(M$2,cenník!$C$1:$I$1,0))</f>
        <v>99998121</v>
      </c>
      <c r="N21" s="11" t="str">
        <f>INDEX(cenník!$C$2:$I$568,MATCH($L21,cenník!$B$2:$B$557,0),MATCH(N$2,cenník!$C$1:$I$1,0))</f>
        <v>bal</v>
      </c>
      <c r="O21" s="11">
        <f>ROUNDUP(O5*2/100,0)</f>
        <v>0</v>
      </c>
      <c r="P21" s="36">
        <f>INDEX(cenník!$C$2:$I$568,MATCH($L21,cenník!$B$2:$B$557,0),MATCH(P$2,cenník!$C$1:$I$1,0))</f>
        <v>12.82</v>
      </c>
      <c r="Q21" s="36">
        <f t="shared" si="66"/>
        <v>0</v>
      </c>
      <c r="R21" s="37">
        <f t="shared" si="2"/>
        <v>0</v>
      </c>
      <c r="S21" s="36">
        <f t="shared" si="67"/>
        <v>12.82</v>
      </c>
      <c r="T21" s="36">
        <f t="shared" si="68"/>
        <v>0</v>
      </c>
      <c r="U21" s="36">
        <f>INDEX(cenník!$C$2:$I$568,MATCH($L21,cenník!$B$2:$B$557,0),MATCH(U$2,cenník!$C$1:$I$1,0))*O21</f>
        <v>0</v>
      </c>
      <c r="V21" s="72"/>
      <c r="W21" s="82" t="s">
        <v>124</v>
      </c>
      <c r="X21" s="72" t="s">
        <v>351</v>
      </c>
      <c r="Y21" s="72">
        <v>2350</v>
      </c>
      <c r="Z21" s="72"/>
      <c r="AA21" s="72"/>
      <c r="AB21" s="72">
        <f t="shared" si="69"/>
        <v>0</v>
      </c>
      <c r="AC21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11,$GB$80:$GV$80,0),MATCH($E$3,$X$7:$X$24,0))</f>
        <v>0</v>
      </c>
      <c r="AD21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11,$GB$80:$GV$80,0),MATCH($E$3,$X$7:$X$24,0))</f>
        <v>0</v>
      </c>
      <c r="AE21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11,$GB$80:$GV$80,0),MATCH($E$3,$X$7:$X$24,0))</f>
        <v>0</v>
      </c>
      <c r="AF21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11,$GB$80:$GV$80,0),MATCH($E$3,$X$7:$X$24,0)))*C11</f>
        <v>0</v>
      </c>
      <c r="AG21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11,$GB$80:$GV$80,0),MATCH($E$3,$X$7:$X$24,0)))*C11</f>
        <v>0</v>
      </c>
      <c r="AH21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11,$GB$80:$GV$80,0),MATCH($E$3,$X$7:$X$24,0)))*C11</f>
        <v>0</v>
      </c>
      <c r="AI21" s="72">
        <f t="shared" si="63"/>
        <v>0</v>
      </c>
      <c r="AJ21" s="72">
        <f t="shared" si="64"/>
        <v>0</v>
      </c>
      <c r="AK21" s="72">
        <f t="shared" si="65"/>
        <v>0</v>
      </c>
      <c r="AL21" s="72"/>
      <c r="AM21" s="72">
        <v>0</v>
      </c>
      <c r="AN21" s="72">
        <v>1</v>
      </c>
      <c r="AO21" s="72">
        <v>2</v>
      </c>
      <c r="AP21" s="72">
        <v>3</v>
      </c>
      <c r="AQ21" s="72">
        <v>4</v>
      </c>
      <c r="AR21" s="72">
        <v>5</v>
      </c>
      <c r="AS21" s="72">
        <v>6</v>
      </c>
      <c r="AT21" s="72">
        <v>7</v>
      </c>
      <c r="AU21" s="72">
        <v>8</v>
      </c>
      <c r="AV21" s="72">
        <v>9</v>
      </c>
      <c r="AW21" s="72">
        <v>10</v>
      </c>
      <c r="AX21" s="72">
        <v>11</v>
      </c>
      <c r="AY21" s="72">
        <v>12</v>
      </c>
      <c r="AZ21" s="72">
        <v>13</v>
      </c>
      <c r="BA21" s="72">
        <v>14</v>
      </c>
      <c r="BB21" s="72">
        <v>15</v>
      </c>
      <c r="BC21" s="72">
        <v>16</v>
      </c>
      <c r="BD21" s="72">
        <v>17</v>
      </c>
      <c r="BE21" s="72">
        <v>18</v>
      </c>
      <c r="BF21" s="72">
        <v>19</v>
      </c>
      <c r="BG21" s="72">
        <v>20</v>
      </c>
      <c r="BH21" s="72">
        <v>21</v>
      </c>
      <c r="BI21" s="72">
        <v>22</v>
      </c>
      <c r="BJ21" s="72">
        <v>23</v>
      </c>
      <c r="BK21" s="72">
        <v>24</v>
      </c>
      <c r="BL21" s="72">
        <v>25</v>
      </c>
      <c r="BM21" s="72">
        <v>26</v>
      </c>
      <c r="BN21" s="72">
        <v>27</v>
      </c>
      <c r="BO21" s="72">
        <v>28</v>
      </c>
      <c r="BP21" s="72">
        <v>29</v>
      </c>
      <c r="BQ21" s="72">
        <v>30</v>
      </c>
      <c r="BR21" s="72">
        <v>31</v>
      </c>
      <c r="BS21" s="72">
        <v>32</v>
      </c>
      <c r="BT21" s="72">
        <v>33</v>
      </c>
      <c r="BU21" s="72">
        <v>34</v>
      </c>
      <c r="BV21" s="72">
        <v>35</v>
      </c>
      <c r="BW21" s="72">
        <v>36</v>
      </c>
      <c r="BX21" s="72">
        <v>37</v>
      </c>
      <c r="BY21" s="72">
        <v>38</v>
      </c>
      <c r="BZ21" s="72">
        <v>39</v>
      </c>
      <c r="CA21" s="72">
        <v>40</v>
      </c>
      <c r="CB21" s="72">
        <v>41</v>
      </c>
      <c r="CC21" s="72">
        <v>42</v>
      </c>
      <c r="CD21" s="72">
        <v>43</v>
      </c>
      <c r="CE21" s="72">
        <v>44</v>
      </c>
      <c r="CF21" s="72">
        <v>45</v>
      </c>
      <c r="CG21" s="72">
        <v>46</v>
      </c>
      <c r="CH21" s="72">
        <v>47</v>
      </c>
      <c r="CI21" s="72">
        <v>48</v>
      </c>
      <c r="CJ21" s="72">
        <v>49</v>
      </c>
      <c r="CK21" s="72">
        <v>50</v>
      </c>
      <c r="CL21" s="72"/>
      <c r="CM21" s="72"/>
      <c r="CN21" s="82" t="s">
        <v>120</v>
      </c>
      <c r="CO21" s="82" t="s">
        <v>121</v>
      </c>
      <c r="CP21" s="82" t="s">
        <v>206</v>
      </c>
      <c r="CQ21" s="82" t="s">
        <v>194</v>
      </c>
      <c r="CR21" s="88" t="s">
        <v>207</v>
      </c>
      <c r="CS21" s="88" t="s">
        <v>208</v>
      </c>
      <c r="CT21" s="88" t="s">
        <v>209</v>
      </c>
      <c r="CU21" s="88" t="s">
        <v>210</v>
      </c>
      <c r="CV21" s="88" t="s">
        <v>211</v>
      </c>
      <c r="CW21" s="82" t="s">
        <v>122</v>
      </c>
      <c r="CX21" s="82" t="s">
        <v>123</v>
      </c>
      <c r="CY21" s="88" t="s">
        <v>248</v>
      </c>
      <c r="CZ21" s="88" t="s">
        <v>249</v>
      </c>
      <c r="DA21" s="88" t="s">
        <v>250</v>
      </c>
      <c r="DB21" s="88" t="s">
        <v>251</v>
      </c>
      <c r="DC21" s="88" t="s">
        <v>252</v>
      </c>
      <c r="DD21" s="88" t="s">
        <v>253</v>
      </c>
      <c r="DE21" s="88" t="s">
        <v>254</v>
      </c>
      <c r="DF21" s="88" t="s">
        <v>255</v>
      </c>
      <c r="DG21" s="72"/>
      <c r="DH21" s="72"/>
      <c r="DI21" s="72"/>
      <c r="DJ21" s="72"/>
      <c r="DK21" s="72"/>
      <c r="DL21" s="72"/>
      <c r="DM21" s="72"/>
      <c r="DN21" s="72"/>
      <c r="DO21" s="72"/>
      <c r="DP21" s="72"/>
      <c r="DQ21" s="72"/>
      <c r="DR21" s="72"/>
      <c r="DS21" s="72"/>
      <c r="DT21" s="72"/>
      <c r="DU21" s="72"/>
      <c r="DV21" s="72"/>
      <c r="DW21" s="72"/>
      <c r="DX21" s="72"/>
      <c r="DY21" s="72"/>
      <c r="DZ21" s="81">
        <v>20</v>
      </c>
      <c r="EA21" s="81">
        <v>40</v>
      </c>
      <c r="EB21" s="81"/>
      <c r="EC21" s="72"/>
      <c r="ED21" s="72"/>
      <c r="EE21" s="72"/>
      <c r="EF21" s="72"/>
      <c r="EG21" s="72"/>
      <c r="EH21" s="72"/>
      <c r="EI21" s="72"/>
      <c r="EJ21" s="72"/>
      <c r="EK21" s="72"/>
      <c r="EL21" s="72"/>
      <c r="EM21" s="72"/>
      <c r="EN21" s="72"/>
      <c r="EO21" s="72" t="s">
        <v>67</v>
      </c>
      <c r="EP21" s="72" t="s">
        <v>412</v>
      </c>
      <c r="EQ21" s="72" t="s">
        <v>419</v>
      </c>
      <c r="ER21" s="72" t="s">
        <v>420</v>
      </c>
      <c r="ES21" s="72"/>
      <c r="ET21" s="72"/>
      <c r="EU21" s="72"/>
      <c r="EV21" s="72" t="s">
        <v>114</v>
      </c>
      <c r="EW21" s="72">
        <v>0</v>
      </c>
      <c r="EX21" s="72">
        <v>0</v>
      </c>
      <c r="EY21" s="72">
        <v>2</v>
      </c>
      <c r="EZ21" s="72">
        <v>0</v>
      </c>
      <c r="FA21" s="72">
        <v>0</v>
      </c>
      <c r="FB21" s="72">
        <v>0</v>
      </c>
      <c r="FC21" s="72">
        <v>0</v>
      </c>
      <c r="FD21" s="72">
        <v>0</v>
      </c>
      <c r="FE21" s="72">
        <v>0</v>
      </c>
      <c r="FF21" s="72">
        <v>0</v>
      </c>
      <c r="FG21" s="72">
        <v>0</v>
      </c>
      <c r="FH21" s="72">
        <v>0</v>
      </c>
      <c r="FI21" s="72">
        <v>2</v>
      </c>
      <c r="FJ21" s="72">
        <v>0</v>
      </c>
      <c r="FK21" s="72">
        <v>0</v>
      </c>
      <c r="FL21" s="72">
        <v>0</v>
      </c>
      <c r="FM21" s="72">
        <v>0</v>
      </c>
      <c r="FN21" s="72">
        <v>0</v>
      </c>
      <c r="FO21" s="72">
        <v>0</v>
      </c>
      <c r="FP21" s="72">
        <v>0</v>
      </c>
      <c r="FQ21" s="72">
        <v>0</v>
      </c>
      <c r="FR21" s="72">
        <v>0</v>
      </c>
      <c r="FS21" s="72">
        <v>2</v>
      </c>
      <c r="FT21" s="72">
        <v>0</v>
      </c>
      <c r="FU21" s="72">
        <v>0</v>
      </c>
      <c r="FV21" s="72">
        <v>0</v>
      </c>
      <c r="FW21" s="72">
        <v>0</v>
      </c>
      <c r="FX21" s="72">
        <v>0</v>
      </c>
      <c r="FY21" s="72">
        <v>0</v>
      </c>
      <c r="FZ21" s="72">
        <v>0</v>
      </c>
      <c r="GA21" s="72">
        <v>0</v>
      </c>
      <c r="GB21" s="72">
        <v>0</v>
      </c>
      <c r="GC21" s="72">
        <v>2</v>
      </c>
      <c r="GD21" s="72">
        <v>0</v>
      </c>
      <c r="GE21" s="72">
        <v>0</v>
      </c>
      <c r="GF21" s="72">
        <v>0</v>
      </c>
      <c r="GG21" s="72">
        <v>0</v>
      </c>
      <c r="GH21" s="72">
        <v>0</v>
      </c>
      <c r="GI21" s="72">
        <v>0</v>
      </c>
      <c r="GJ21" s="72">
        <v>0</v>
      </c>
      <c r="GK21" s="72">
        <v>0</v>
      </c>
      <c r="GL21" s="72">
        <v>0</v>
      </c>
      <c r="GM21" s="72">
        <v>2</v>
      </c>
      <c r="GN21" s="72">
        <v>0</v>
      </c>
      <c r="GO21" s="72">
        <v>0</v>
      </c>
      <c r="GP21" s="72">
        <v>0</v>
      </c>
      <c r="GQ21" s="72">
        <v>0</v>
      </c>
      <c r="GR21" s="72">
        <v>0</v>
      </c>
      <c r="GS21" s="72">
        <v>0</v>
      </c>
      <c r="GT21" s="72">
        <v>0</v>
      </c>
      <c r="GU21" s="72">
        <v>0</v>
      </c>
      <c r="GV21" s="72"/>
      <c r="GW21" s="72"/>
      <c r="GX21" s="72"/>
      <c r="GY21" s="64" t="s">
        <v>205</v>
      </c>
      <c r="HU21" s="124"/>
      <c r="HV21" s="83" t="s">
        <v>195</v>
      </c>
      <c r="HW21" s="72"/>
      <c r="HX21" s="72"/>
      <c r="HY21" s="72"/>
      <c r="HZ21" s="72"/>
      <c r="IA21" s="72"/>
      <c r="IB21" s="72"/>
      <c r="IC21" s="72"/>
      <c r="ID21" s="72"/>
      <c r="IE21" s="72"/>
      <c r="IF21" s="72"/>
      <c r="IG21" s="72"/>
      <c r="IH21" s="72"/>
      <c r="II21" s="72"/>
      <c r="IJ21" s="72"/>
      <c r="IK21" s="72"/>
      <c r="IL21" s="72"/>
      <c r="IM21" s="72"/>
      <c r="IN21" s="72"/>
      <c r="IO21" s="72"/>
      <c r="IP21" s="72"/>
      <c r="IQ21" s="72"/>
      <c r="IS21" s="64" t="s">
        <v>195</v>
      </c>
      <c r="KG21" s="88"/>
    </row>
    <row r="22" spans="1:295" x14ac:dyDescent="0.25">
      <c r="A22" s="9"/>
      <c r="B22" s="9"/>
      <c r="C22" s="9"/>
      <c r="D22" s="9"/>
      <c r="E22" s="9"/>
      <c r="F22" s="9"/>
      <c r="G22" s="9"/>
      <c r="H22" s="9"/>
      <c r="I22" s="9"/>
      <c r="J22" s="9"/>
      <c r="K22" s="9"/>
      <c r="L22" s="6" t="s">
        <v>244</v>
      </c>
      <c r="M22" s="11">
        <f>INDEX(cenník!$C$2:$I$568,MATCH($L22,cenník!$B$2:$B$557,0),MATCH(M$2,cenník!$C$1:$I$1,0))</f>
        <v>166794</v>
      </c>
      <c r="N22" s="11" t="str">
        <f>INDEX(cenník!$C$2:$I$568,MATCH($L22,cenník!$B$2:$B$557,0),MATCH(N$2,cenník!$C$1:$I$1,0))</f>
        <v>100ks</v>
      </c>
      <c r="O22" s="11">
        <f>ROUNDUP((O9+(O5*2))/100,0)</f>
        <v>0</v>
      </c>
      <c r="P22" s="36">
        <f>INDEX(cenník!$C$2:$I$568,MATCH($L22,cenník!$B$2:$B$557,0),MATCH(P$2,cenník!$C$1:$I$1,0))</f>
        <v>1.38</v>
      </c>
      <c r="Q22" s="36">
        <f t="shared" ref="Q22" si="71">O22*P22</f>
        <v>0</v>
      </c>
      <c r="R22" s="37">
        <f t="shared" si="2"/>
        <v>0</v>
      </c>
      <c r="S22" s="36">
        <f t="shared" ref="S22" si="72">P22*((100-$E$8)/100)</f>
        <v>1.38</v>
      </c>
      <c r="T22" s="36">
        <f t="shared" ref="T22" si="73">O22*S22</f>
        <v>0</v>
      </c>
      <c r="U22" s="36">
        <f>INDEX(cenník!$C$2:$I$568,MATCH($L22,cenník!$B$2:$B$557,0),MATCH(U$2,cenník!$C$1:$I$1,0))*O22</f>
        <v>0</v>
      </c>
      <c r="V22" s="72"/>
      <c r="W22" s="85">
        <f t="shared" ref="W22:W37" si="74">IF(A27=0,0,IF(A27&gt;0,((A27/2)+1)*C27))</f>
        <v>0</v>
      </c>
      <c r="X22" s="72" t="s">
        <v>352</v>
      </c>
      <c r="Y22" s="72">
        <v>2400</v>
      </c>
      <c r="Z22" s="72"/>
      <c r="AA22" s="72"/>
      <c r="AB22" s="72">
        <f t="shared" si="69"/>
        <v>0</v>
      </c>
      <c r="AC22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12,$GB$80:$GV$80,0),MATCH($E$3,$X$7:$X$24,0))</f>
        <v>0</v>
      </c>
      <c r="AD22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12,$GB$80:$GV$80,0),MATCH($E$3,$X$7:$X$24,0))</f>
        <v>0</v>
      </c>
      <c r="AE22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12,$GB$80:$GV$80,0),MATCH($E$3,$X$7:$X$24,0))</f>
        <v>0</v>
      </c>
      <c r="AF22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12,$GB$80:$GV$80,0),MATCH($E$3,$X$7:$X$24,0)))*C12</f>
        <v>0</v>
      </c>
      <c r="AG22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12,$GB$80:$GV$80,0),MATCH($E$3,$X$7:$X$24,0)))*C12</f>
        <v>0</v>
      </c>
      <c r="AH22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12,$GB$80:$GV$80,0),MATCH($E$3,$X$7:$X$24,0)))*C12</f>
        <v>0</v>
      </c>
      <c r="AI22" s="72">
        <f t="shared" si="63"/>
        <v>0</v>
      </c>
      <c r="AJ22" s="72">
        <f t="shared" si="64"/>
        <v>0</v>
      </c>
      <c r="AK22" s="72">
        <f t="shared" si="65"/>
        <v>0</v>
      </c>
      <c r="AL22" s="72" t="s">
        <v>63</v>
      </c>
      <c r="AM22" s="72">
        <v>0</v>
      </c>
      <c r="AN22" s="72">
        <v>2</v>
      </c>
      <c r="AO22" s="72">
        <v>0</v>
      </c>
      <c r="AP22" s="72">
        <v>0</v>
      </c>
      <c r="AQ22" s="72">
        <v>0</v>
      </c>
      <c r="AR22" s="72">
        <v>0</v>
      </c>
      <c r="AS22" s="72">
        <v>0</v>
      </c>
      <c r="AT22" s="72">
        <v>0</v>
      </c>
      <c r="AU22" s="72">
        <v>0</v>
      </c>
      <c r="AV22" s="72">
        <v>0</v>
      </c>
      <c r="AW22" s="72">
        <v>0</v>
      </c>
      <c r="AX22" s="72">
        <v>0</v>
      </c>
      <c r="AY22" s="72">
        <v>0</v>
      </c>
      <c r="AZ22" s="72">
        <v>0</v>
      </c>
      <c r="BA22" s="72">
        <v>0</v>
      </c>
      <c r="BB22" s="72">
        <v>0</v>
      </c>
      <c r="BC22" s="72">
        <v>0</v>
      </c>
      <c r="BD22" s="72">
        <v>0</v>
      </c>
      <c r="BE22" s="72">
        <v>0</v>
      </c>
      <c r="BF22" s="72">
        <v>0</v>
      </c>
      <c r="BG22" s="72">
        <v>0</v>
      </c>
      <c r="BH22" s="72">
        <v>0</v>
      </c>
      <c r="BI22" s="72">
        <v>0</v>
      </c>
      <c r="BJ22" s="72">
        <v>0</v>
      </c>
      <c r="BK22" s="72">
        <v>0</v>
      </c>
      <c r="BL22" s="72">
        <v>0</v>
      </c>
      <c r="BM22" s="72">
        <v>0</v>
      </c>
      <c r="BN22" s="72">
        <v>0</v>
      </c>
      <c r="BO22" s="72">
        <v>0</v>
      </c>
      <c r="BP22" s="72">
        <v>0</v>
      </c>
      <c r="BQ22" s="72">
        <v>0</v>
      </c>
      <c r="BR22" s="72">
        <v>0</v>
      </c>
      <c r="BS22" s="72">
        <v>0</v>
      </c>
      <c r="BT22" s="72">
        <v>0</v>
      </c>
      <c r="BU22" s="72">
        <v>0</v>
      </c>
      <c r="BV22" s="72">
        <v>0</v>
      </c>
      <c r="BW22" s="72">
        <v>0</v>
      </c>
      <c r="BX22" s="72">
        <v>2</v>
      </c>
      <c r="BY22" s="72">
        <v>0</v>
      </c>
      <c r="BZ22" s="72">
        <v>0</v>
      </c>
      <c r="CA22" s="72">
        <v>0</v>
      </c>
      <c r="CB22" s="72">
        <v>0</v>
      </c>
      <c r="CC22" s="72">
        <v>0</v>
      </c>
      <c r="CD22" s="72">
        <v>0</v>
      </c>
      <c r="CE22" s="72">
        <v>0</v>
      </c>
      <c r="CF22" s="72">
        <v>0</v>
      </c>
      <c r="CG22" s="72">
        <v>0</v>
      </c>
      <c r="CH22" s="72">
        <v>2</v>
      </c>
      <c r="CI22" s="72">
        <v>0</v>
      </c>
      <c r="CJ22" s="72">
        <v>0</v>
      </c>
      <c r="CK22" s="72">
        <v>0</v>
      </c>
      <c r="CL22" s="72"/>
      <c r="CM22" s="88">
        <v>10</v>
      </c>
      <c r="CN22" s="72" t="s">
        <v>306</v>
      </c>
      <c r="CO22" s="72" t="s">
        <v>306</v>
      </c>
      <c r="CP22" s="72" t="s">
        <v>306</v>
      </c>
      <c r="CQ22" s="72" t="s">
        <v>306</v>
      </c>
      <c r="CR22" s="72" t="s">
        <v>306</v>
      </c>
      <c r="CS22" s="72" t="s">
        <v>306</v>
      </c>
      <c r="CT22" s="72" t="s">
        <v>306</v>
      </c>
      <c r="CU22" s="72" t="s">
        <v>306</v>
      </c>
      <c r="CV22" s="72" t="s">
        <v>306</v>
      </c>
      <c r="CW22" s="72" t="s">
        <v>306</v>
      </c>
      <c r="CX22" s="72" t="s">
        <v>306</v>
      </c>
      <c r="CY22" s="72" t="s">
        <v>306</v>
      </c>
      <c r="CZ22" s="72" t="s">
        <v>306</v>
      </c>
      <c r="DA22" s="72" t="s">
        <v>306</v>
      </c>
      <c r="DB22" s="72" t="s">
        <v>265</v>
      </c>
      <c r="DC22" s="72" t="s">
        <v>268</v>
      </c>
      <c r="DD22" s="72" t="s">
        <v>271</v>
      </c>
      <c r="DE22" s="72" t="s">
        <v>274</v>
      </c>
      <c r="DF22" s="72" t="s">
        <v>277</v>
      </c>
      <c r="DG22" s="72"/>
      <c r="DH22" s="72"/>
      <c r="DI22" s="72"/>
      <c r="DJ22" s="72"/>
      <c r="DK22" s="72"/>
      <c r="DL22" s="72"/>
      <c r="DM22" s="72"/>
      <c r="DN22" s="72"/>
      <c r="DO22" s="72"/>
      <c r="DP22" s="72"/>
      <c r="DQ22" s="72"/>
      <c r="DR22" s="72"/>
      <c r="DS22" s="72"/>
      <c r="DT22" s="72"/>
      <c r="DU22" s="72"/>
      <c r="DV22" s="72"/>
      <c r="DW22" s="72"/>
      <c r="DX22" s="72"/>
      <c r="DY22" s="72"/>
      <c r="DZ22" s="81">
        <v>21</v>
      </c>
      <c r="EA22" s="81">
        <v>42</v>
      </c>
      <c r="EB22" s="81"/>
      <c r="EC22" s="72"/>
      <c r="ED22" s="72"/>
      <c r="EE22" s="72"/>
      <c r="EF22" s="72"/>
      <c r="EG22" s="72"/>
      <c r="EH22" s="72"/>
      <c r="EI22" s="72"/>
      <c r="EJ22" s="72"/>
      <c r="EK22" s="72"/>
      <c r="EL22" s="72"/>
      <c r="EM22" s="72"/>
      <c r="EN22" s="72"/>
      <c r="EO22" s="72" t="s">
        <v>195</v>
      </c>
      <c r="EP22" s="72" t="s">
        <v>412</v>
      </c>
      <c r="EQ22" s="72" t="s">
        <v>419</v>
      </c>
      <c r="ER22" s="72" t="s">
        <v>420</v>
      </c>
      <c r="ES22" s="72"/>
      <c r="ET22" s="72"/>
      <c r="EU22" s="72"/>
      <c r="EV22" s="72" t="s">
        <v>9</v>
      </c>
      <c r="EW22" s="72">
        <v>0</v>
      </c>
      <c r="EX22" s="72">
        <v>0</v>
      </c>
      <c r="EY22" s="72">
        <v>0</v>
      </c>
      <c r="EZ22" s="72">
        <v>0</v>
      </c>
      <c r="FA22" s="72">
        <v>0</v>
      </c>
      <c r="FB22" s="72">
        <v>0</v>
      </c>
      <c r="FC22" s="72">
        <v>2</v>
      </c>
      <c r="FD22" s="72">
        <v>2</v>
      </c>
      <c r="FE22" s="72">
        <v>0</v>
      </c>
      <c r="FF22" s="72">
        <v>4</v>
      </c>
      <c r="FG22" s="72">
        <v>0</v>
      </c>
      <c r="FH22" s="72">
        <v>0</v>
      </c>
      <c r="FI22" s="72">
        <v>0</v>
      </c>
      <c r="FJ22" s="72">
        <v>2</v>
      </c>
      <c r="FK22" s="72">
        <v>2</v>
      </c>
      <c r="FL22" s="72">
        <v>6</v>
      </c>
      <c r="FM22" s="72">
        <v>2</v>
      </c>
      <c r="FN22" s="72">
        <v>0</v>
      </c>
      <c r="FO22" s="72">
        <v>6</v>
      </c>
      <c r="FP22" s="72">
        <v>2</v>
      </c>
      <c r="FQ22" s="72">
        <v>0</v>
      </c>
      <c r="FR22" s="72">
        <v>8</v>
      </c>
      <c r="FS22" s="72">
        <v>0</v>
      </c>
      <c r="FT22" s="72">
        <v>0</v>
      </c>
      <c r="FU22" s="72">
        <v>0</v>
      </c>
      <c r="FV22" s="72">
        <v>4</v>
      </c>
      <c r="FW22" s="72">
        <v>2</v>
      </c>
      <c r="FX22" s="72">
        <v>0</v>
      </c>
      <c r="FY22" s="72">
        <v>8</v>
      </c>
      <c r="FZ22" s="72">
        <v>2</v>
      </c>
      <c r="GA22" s="72">
        <v>2</v>
      </c>
      <c r="GB22" s="72">
        <v>0</v>
      </c>
      <c r="GC22" s="72">
        <v>0</v>
      </c>
      <c r="GD22" s="72">
        <v>2</v>
      </c>
      <c r="GE22" s="72">
        <v>0</v>
      </c>
      <c r="GF22" s="72">
        <v>6</v>
      </c>
      <c r="GG22" s="72">
        <v>4</v>
      </c>
      <c r="GH22" s="72">
        <v>2</v>
      </c>
      <c r="GI22" s="72">
        <v>6</v>
      </c>
      <c r="GJ22" s="72">
        <v>4</v>
      </c>
      <c r="GK22" s="72">
        <v>0</v>
      </c>
      <c r="GL22" s="72">
        <v>0</v>
      </c>
      <c r="GM22" s="72">
        <v>0</v>
      </c>
      <c r="GN22" s="72">
        <v>4</v>
      </c>
      <c r="GO22" s="72">
        <v>0</v>
      </c>
      <c r="GP22" s="72">
        <v>8</v>
      </c>
      <c r="GQ22" s="72">
        <v>6</v>
      </c>
      <c r="GR22" s="72">
        <v>0</v>
      </c>
      <c r="GS22" s="72">
        <v>0</v>
      </c>
      <c r="GT22" s="72">
        <v>6</v>
      </c>
      <c r="GU22" s="72">
        <v>4</v>
      </c>
      <c r="GV22" s="72"/>
      <c r="GW22" s="72"/>
      <c r="GX22" s="72"/>
      <c r="GZ22" s="64">
        <v>0</v>
      </c>
      <c r="HA22" s="64">
        <v>1</v>
      </c>
      <c r="HB22" s="64">
        <v>2</v>
      </c>
      <c r="HC22" s="64">
        <v>3</v>
      </c>
      <c r="HD22" s="64">
        <v>4</v>
      </c>
      <c r="HE22" s="64">
        <v>5</v>
      </c>
      <c r="HF22" s="64">
        <v>6</v>
      </c>
      <c r="HG22" s="64">
        <v>7</v>
      </c>
      <c r="HH22" s="64">
        <v>8</v>
      </c>
      <c r="HI22" s="64">
        <v>9</v>
      </c>
      <c r="HJ22" s="64">
        <v>10</v>
      </c>
      <c r="HK22" s="64">
        <v>11</v>
      </c>
      <c r="HL22" s="64">
        <v>12</v>
      </c>
      <c r="HM22" s="64">
        <v>13</v>
      </c>
      <c r="HN22" s="64">
        <v>14</v>
      </c>
      <c r="HO22" s="64">
        <v>15</v>
      </c>
      <c r="HP22" s="64">
        <v>16</v>
      </c>
      <c r="HQ22" s="64">
        <v>17</v>
      </c>
      <c r="HR22" s="64">
        <v>18</v>
      </c>
      <c r="HS22" s="64">
        <v>19</v>
      </c>
      <c r="HT22" s="64">
        <v>20</v>
      </c>
      <c r="HW22" s="72">
        <v>0</v>
      </c>
      <c r="HX22" s="72">
        <v>1</v>
      </c>
      <c r="HY22" s="72">
        <v>2</v>
      </c>
      <c r="HZ22" s="72">
        <v>3</v>
      </c>
      <c r="IA22" s="72">
        <v>4</v>
      </c>
      <c r="IB22" s="72">
        <v>5</v>
      </c>
      <c r="IC22" s="72">
        <v>6</v>
      </c>
      <c r="ID22" s="72">
        <v>7</v>
      </c>
      <c r="IE22" s="72">
        <v>8</v>
      </c>
      <c r="IF22" s="72">
        <v>9</v>
      </c>
      <c r="IG22" s="72">
        <v>10</v>
      </c>
      <c r="IH22" s="72">
        <v>11</v>
      </c>
      <c r="II22" s="72">
        <v>12</v>
      </c>
      <c r="IJ22" s="72">
        <v>13</v>
      </c>
      <c r="IK22" s="72">
        <v>14</v>
      </c>
      <c r="IL22" s="72">
        <v>15</v>
      </c>
      <c r="IM22" s="72">
        <v>16</v>
      </c>
      <c r="IN22" s="72">
        <v>17</v>
      </c>
      <c r="IO22" s="72">
        <v>18</v>
      </c>
      <c r="IP22" s="72">
        <v>19</v>
      </c>
      <c r="IQ22" s="72">
        <v>20</v>
      </c>
      <c r="IT22" s="64">
        <f t="shared" si="42"/>
        <v>0</v>
      </c>
      <c r="IU22" s="64">
        <f t="shared" si="43"/>
        <v>2</v>
      </c>
      <c r="IV22" s="64">
        <f t="shared" si="44"/>
        <v>4</v>
      </c>
      <c r="IW22" s="64">
        <f t="shared" si="45"/>
        <v>6</v>
      </c>
      <c r="IX22" s="64">
        <f t="shared" si="46"/>
        <v>8</v>
      </c>
      <c r="IY22" s="64">
        <f t="shared" si="47"/>
        <v>10</v>
      </c>
      <c r="IZ22" s="64">
        <f t="shared" si="48"/>
        <v>12</v>
      </c>
      <c r="JA22" s="64">
        <f t="shared" si="49"/>
        <v>14</v>
      </c>
      <c r="JB22" s="64">
        <f t="shared" si="50"/>
        <v>16</v>
      </c>
      <c r="JC22" s="64">
        <f t="shared" si="51"/>
        <v>18</v>
      </c>
      <c r="JD22" s="64">
        <f t="shared" si="52"/>
        <v>20</v>
      </c>
      <c r="JE22" s="64">
        <f t="shared" si="53"/>
        <v>22</v>
      </c>
      <c r="JF22" s="64">
        <f t="shared" si="54"/>
        <v>24</v>
      </c>
      <c r="JG22" s="64">
        <f t="shared" si="55"/>
        <v>26</v>
      </c>
      <c r="JH22" s="64">
        <f t="shared" si="56"/>
        <v>28</v>
      </c>
      <c r="JI22" s="64">
        <f t="shared" si="57"/>
        <v>30</v>
      </c>
      <c r="JJ22" s="64">
        <f t="shared" si="58"/>
        <v>32</v>
      </c>
      <c r="JK22" s="64">
        <f t="shared" si="59"/>
        <v>34</v>
      </c>
      <c r="JL22" s="64">
        <f t="shared" si="60"/>
        <v>36</v>
      </c>
      <c r="JM22" s="64">
        <f t="shared" si="61"/>
        <v>38</v>
      </c>
      <c r="JN22" s="64">
        <f t="shared" si="62"/>
        <v>40</v>
      </c>
    </row>
    <row r="23" spans="1:295" x14ac:dyDescent="0.25">
      <c r="A23" s="9"/>
      <c r="B23" s="9"/>
      <c r="C23" s="9"/>
      <c r="D23" s="9"/>
      <c r="E23" s="9"/>
      <c r="F23" s="9"/>
      <c r="G23" s="9"/>
      <c r="H23" s="9"/>
      <c r="I23" s="9"/>
      <c r="J23" s="9"/>
      <c r="K23" s="9"/>
      <c r="L23" s="6"/>
      <c r="M23" s="11"/>
      <c r="N23" s="11"/>
      <c r="O23" s="11"/>
      <c r="P23" s="36"/>
      <c r="Q23" s="36"/>
      <c r="R23" s="37"/>
      <c r="S23" s="36"/>
      <c r="T23" s="36">
        <f>SUM(T3:T22)</f>
        <v>0</v>
      </c>
      <c r="U23" s="36">
        <f>SUM(U3:U22)</f>
        <v>0</v>
      </c>
      <c r="V23" s="72"/>
      <c r="W23" s="85">
        <f t="shared" si="74"/>
        <v>0</v>
      </c>
      <c r="X23" s="72" t="s">
        <v>386</v>
      </c>
      <c r="Y23" s="72">
        <v>2450</v>
      </c>
      <c r="Z23" s="72"/>
      <c r="AA23" s="72"/>
      <c r="AB23" s="72">
        <f t="shared" si="69"/>
        <v>0</v>
      </c>
      <c r="AC23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13,$GB$80:$GV$80,0),MATCH($E$3,$X$7:$X$24,0))</f>
        <v>0</v>
      </c>
      <c r="AD23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13,$GB$80:$GV$80,0),MATCH($E$3,$X$7:$X$24,0))</f>
        <v>0</v>
      </c>
      <c r="AE23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13,$GB$80:$GV$80,0),MATCH($E$3,$X$7:$X$24,0))</f>
        <v>0</v>
      </c>
      <c r="AF23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13,$GB$80:$GV$80,0),MATCH($E$3,$X$7:$X$24,0)))*C13</f>
        <v>0</v>
      </c>
      <c r="AG23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13,$GB$80:$GV$80,0),MATCH($E$3,$X$7:$X$24,0)))*C13</f>
        <v>0</v>
      </c>
      <c r="AH23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13,$GB$80:$GV$80,0),MATCH($E$3,$X$7:$X$24,0)))*C13</f>
        <v>0</v>
      </c>
      <c r="AI23" s="72">
        <f t="shared" si="63"/>
        <v>0</v>
      </c>
      <c r="AJ23" s="72">
        <f t="shared" si="64"/>
        <v>0</v>
      </c>
      <c r="AK23" s="72">
        <f t="shared" si="65"/>
        <v>0</v>
      </c>
      <c r="AL23" s="72" t="s">
        <v>11</v>
      </c>
      <c r="AM23" s="72">
        <v>0</v>
      </c>
      <c r="AN23" s="72">
        <v>0</v>
      </c>
      <c r="AO23" s="72">
        <v>0</v>
      </c>
      <c r="AP23" s="72">
        <v>0</v>
      </c>
      <c r="AQ23" s="72">
        <v>0</v>
      </c>
      <c r="AR23" s="72">
        <v>0</v>
      </c>
      <c r="AS23" s="72">
        <v>0</v>
      </c>
      <c r="AT23" s="72">
        <v>0</v>
      </c>
      <c r="AU23" s="72">
        <v>2</v>
      </c>
      <c r="AV23" s="72">
        <v>0</v>
      </c>
      <c r="AW23" s="72">
        <v>0</v>
      </c>
      <c r="AX23" s="72">
        <v>0</v>
      </c>
      <c r="AY23" s="72">
        <v>0</v>
      </c>
      <c r="AZ23" s="72">
        <v>4</v>
      </c>
      <c r="BA23" s="72">
        <v>2</v>
      </c>
      <c r="BB23" s="72">
        <v>0</v>
      </c>
      <c r="BC23" s="72">
        <v>2</v>
      </c>
      <c r="BD23" s="72">
        <v>0</v>
      </c>
      <c r="BE23" s="72">
        <v>0</v>
      </c>
      <c r="BF23" s="72">
        <v>4</v>
      </c>
      <c r="BG23" s="72">
        <v>2</v>
      </c>
      <c r="BH23" s="72">
        <v>0</v>
      </c>
      <c r="BI23" s="72">
        <v>0</v>
      </c>
      <c r="BJ23" s="72">
        <v>2</v>
      </c>
      <c r="BK23" s="72">
        <v>0</v>
      </c>
      <c r="BL23" s="72">
        <v>0</v>
      </c>
      <c r="BM23" s="72">
        <v>0</v>
      </c>
      <c r="BN23" s="72">
        <v>0</v>
      </c>
      <c r="BO23" s="72">
        <v>4</v>
      </c>
      <c r="BP23" s="72">
        <v>2</v>
      </c>
      <c r="BQ23" s="72">
        <v>0</v>
      </c>
      <c r="BR23" s="72">
        <v>2</v>
      </c>
      <c r="BS23" s="72">
        <v>0</v>
      </c>
      <c r="BT23" s="72">
        <v>0</v>
      </c>
      <c r="BU23" s="72">
        <v>2</v>
      </c>
      <c r="BV23" s="72">
        <v>0</v>
      </c>
      <c r="BW23" s="72">
        <v>0</v>
      </c>
      <c r="BX23" s="72">
        <v>0</v>
      </c>
      <c r="BY23" s="72">
        <v>0</v>
      </c>
      <c r="BZ23" s="72">
        <v>0</v>
      </c>
      <c r="CA23" s="72">
        <v>0</v>
      </c>
      <c r="CB23" s="72">
        <v>0</v>
      </c>
      <c r="CC23" s="72">
        <v>0</v>
      </c>
      <c r="CD23" s="72">
        <v>0</v>
      </c>
      <c r="CE23" s="72">
        <v>0</v>
      </c>
      <c r="CF23" s="72">
        <v>0</v>
      </c>
      <c r="CG23" s="72">
        <v>0</v>
      </c>
      <c r="CH23" s="72">
        <v>0</v>
      </c>
      <c r="CI23" s="72">
        <v>0</v>
      </c>
      <c r="CJ23" s="72">
        <v>0</v>
      </c>
      <c r="CK23" s="72">
        <v>0</v>
      </c>
      <c r="CL23" s="72"/>
      <c r="CM23" s="88">
        <v>15</v>
      </c>
      <c r="CN23" s="72" t="s">
        <v>307</v>
      </c>
      <c r="CO23" s="72" t="s">
        <v>307</v>
      </c>
      <c r="CP23" s="72" t="s">
        <v>307</v>
      </c>
      <c r="CQ23" s="72" t="s">
        <v>307</v>
      </c>
      <c r="CR23" s="72" t="s">
        <v>307</v>
      </c>
      <c r="CS23" s="72" t="s">
        <v>307</v>
      </c>
      <c r="CT23" s="72" t="s">
        <v>307</v>
      </c>
      <c r="CU23" s="72" t="s">
        <v>307</v>
      </c>
      <c r="CV23" s="72" t="s">
        <v>307</v>
      </c>
      <c r="CW23" s="72" t="s">
        <v>307</v>
      </c>
      <c r="CX23" s="72" t="s">
        <v>307</v>
      </c>
      <c r="CY23" s="72" t="s">
        <v>307</v>
      </c>
      <c r="CZ23" s="72" t="s">
        <v>307</v>
      </c>
      <c r="DA23" s="72" t="s">
        <v>307</v>
      </c>
      <c r="DB23" s="72" t="s">
        <v>266</v>
      </c>
      <c r="DC23" s="72" t="s">
        <v>269</v>
      </c>
      <c r="DD23" s="72" t="s">
        <v>272</v>
      </c>
      <c r="DE23" s="72" t="s">
        <v>275</v>
      </c>
      <c r="DF23" s="72" t="s">
        <v>278</v>
      </c>
      <c r="DG23" s="72"/>
      <c r="DH23" s="72"/>
      <c r="DI23" s="72"/>
      <c r="DJ23" s="72"/>
      <c r="DK23" s="72"/>
      <c r="DL23" s="72"/>
      <c r="DM23" s="72"/>
      <c r="DN23" s="72"/>
      <c r="DO23" s="72"/>
      <c r="DP23" s="72"/>
      <c r="DQ23" s="72"/>
      <c r="DR23" s="72"/>
      <c r="DS23" s="72"/>
      <c r="DT23" s="72"/>
      <c r="DU23" s="72"/>
      <c r="DV23" s="72"/>
      <c r="DW23" s="72"/>
      <c r="DX23" s="72"/>
      <c r="DY23" s="72"/>
      <c r="DZ23" s="81">
        <v>22</v>
      </c>
      <c r="EA23" s="81">
        <v>44</v>
      </c>
      <c r="EB23" s="81"/>
      <c r="EC23" s="72"/>
      <c r="ED23" s="72"/>
      <c r="EE23" s="72"/>
      <c r="EF23" s="72"/>
      <c r="EG23" s="72"/>
      <c r="EH23" s="72"/>
      <c r="EI23" s="72"/>
      <c r="EJ23" s="72"/>
      <c r="EK23" s="72"/>
      <c r="EL23" s="72"/>
      <c r="EM23" s="72"/>
      <c r="EN23" s="72"/>
      <c r="EO23" s="72" t="s">
        <v>197</v>
      </c>
      <c r="EP23" s="72" t="s">
        <v>412</v>
      </c>
      <c r="EQ23" s="72" t="s">
        <v>419</v>
      </c>
      <c r="ER23" s="72" t="s">
        <v>420</v>
      </c>
      <c r="ES23" s="72"/>
      <c r="ET23" s="72"/>
      <c r="EU23" s="72"/>
      <c r="EV23" s="72" t="s">
        <v>101</v>
      </c>
      <c r="EW23" s="72">
        <v>0</v>
      </c>
      <c r="EX23" s="72">
        <v>0</v>
      </c>
      <c r="EY23" s="72">
        <v>0</v>
      </c>
      <c r="EZ23" s="72">
        <v>2</v>
      </c>
      <c r="FA23" s="72">
        <v>2</v>
      </c>
      <c r="FB23" s="72">
        <v>2</v>
      </c>
      <c r="FC23" s="72">
        <v>2</v>
      </c>
      <c r="FD23" s="72">
        <v>0</v>
      </c>
      <c r="FE23" s="72">
        <v>4</v>
      </c>
      <c r="FF23" s="72">
        <v>0</v>
      </c>
      <c r="FG23" s="72">
        <v>2</v>
      </c>
      <c r="FH23" s="72">
        <v>2</v>
      </c>
      <c r="FI23" s="72">
        <v>4</v>
      </c>
      <c r="FJ23" s="72">
        <v>0</v>
      </c>
      <c r="FK23" s="72">
        <v>0</v>
      </c>
      <c r="FL23" s="72">
        <v>2</v>
      </c>
      <c r="FM23" s="72">
        <v>6</v>
      </c>
      <c r="FN23" s="72">
        <v>2</v>
      </c>
      <c r="FO23" s="72">
        <v>6</v>
      </c>
      <c r="FP23" s="72">
        <v>10</v>
      </c>
      <c r="FQ23" s="72">
        <v>6</v>
      </c>
      <c r="FR23" s="72">
        <v>4</v>
      </c>
      <c r="FS23" s="72">
        <v>8</v>
      </c>
      <c r="FT23" s="72">
        <v>10</v>
      </c>
      <c r="FU23" s="72">
        <v>0</v>
      </c>
      <c r="FV23" s="72">
        <v>12</v>
      </c>
      <c r="FW23" s="72">
        <v>8</v>
      </c>
      <c r="FX23" s="72">
        <v>4</v>
      </c>
      <c r="FY23" s="72">
        <v>2</v>
      </c>
      <c r="FZ23" s="72">
        <v>12</v>
      </c>
      <c r="GA23" s="72">
        <v>2</v>
      </c>
      <c r="GB23" s="72">
        <v>0</v>
      </c>
      <c r="GC23" s="72">
        <v>12</v>
      </c>
      <c r="GD23" s="72">
        <v>6</v>
      </c>
      <c r="GE23" s="72">
        <v>2</v>
      </c>
      <c r="GF23" s="72">
        <v>8</v>
      </c>
      <c r="GG23" s="72">
        <v>4</v>
      </c>
      <c r="GH23" s="72">
        <v>0</v>
      </c>
      <c r="GI23" s="72">
        <v>12</v>
      </c>
      <c r="GJ23" s="72">
        <v>8</v>
      </c>
      <c r="GK23" s="72">
        <v>12</v>
      </c>
      <c r="GL23" s="72">
        <v>2</v>
      </c>
      <c r="GM23" s="72">
        <v>16</v>
      </c>
      <c r="GN23" s="72">
        <v>2</v>
      </c>
      <c r="GO23" s="72">
        <v>6</v>
      </c>
      <c r="GP23" s="72">
        <v>4</v>
      </c>
      <c r="GQ23" s="72">
        <v>0</v>
      </c>
      <c r="GR23" s="72">
        <v>10</v>
      </c>
      <c r="GS23" s="72">
        <v>0</v>
      </c>
      <c r="GT23" s="72">
        <v>4</v>
      </c>
      <c r="GU23" s="72">
        <v>0</v>
      </c>
      <c r="GV23" s="72"/>
      <c r="GW23" s="72"/>
      <c r="GX23" s="72"/>
      <c r="GY23" s="64" t="s">
        <v>326</v>
      </c>
      <c r="GZ23" s="64">
        <v>0</v>
      </c>
      <c r="HA23" s="64">
        <v>2</v>
      </c>
      <c r="HB23" s="64">
        <v>0</v>
      </c>
      <c r="HC23" s="64">
        <v>4</v>
      </c>
      <c r="HD23" s="64">
        <v>2</v>
      </c>
      <c r="HE23" s="64">
        <v>0</v>
      </c>
      <c r="HF23" s="64">
        <v>4</v>
      </c>
      <c r="HG23" s="64">
        <v>2</v>
      </c>
      <c r="HH23" s="64">
        <v>0</v>
      </c>
      <c r="HI23" s="64">
        <v>4</v>
      </c>
      <c r="HJ23" s="64">
        <v>2</v>
      </c>
      <c r="HK23" s="64">
        <v>0</v>
      </c>
      <c r="HL23" s="64">
        <v>4</v>
      </c>
      <c r="HM23" s="64">
        <v>2</v>
      </c>
      <c r="HN23" s="64">
        <v>0</v>
      </c>
      <c r="HO23" s="64">
        <v>2</v>
      </c>
      <c r="HP23" s="64">
        <v>0</v>
      </c>
      <c r="HQ23" s="64">
        <v>4</v>
      </c>
      <c r="HR23" s="64">
        <v>2</v>
      </c>
      <c r="HS23" s="64">
        <v>0</v>
      </c>
      <c r="HT23" s="64">
        <v>4</v>
      </c>
      <c r="HV23" s="64" t="s">
        <v>380</v>
      </c>
      <c r="HW23" s="72">
        <v>0</v>
      </c>
      <c r="HX23" s="72">
        <v>2</v>
      </c>
      <c r="HY23" s="72">
        <v>0</v>
      </c>
      <c r="HZ23" s="72">
        <v>2</v>
      </c>
      <c r="IA23" s="72">
        <v>4</v>
      </c>
      <c r="IB23" s="72">
        <v>2</v>
      </c>
      <c r="IC23" s="72">
        <v>4</v>
      </c>
      <c r="ID23" s="72">
        <v>0</v>
      </c>
      <c r="IE23" s="72">
        <v>4</v>
      </c>
      <c r="IF23" s="72">
        <v>0</v>
      </c>
      <c r="IG23" s="72">
        <v>2</v>
      </c>
      <c r="IH23" s="72">
        <v>0</v>
      </c>
      <c r="II23" s="72">
        <v>2</v>
      </c>
      <c r="IJ23" s="72">
        <v>4</v>
      </c>
      <c r="IK23" s="72">
        <v>2</v>
      </c>
      <c r="IL23" s="72">
        <v>4</v>
      </c>
      <c r="IM23" s="72">
        <v>2</v>
      </c>
      <c r="IN23" s="72">
        <v>4</v>
      </c>
      <c r="IO23" s="72">
        <v>0</v>
      </c>
      <c r="IP23" s="72">
        <v>4</v>
      </c>
      <c r="IQ23" s="72">
        <v>0</v>
      </c>
      <c r="IS23" s="64" t="s">
        <v>380</v>
      </c>
      <c r="IT23" s="64">
        <f t="shared" si="42"/>
        <v>0</v>
      </c>
      <c r="IU23" s="64">
        <f t="shared" si="43"/>
        <v>4</v>
      </c>
      <c r="IV23" s="64">
        <f t="shared" si="44"/>
        <v>0</v>
      </c>
      <c r="IW23" s="64">
        <f t="shared" si="45"/>
        <v>4</v>
      </c>
      <c r="IX23" s="64">
        <f t="shared" si="46"/>
        <v>8</v>
      </c>
      <c r="IY23" s="64">
        <f t="shared" si="47"/>
        <v>4</v>
      </c>
      <c r="IZ23" s="64">
        <f t="shared" si="48"/>
        <v>8</v>
      </c>
      <c r="JA23" s="64">
        <f t="shared" si="49"/>
        <v>0</v>
      </c>
      <c r="JB23" s="64">
        <f t="shared" si="50"/>
        <v>8</v>
      </c>
      <c r="JC23" s="64">
        <f t="shared" si="51"/>
        <v>0</v>
      </c>
      <c r="JD23" s="64">
        <f t="shared" si="52"/>
        <v>4</v>
      </c>
      <c r="JE23" s="64">
        <f t="shared" si="53"/>
        <v>0</v>
      </c>
      <c r="JF23" s="64">
        <f t="shared" si="54"/>
        <v>4</v>
      </c>
      <c r="JG23" s="64">
        <f t="shared" si="55"/>
        <v>8</v>
      </c>
      <c r="JH23" s="64">
        <f t="shared" si="56"/>
        <v>4</v>
      </c>
      <c r="JI23" s="64">
        <f t="shared" si="57"/>
        <v>8</v>
      </c>
      <c r="JJ23" s="64">
        <f t="shared" si="58"/>
        <v>4</v>
      </c>
      <c r="JK23" s="64">
        <f t="shared" si="59"/>
        <v>8</v>
      </c>
      <c r="JL23" s="64">
        <f t="shared" si="60"/>
        <v>0</v>
      </c>
      <c r="JM23" s="64">
        <f t="shared" si="61"/>
        <v>8</v>
      </c>
      <c r="JN23" s="64">
        <f t="shared" si="62"/>
        <v>0</v>
      </c>
    </row>
    <row r="24" spans="1:295" x14ac:dyDescent="0.25">
      <c r="A24" s="9"/>
      <c r="B24" s="9"/>
      <c r="C24" s="9"/>
      <c r="D24" s="9"/>
      <c r="E24" s="9"/>
      <c r="F24" s="9"/>
      <c r="G24" s="9"/>
      <c r="H24" s="9"/>
      <c r="I24" s="9"/>
      <c r="J24" s="9"/>
      <c r="K24" s="9"/>
      <c r="U24" s="36"/>
      <c r="V24" s="72"/>
      <c r="W24" s="85">
        <f t="shared" si="74"/>
        <v>0</v>
      </c>
      <c r="X24" s="72" t="s">
        <v>387</v>
      </c>
      <c r="Y24" s="72">
        <v>2500</v>
      </c>
      <c r="Z24" s="72"/>
      <c r="AA24" s="72"/>
      <c r="AB24" s="72">
        <f t="shared" si="69"/>
        <v>0</v>
      </c>
      <c r="AC24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14,$GB$80:$GV$80,0),MATCH($E$3,$X$7:$X$24,0))</f>
        <v>0</v>
      </c>
      <c r="AD24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14,$GB$80:$GV$80,0),MATCH($E$3,$X$7:$X$24,0))</f>
        <v>0</v>
      </c>
      <c r="AE24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14,$GB$80:$GV$80,0),MATCH($E$3,$X$7:$X$24,0))</f>
        <v>0</v>
      </c>
      <c r="AF24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14,$GB$80:$GV$80,0),MATCH($E$3,$X$7:$X$24,0)))*C14</f>
        <v>0</v>
      </c>
      <c r="AG24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14,$GB$80:$GV$80,0),MATCH($E$3,$X$7:$X$24,0)))*C14</f>
        <v>0</v>
      </c>
      <c r="AH24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14,$GB$80:$GV$80,0),MATCH($E$3,$X$7:$X$24,0)))*C14</f>
        <v>0</v>
      </c>
      <c r="AI24" s="72">
        <f t="shared" si="63"/>
        <v>0</v>
      </c>
      <c r="AJ24" s="72">
        <f t="shared" si="64"/>
        <v>0</v>
      </c>
      <c r="AK24" s="72">
        <f t="shared" si="65"/>
        <v>0</v>
      </c>
      <c r="AL24" s="72" t="s">
        <v>64</v>
      </c>
      <c r="AM24" s="72">
        <v>0</v>
      </c>
      <c r="AN24" s="72">
        <v>0</v>
      </c>
      <c r="AO24" s="72">
        <v>2</v>
      </c>
      <c r="AP24" s="72">
        <v>0</v>
      </c>
      <c r="AQ24" s="72">
        <v>4</v>
      </c>
      <c r="AR24" s="72">
        <v>2</v>
      </c>
      <c r="AS24" s="72">
        <v>0</v>
      </c>
      <c r="AT24" s="72">
        <v>4</v>
      </c>
      <c r="AU24" s="72">
        <v>0</v>
      </c>
      <c r="AV24" s="72">
        <v>0</v>
      </c>
      <c r="AW24" s="72">
        <v>4</v>
      </c>
      <c r="AX24" s="72">
        <v>2</v>
      </c>
      <c r="AY24" s="72">
        <v>0</v>
      </c>
      <c r="AZ24" s="72">
        <v>0</v>
      </c>
      <c r="BA24" s="72">
        <v>0</v>
      </c>
      <c r="BB24" s="72">
        <v>0</v>
      </c>
      <c r="BC24" s="72">
        <v>2</v>
      </c>
      <c r="BD24" s="72">
        <v>2</v>
      </c>
      <c r="BE24" s="72">
        <v>0</v>
      </c>
      <c r="BF24" s="72">
        <v>0</v>
      </c>
      <c r="BG24" s="72">
        <v>0</v>
      </c>
      <c r="BH24" s="72">
        <v>0</v>
      </c>
      <c r="BI24" s="72">
        <v>4</v>
      </c>
      <c r="BJ24" s="72">
        <v>0</v>
      </c>
      <c r="BK24" s="72">
        <v>0</v>
      </c>
      <c r="BL24" s="72">
        <v>4</v>
      </c>
      <c r="BM24" s="72">
        <v>2</v>
      </c>
      <c r="BN24" s="72">
        <v>0</v>
      </c>
      <c r="BO24" s="72">
        <v>0</v>
      </c>
      <c r="BP24" s="72">
        <v>0</v>
      </c>
      <c r="BQ24" s="72">
        <v>0</v>
      </c>
      <c r="BR24" s="72">
        <v>2</v>
      </c>
      <c r="BS24" s="72">
        <v>2</v>
      </c>
      <c r="BT24" s="72">
        <v>0</v>
      </c>
      <c r="BU24" s="72">
        <v>0</v>
      </c>
      <c r="BV24" s="72">
        <v>0</v>
      </c>
      <c r="BW24" s="72">
        <v>0</v>
      </c>
      <c r="BX24" s="72">
        <v>2</v>
      </c>
      <c r="BY24" s="72">
        <v>0</v>
      </c>
      <c r="BZ24" s="72">
        <v>0</v>
      </c>
      <c r="CA24" s="72">
        <v>0</v>
      </c>
      <c r="CB24" s="72">
        <v>2</v>
      </c>
      <c r="CC24" s="72">
        <v>0</v>
      </c>
      <c r="CD24" s="72">
        <v>0</v>
      </c>
      <c r="CE24" s="72">
        <v>0</v>
      </c>
      <c r="CF24" s="72">
        <v>0</v>
      </c>
      <c r="CG24" s="72">
        <v>0</v>
      </c>
      <c r="CH24" s="72">
        <v>0</v>
      </c>
      <c r="CI24" s="72">
        <v>0</v>
      </c>
      <c r="CJ24" s="72">
        <v>0</v>
      </c>
      <c r="CK24" s="72">
        <v>2</v>
      </c>
      <c r="CL24" s="72"/>
      <c r="CM24" s="88">
        <v>20</v>
      </c>
      <c r="CN24" s="72" t="s">
        <v>308</v>
      </c>
      <c r="CO24" s="72" t="s">
        <v>308</v>
      </c>
      <c r="CP24" s="72" t="s">
        <v>308</v>
      </c>
      <c r="CQ24" s="72" t="s">
        <v>308</v>
      </c>
      <c r="CR24" s="72" t="s">
        <v>308</v>
      </c>
      <c r="CS24" s="72" t="s">
        <v>308</v>
      </c>
      <c r="CT24" s="72" t="s">
        <v>308</v>
      </c>
      <c r="CU24" s="72" t="s">
        <v>308</v>
      </c>
      <c r="CV24" s="72" t="s">
        <v>308</v>
      </c>
      <c r="CW24" s="72" t="s">
        <v>308</v>
      </c>
      <c r="CX24" s="72" t="s">
        <v>308</v>
      </c>
      <c r="CY24" s="72" t="s">
        <v>308</v>
      </c>
      <c r="CZ24" s="72" t="s">
        <v>308</v>
      </c>
      <c r="DA24" s="72" t="s">
        <v>308</v>
      </c>
      <c r="DB24" s="72" t="s">
        <v>267</v>
      </c>
      <c r="DC24" s="72" t="s">
        <v>270</v>
      </c>
      <c r="DD24" s="72" t="s">
        <v>273</v>
      </c>
      <c r="DE24" s="72" t="s">
        <v>276</v>
      </c>
      <c r="DF24" s="72" t="s">
        <v>279</v>
      </c>
      <c r="DG24" s="72"/>
      <c r="DH24" s="72"/>
      <c r="DI24" s="72"/>
      <c r="DJ24" s="72"/>
      <c r="DK24" s="72"/>
      <c r="DL24" s="72"/>
      <c r="DM24" s="72"/>
      <c r="DN24" s="72"/>
      <c r="DO24" s="72"/>
      <c r="DP24" s="72"/>
      <c r="DQ24" s="72"/>
      <c r="DR24" s="72"/>
      <c r="DS24" s="72"/>
      <c r="DT24" s="72"/>
      <c r="DU24" s="72"/>
      <c r="DV24" s="72"/>
      <c r="DW24" s="72"/>
      <c r="DX24" s="72"/>
      <c r="DY24" s="72"/>
      <c r="DZ24" s="81">
        <v>23</v>
      </c>
      <c r="EA24" s="81">
        <v>46</v>
      </c>
      <c r="EB24" s="81"/>
      <c r="EC24" s="72"/>
      <c r="ED24" s="72"/>
      <c r="EE24" s="72"/>
      <c r="EF24" s="72"/>
      <c r="EG24" s="72"/>
      <c r="EH24" s="72"/>
      <c r="EI24" s="72"/>
      <c r="EJ24" s="72"/>
      <c r="EK24" s="72"/>
      <c r="EL24" s="72"/>
      <c r="EM24" s="72"/>
      <c r="EN24" s="72"/>
      <c r="EO24" s="72" t="s">
        <v>196</v>
      </c>
      <c r="EP24" s="72" t="s">
        <v>412</v>
      </c>
      <c r="EQ24" s="72" t="s">
        <v>419</v>
      </c>
      <c r="ER24" s="72" t="s">
        <v>420</v>
      </c>
      <c r="ES24" s="72"/>
      <c r="ET24" s="72"/>
      <c r="EU24" s="72"/>
      <c r="EV24" s="72" t="s">
        <v>102</v>
      </c>
      <c r="EW24" s="72">
        <v>0</v>
      </c>
      <c r="EX24" s="72">
        <v>0</v>
      </c>
      <c r="EY24" s="72">
        <v>0</v>
      </c>
      <c r="EZ24" s="72">
        <v>0</v>
      </c>
      <c r="FA24" s="72">
        <v>0</v>
      </c>
      <c r="FB24" s="72">
        <v>0</v>
      </c>
      <c r="FC24" s="72">
        <v>0</v>
      </c>
      <c r="FD24" s="72">
        <v>2</v>
      </c>
      <c r="FE24" s="72">
        <v>0</v>
      </c>
      <c r="FF24" s="72">
        <v>2</v>
      </c>
      <c r="FG24" s="72">
        <v>4</v>
      </c>
      <c r="FH24" s="72">
        <v>4</v>
      </c>
      <c r="FI24" s="72">
        <v>2</v>
      </c>
      <c r="FJ24" s="72">
        <v>6</v>
      </c>
      <c r="FK24" s="72">
        <v>6</v>
      </c>
      <c r="FL24" s="72">
        <v>2</v>
      </c>
      <c r="FM24" s="72">
        <v>2</v>
      </c>
      <c r="FN24" s="72">
        <v>8</v>
      </c>
      <c r="FO24" s="72">
        <v>0</v>
      </c>
      <c r="FP24" s="72">
        <v>0</v>
      </c>
      <c r="FQ24" s="72">
        <v>6</v>
      </c>
      <c r="FR24" s="72">
        <v>2</v>
      </c>
      <c r="FS24" s="72">
        <v>4</v>
      </c>
      <c r="FT24" s="72">
        <v>4</v>
      </c>
      <c r="FU24" s="72">
        <v>14</v>
      </c>
      <c r="FV24" s="72">
        <v>0</v>
      </c>
      <c r="FW24" s="72">
        <v>6</v>
      </c>
      <c r="FX24" s="72">
        <v>12</v>
      </c>
      <c r="FY24" s="72">
        <v>8</v>
      </c>
      <c r="FZ24" s="72">
        <v>4</v>
      </c>
      <c r="GA24" s="72">
        <v>14</v>
      </c>
      <c r="GB24" s="72">
        <v>18</v>
      </c>
      <c r="GC24" s="72">
        <v>6</v>
      </c>
      <c r="GD24" s="72">
        <v>12</v>
      </c>
      <c r="GE24" s="72">
        <v>18</v>
      </c>
      <c r="GF24" s="72">
        <v>8</v>
      </c>
      <c r="GG24" s="72">
        <v>14</v>
      </c>
      <c r="GH24" s="72">
        <v>20</v>
      </c>
      <c r="GI24" s="72">
        <v>6</v>
      </c>
      <c r="GJ24" s="72">
        <v>12</v>
      </c>
      <c r="GK24" s="72">
        <v>12</v>
      </c>
      <c r="GL24" s="72">
        <v>22</v>
      </c>
      <c r="GM24" s="72">
        <v>8</v>
      </c>
      <c r="GN24" s="72">
        <v>20</v>
      </c>
      <c r="GO24" s="72">
        <v>20</v>
      </c>
      <c r="GP24" s="72">
        <v>16</v>
      </c>
      <c r="GQ24" s="72">
        <v>22</v>
      </c>
      <c r="GR24" s="72">
        <v>18</v>
      </c>
      <c r="GS24" s="72">
        <v>28</v>
      </c>
      <c r="GT24" s="72">
        <v>20</v>
      </c>
      <c r="GU24" s="72">
        <v>26</v>
      </c>
      <c r="GV24" s="72"/>
      <c r="GW24" s="72"/>
      <c r="GX24" s="72"/>
      <c r="GY24" s="64" t="s">
        <v>327</v>
      </c>
      <c r="GZ24" s="64">
        <v>0</v>
      </c>
      <c r="HA24" s="64">
        <v>0</v>
      </c>
      <c r="HB24" s="64">
        <v>2</v>
      </c>
      <c r="HC24" s="64">
        <v>0</v>
      </c>
      <c r="HD24" s="64">
        <v>2</v>
      </c>
      <c r="HE24" s="64">
        <v>4</v>
      </c>
      <c r="HF24" s="64">
        <v>2</v>
      </c>
      <c r="HG24" s="64">
        <v>4</v>
      </c>
      <c r="HH24" s="64">
        <v>6</v>
      </c>
      <c r="HI24" s="64">
        <v>4</v>
      </c>
      <c r="HJ24" s="64">
        <v>6</v>
      </c>
      <c r="HK24" s="64">
        <v>8</v>
      </c>
      <c r="HL24" s="64">
        <v>6</v>
      </c>
      <c r="HM24" s="64">
        <v>8</v>
      </c>
      <c r="HN24" s="64">
        <v>10</v>
      </c>
      <c r="HO24" s="64">
        <v>10</v>
      </c>
      <c r="HP24" s="64">
        <v>12</v>
      </c>
      <c r="HQ24" s="64">
        <v>10</v>
      </c>
      <c r="HR24" s="64">
        <v>12</v>
      </c>
      <c r="HS24" s="64">
        <v>14</v>
      </c>
      <c r="HT24" s="64">
        <v>12</v>
      </c>
      <c r="HV24" s="64" t="s">
        <v>379</v>
      </c>
      <c r="HW24" s="72">
        <v>0</v>
      </c>
      <c r="HX24" s="72">
        <v>0</v>
      </c>
      <c r="HY24" s="72">
        <v>2</v>
      </c>
      <c r="HZ24" s="72">
        <v>2</v>
      </c>
      <c r="IA24" s="72">
        <v>2</v>
      </c>
      <c r="IB24" s="72">
        <v>4</v>
      </c>
      <c r="IC24" s="72">
        <v>4</v>
      </c>
      <c r="ID24" s="72">
        <v>8</v>
      </c>
      <c r="IE24" s="72">
        <v>6</v>
      </c>
      <c r="IF24" s="72">
        <v>10</v>
      </c>
      <c r="IG24" s="72">
        <v>10</v>
      </c>
      <c r="IH24" s="72">
        <v>12</v>
      </c>
      <c r="II24" s="72">
        <v>12</v>
      </c>
      <c r="IJ24" s="72">
        <v>12</v>
      </c>
      <c r="IK24" s="72">
        <v>14</v>
      </c>
      <c r="IL24" s="72">
        <v>14</v>
      </c>
      <c r="IM24" s="72">
        <v>16</v>
      </c>
      <c r="IN24" s="72">
        <v>16</v>
      </c>
      <c r="IO24" s="72">
        <v>20</v>
      </c>
      <c r="IP24" s="72">
        <v>18</v>
      </c>
      <c r="IQ24" s="72">
        <v>22</v>
      </c>
      <c r="IS24" s="64" t="s">
        <v>379</v>
      </c>
      <c r="IT24" s="64">
        <f t="shared" si="42"/>
        <v>0</v>
      </c>
      <c r="IU24" s="64">
        <f t="shared" si="43"/>
        <v>0</v>
      </c>
      <c r="IV24" s="64">
        <f t="shared" si="44"/>
        <v>4</v>
      </c>
      <c r="IW24" s="64">
        <f t="shared" si="45"/>
        <v>4</v>
      </c>
      <c r="IX24" s="64">
        <f t="shared" si="46"/>
        <v>4</v>
      </c>
      <c r="IY24" s="64">
        <f t="shared" si="47"/>
        <v>8</v>
      </c>
      <c r="IZ24" s="64">
        <f t="shared" si="48"/>
        <v>8</v>
      </c>
      <c r="JA24" s="64">
        <f t="shared" si="49"/>
        <v>16</v>
      </c>
      <c r="JB24" s="64">
        <f t="shared" si="50"/>
        <v>12</v>
      </c>
      <c r="JC24" s="64">
        <f t="shared" si="51"/>
        <v>20</v>
      </c>
      <c r="JD24" s="64">
        <f t="shared" si="52"/>
        <v>20</v>
      </c>
      <c r="JE24" s="64">
        <f t="shared" si="53"/>
        <v>24</v>
      </c>
      <c r="JF24" s="64">
        <f t="shared" si="54"/>
        <v>24</v>
      </c>
      <c r="JG24" s="64">
        <f t="shared" si="55"/>
        <v>24</v>
      </c>
      <c r="JH24" s="64">
        <f t="shared" si="56"/>
        <v>28</v>
      </c>
      <c r="JI24" s="64">
        <f t="shared" si="57"/>
        <v>28</v>
      </c>
      <c r="JJ24" s="64">
        <f t="shared" si="58"/>
        <v>32</v>
      </c>
      <c r="JK24" s="64">
        <f t="shared" si="59"/>
        <v>32</v>
      </c>
      <c r="JL24" s="64">
        <f t="shared" si="60"/>
        <v>40</v>
      </c>
      <c r="JM24" s="64">
        <f t="shared" si="61"/>
        <v>36</v>
      </c>
      <c r="JN24" s="64">
        <f t="shared" si="62"/>
        <v>44</v>
      </c>
      <c r="JQ24" s="88"/>
    </row>
    <row r="25" spans="1:295" x14ac:dyDescent="0.25">
      <c r="A25" s="9"/>
      <c r="B25" s="9"/>
      <c r="C25" s="9"/>
      <c r="D25" s="9"/>
      <c r="E25" s="9"/>
      <c r="T25" s="36"/>
      <c r="U25" s="36"/>
      <c r="V25" s="72"/>
      <c r="W25" s="85">
        <f t="shared" si="74"/>
        <v>0</v>
      </c>
      <c r="Z25" s="72"/>
      <c r="AA25" s="72"/>
      <c r="AB25" s="72">
        <f t="shared" si="69"/>
        <v>0</v>
      </c>
      <c r="AC2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15,$GB$80:$GV$80,0),MATCH($E$3,$X$7:$X$24,0))</f>
        <v>0</v>
      </c>
      <c r="AD2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15,$GB$80:$GV$80,0),MATCH($E$3,$X$7:$X$24,0))</f>
        <v>0</v>
      </c>
      <c r="AE2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15,$GB$80:$GV$80,0),MATCH($E$3,$X$7:$X$24,0))</f>
        <v>0</v>
      </c>
      <c r="AF2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15,$GB$80:$GV$80,0),MATCH($E$3,$X$7:$X$24,0)))*C15</f>
        <v>0</v>
      </c>
      <c r="AG2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15,$GB$80:$GV$80,0),MATCH($E$3,$X$7:$X$24,0)))*C15</f>
        <v>0</v>
      </c>
      <c r="AH2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15,$GB$80:$GV$80,0),MATCH($E$3,$X$7:$X$24,0)))*C15</f>
        <v>0</v>
      </c>
      <c r="AI25" s="72">
        <f t="shared" si="63"/>
        <v>0</v>
      </c>
      <c r="AJ25" s="72">
        <f t="shared" si="64"/>
        <v>0</v>
      </c>
      <c r="AK25" s="72">
        <f>AJ25*C15</f>
        <v>0</v>
      </c>
      <c r="AL25" s="72" t="s">
        <v>14</v>
      </c>
      <c r="AM25" s="72">
        <v>0</v>
      </c>
      <c r="AN25" s="72">
        <v>0</v>
      </c>
      <c r="AO25" s="72">
        <v>0</v>
      </c>
      <c r="AP25" s="72">
        <v>0</v>
      </c>
      <c r="AQ25" s="72">
        <v>0</v>
      </c>
      <c r="AR25" s="72">
        <v>0</v>
      </c>
      <c r="AS25" s="72">
        <v>0</v>
      </c>
      <c r="AT25" s="72">
        <v>2</v>
      </c>
      <c r="AU25" s="72">
        <v>0</v>
      </c>
      <c r="AV25" s="72">
        <v>2</v>
      </c>
      <c r="AW25" s="72">
        <v>2</v>
      </c>
      <c r="AX25" s="72">
        <v>2</v>
      </c>
      <c r="AY25" s="72">
        <v>4</v>
      </c>
      <c r="AZ25" s="72">
        <v>0</v>
      </c>
      <c r="BA25" s="72">
        <v>2</v>
      </c>
      <c r="BB25" s="72">
        <v>4</v>
      </c>
      <c r="BC25" s="72">
        <v>2</v>
      </c>
      <c r="BD25" s="72">
        <v>6</v>
      </c>
      <c r="BE25" s="72">
        <v>4</v>
      </c>
      <c r="BF25" s="72">
        <v>2</v>
      </c>
      <c r="BG25" s="72">
        <v>4</v>
      </c>
      <c r="BH25" s="72">
        <v>6</v>
      </c>
      <c r="BI25" s="72">
        <v>8</v>
      </c>
      <c r="BJ25" s="72">
        <v>4</v>
      </c>
      <c r="BK25" s="72">
        <v>6</v>
      </c>
      <c r="BL25" s="72">
        <v>6</v>
      </c>
      <c r="BM25" s="72">
        <v>6</v>
      </c>
      <c r="BN25" s="72">
        <v>6</v>
      </c>
      <c r="BO25" s="72">
        <v>4</v>
      </c>
      <c r="BP25" s="72">
        <v>6</v>
      </c>
      <c r="BQ25" s="72">
        <v>8</v>
      </c>
      <c r="BR25" s="72">
        <v>6</v>
      </c>
      <c r="BS25" s="72">
        <v>12</v>
      </c>
      <c r="BT25" s="72">
        <v>8</v>
      </c>
      <c r="BU25" s="72">
        <v>22</v>
      </c>
      <c r="BV25" s="72">
        <v>24</v>
      </c>
      <c r="BW25" s="72">
        <v>10</v>
      </c>
      <c r="BX25" s="72">
        <v>0</v>
      </c>
      <c r="BY25" s="72">
        <v>24</v>
      </c>
      <c r="BZ25" s="72">
        <v>10</v>
      </c>
      <c r="CA25" s="72">
        <v>0</v>
      </c>
      <c r="CB25" s="72">
        <v>10</v>
      </c>
      <c r="CC25" s="72">
        <v>10</v>
      </c>
      <c r="CD25" s="72">
        <v>0</v>
      </c>
      <c r="CE25" s="72">
        <v>26</v>
      </c>
      <c r="CF25" s="72">
        <v>12</v>
      </c>
      <c r="CG25" s="72">
        <v>0</v>
      </c>
      <c r="CH25" s="72">
        <v>4</v>
      </c>
      <c r="CI25" s="72">
        <v>12</v>
      </c>
      <c r="CJ25" s="72">
        <v>0</v>
      </c>
      <c r="CK25" s="72">
        <v>12</v>
      </c>
      <c r="CL25" s="72"/>
      <c r="CM25" s="72"/>
      <c r="CN25" s="72"/>
      <c r="CO25" s="72"/>
      <c r="CP25" s="72"/>
      <c r="CQ25" s="72"/>
      <c r="CR25" s="72"/>
      <c r="CS25" s="72"/>
      <c r="CT25" s="72"/>
      <c r="CU25" s="72"/>
      <c r="CV25" s="72"/>
      <c r="CW25" s="72"/>
      <c r="CX25" s="72"/>
      <c r="CY25" s="72"/>
      <c r="CZ25" s="72"/>
      <c r="DA25" s="72"/>
      <c r="DB25" s="72"/>
      <c r="DC25" s="72"/>
      <c r="DD25" s="72"/>
      <c r="DE25" s="72"/>
      <c r="DF25" s="72"/>
      <c r="DG25" s="72"/>
      <c r="DH25" s="72"/>
      <c r="DI25" s="72"/>
      <c r="DJ25" s="72"/>
      <c r="DK25" s="72"/>
      <c r="DL25" s="72"/>
      <c r="DM25" s="72"/>
      <c r="DN25" s="72"/>
      <c r="DO25" s="72"/>
      <c r="DP25" s="72"/>
      <c r="DQ25" s="72"/>
      <c r="DR25" s="72"/>
      <c r="DS25" s="72"/>
      <c r="DT25" s="72"/>
      <c r="DU25" s="72"/>
      <c r="DV25" s="72"/>
      <c r="DW25" s="72"/>
      <c r="DX25" s="72"/>
      <c r="DY25" s="72"/>
      <c r="DZ25" s="81">
        <v>24</v>
      </c>
      <c r="EA25" s="81">
        <v>48</v>
      </c>
      <c r="EB25" s="81"/>
      <c r="EC25" s="72"/>
      <c r="ED25" s="72"/>
      <c r="EE25" s="72"/>
      <c r="EF25" s="72"/>
      <c r="EG25" s="72"/>
      <c r="EH25" s="72"/>
      <c r="EI25" s="72"/>
      <c r="EJ25" s="72"/>
      <c r="EK25" s="72"/>
      <c r="EL25" s="72"/>
      <c r="EM25" s="72"/>
      <c r="EN25" s="72"/>
      <c r="EO25" s="72" t="s">
        <v>198</v>
      </c>
      <c r="EP25" s="72" t="s">
        <v>412</v>
      </c>
      <c r="EQ25" s="72" t="s">
        <v>419</v>
      </c>
      <c r="ER25" s="72" t="s">
        <v>420</v>
      </c>
      <c r="ES25" s="72"/>
      <c r="ET25" s="72"/>
      <c r="EU25" s="72"/>
      <c r="EV25" s="72" t="s">
        <v>10</v>
      </c>
      <c r="EW25" s="72">
        <v>0</v>
      </c>
      <c r="EX25" s="72">
        <v>0</v>
      </c>
      <c r="EY25" s="72">
        <v>0</v>
      </c>
      <c r="EZ25" s="72">
        <v>0</v>
      </c>
      <c r="FA25" s="72">
        <v>2</v>
      </c>
      <c r="FB25" s="72">
        <v>2</v>
      </c>
      <c r="FC25" s="72">
        <v>2</v>
      </c>
      <c r="FD25" s="72">
        <v>4</v>
      </c>
      <c r="FE25" s="72">
        <v>4</v>
      </c>
      <c r="FF25" s="72">
        <v>4</v>
      </c>
      <c r="FG25" s="72">
        <v>4</v>
      </c>
      <c r="FH25" s="72">
        <v>6</v>
      </c>
      <c r="FI25" s="72">
        <v>6</v>
      </c>
      <c r="FJ25" s="72">
        <v>6</v>
      </c>
      <c r="FK25" s="72">
        <v>8</v>
      </c>
      <c r="FL25" s="72">
        <v>8</v>
      </c>
      <c r="FM25" s="72">
        <v>8</v>
      </c>
      <c r="FN25" s="72">
        <v>8</v>
      </c>
      <c r="FO25" s="72">
        <v>10</v>
      </c>
      <c r="FP25" s="72">
        <v>10</v>
      </c>
      <c r="FQ25" s="72">
        <v>10</v>
      </c>
      <c r="FR25" s="72">
        <v>12</v>
      </c>
      <c r="FS25" s="72">
        <v>12</v>
      </c>
      <c r="FT25" s="72">
        <v>12</v>
      </c>
      <c r="FU25" s="72">
        <v>12</v>
      </c>
      <c r="FV25" s="72">
        <v>14</v>
      </c>
      <c r="FW25" s="72">
        <v>14</v>
      </c>
      <c r="FX25" s="72">
        <v>14</v>
      </c>
      <c r="FY25" s="72">
        <v>16</v>
      </c>
      <c r="FZ25" s="72">
        <v>16</v>
      </c>
      <c r="GA25" s="72">
        <v>16</v>
      </c>
      <c r="GB25" s="72">
        <v>16</v>
      </c>
      <c r="GC25" s="72">
        <v>18</v>
      </c>
      <c r="GD25" s="72">
        <v>18</v>
      </c>
      <c r="GE25" s="72">
        <v>18</v>
      </c>
      <c r="GF25" s="72">
        <v>20</v>
      </c>
      <c r="GG25" s="72">
        <v>20</v>
      </c>
      <c r="GH25" s="72">
        <v>20</v>
      </c>
      <c r="GI25" s="72">
        <v>22</v>
      </c>
      <c r="GJ25" s="72">
        <v>22</v>
      </c>
      <c r="GK25" s="72">
        <v>22</v>
      </c>
      <c r="GL25" s="72">
        <v>22</v>
      </c>
      <c r="GM25" s="72">
        <v>24</v>
      </c>
      <c r="GN25" s="72">
        <v>24</v>
      </c>
      <c r="GO25" s="72">
        <v>24</v>
      </c>
      <c r="GP25" s="72">
        <v>26</v>
      </c>
      <c r="GQ25" s="72">
        <v>26</v>
      </c>
      <c r="GR25" s="72">
        <v>26</v>
      </c>
      <c r="GS25" s="72">
        <v>26</v>
      </c>
      <c r="GT25" s="72">
        <v>28</v>
      </c>
      <c r="GU25" s="72">
        <v>28</v>
      </c>
      <c r="GV25" s="72"/>
      <c r="GW25" s="72"/>
      <c r="GX25" s="72"/>
      <c r="GY25" s="64" t="s">
        <v>328</v>
      </c>
      <c r="GZ25" s="64">
        <v>0</v>
      </c>
      <c r="HA25" s="64">
        <v>0</v>
      </c>
      <c r="HB25" s="64">
        <v>0</v>
      </c>
      <c r="HC25" s="64">
        <v>2</v>
      </c>
      <c r="HD25" s="64">
        <v>2</v>
      </c>
      <c r="HE25" s="64">
        <v>2</v>
      </c>
      <c r="HF25" s="64">
        <v>4</v>
      </c>
      <c r="HG25" s="64">
        <v>4</v>
      </c>
      <c r="HH25" s="64">
        <v>4</v>
      </c>
      <c r="HI25" s="64">
        <v>6</v>
      </c>
      <c r="HJ25" s="64">
        <v>6</v>
      </c>
      <c r="HK25" s="64">
        <v>6</v>
      </c>
      <c r="HL25" s="64">
        <v>8</v>
      </c>
      <c r="HM25" s="64">
        <v>8</v>
      </c>
      <c r="HN25" s="64">
        <v>8</v>
      </c>
      <c r="HO25" s="64">
        <v>10</v>
      </c>
      <c r="HP25" s="64">
        <v>10</v>
      </c>
      <c r="HQ25" s="64">
        <v>12</v>
      </c>
      <c r="HR25" s="64">
        <v>12</v>
      </c>
      <c r="HS25" s="64">
        <v>12</v>
      </c>
      <c r="HT25" s="64">
        <v>14</v>
      </c>
      <c r="HV25" s="64" t="s">
        <v>406</v>
      </c>
      <c r="HW25" s="72">
        <v>0</v>
      </c>
      <c r="HX25" s="72">
        <v>0</v>
      </c>
      <c r="HY25" s="72">
        <v>0</v>
      </c>
      <c r="HZ25" s="72">
        <v>2</v>
      </c>
      <c r="IA25" s="72">
        <v>4</v>
      </c>
      <c r="IB25" s="72">
        <v>4</v>
      </c>
      <c r="IC25" s="72">
        <v>6</v>
      </c>
      <c r="ID25" s="72">
        <v>6</v>
      </c>
      <c r="IE25" s="72">
        <v>8</v>
      </c>
      <c r="IF25" s="72">
        <v>8</v>
      </c>
      <c r="IG25" s="72">
        <v>10</v>
      </c>
      <c r="IH25" s="72">
        <v>10</v>
      </c>
      <c r="II25" s="72">
        <v>12</v>
      </c>
      <c r="IJ25" s="72">
        <v>14</v>
      </c>
      <c r="IK25" s="72">
        <v>14</v>
      </c>
      <c r="IL25" s="72">
        <v>16</v>
      </c>
      <c r="IM25" s="72">
        <v>16</v>
      </c>
      <c r="IN25" s="72">
        <v>18</v>
      </c>
      <c r="IO25" s="72">
        <v>18</v>
      </c>
      <c r="IP25" s="72">
        <v>20</v>
      </c>
      <c r="IQ25" s="72">
        <v>20</v>
      </c>
      <c r="IS25" s="64" t="s">
        <v>406</v>
      </c>
      <c r="IT25" s="64">
        <f t="shared" si="42"/>
        <v>0</v>
      </c>
      <c r="IU25" s="64">
        <f t="shared" si="43"/>
        <v>0</v>
      </c>
      <c r="IV25" s="64">
        <f t="shared" si="44"/>
        <v>0</v>
      </c>
      <c r="IW25" s="64">
        <f t="shared" si="45"/>
        <v>4</v>
      </c>
      <c r="IX25" s="64">
        <f t="shared" si="46"/>
        <v>8</v>
      </c>
      <c r="IY25" s="64">
        <f t="shared" si="47"/>
        <v>8</v>
      </c>
      <c r="IZ25" s="64">
        <f t="shared" si="48"/>
        <v>12</v>
      </c>
      <c r="JA25" s="64">
        <f t="shared" si="49"/>
        <v>12</v>
      </c>
      <c r="JB25" s="64">
        <f t="shared" si="50"/>
        <v>16</v>
      </c>
      <c r="JC25" s="64">
        <f t="shared" si="51"/>
        <v>16</v>
      </c>
      <c r="JD25" s="64">
        <f t="shared" si="52"/>
        <v>20</v>
      </c>
      <c r="JE25" s="64">
        <f t="shared" si="53"/>
        <v>20</v>
      </c>
      <c r="JF25" s="64">
        <f t="shared" si="54"/>
        <v>24</v>
      </c>
      <c r="JG25" s="64">
        <f t="shared" si="55"/>
        <v>28</v>
      </c>
      <c r="JH25" s="64">
        <f t="shared" si="56"/>
        <v>28</v>
      </c>
      <c r="JI25" s="64">
        <f t="shared" si="57"/>
        <v>32</v>
      </c>
      <c r="JJ25" s="64">
        <f t="shared" si="58"/>
        <v>32</v>
      </c>
      <c r="JK25" s="64">
        <f t="shared" si="59"/>
        <v>36</v>
      </c>
      <c r="JL25" s="64">
        <f t="shared" si="60"/>
        <v>36</v>
      </c>
      <c r="JM25" s="64">
        <f t="shared" si="61"/>
        <v>40</v>
      </c>
      <c r="JN25" s="64">
        <f t="shared" si="62"/>
        <v>40</v>
      </c>
      <c r="JQ25" s="88"/>
      <c r="KG25" s="88"/>
    </row>
    <row r="26" spans="1:295" ht="39" x14ac:dyDescent="0.25">
      <c r="A26" s="3" t="s">
        <v>553</v>
      </c>
      <c r="B26" s="3"/>
      <c r="C26" s="3" t="s">
        <v>550</v>
      </c>
      <c r="D26" s="9"/>
      <c r="E26" s="9"/>
      <c r="F26" s="9"/>
      <c r="G26" s="9"/>
      <c r="H26" s="9"/>
      <c r="I26" s="9"/>
      <c r="J26" s="9"/>
      <c r="K26" s="9"/>
      <c r="L26" s="221" t="str">
        <f>IF(E30=Z2,"KONŠTRUKCIA DP-DNHBE-VÝCHOD/ZÁPAD",IF(E30=Z3,"KONŠTRUKCIA DP-DNHKE-VÝCHOD/ZÁPAD",IF(E30=Z4,"KONŠTRUKCIA DP-DNHWE-VÝCHOD/ZÁPAD",IF(E30=Z5,"KONŠTRUKCIA DP-DNHKSE-VÝCHOD/ZÁPAD"))))</f>
        <v>KONŠTRUKCIA DP-DNHKE-VÝCHOD/ZÁPAD</v>
      </c>
      <c r="M26" s="221"/>
      <c r="N26" s="221"/>
      <c r="O26" s="221"/>
      <c r="P26" s="221"/>
      <c r="Q26" s="221"/>
      <c r="R26" s="221"/>
      <c r="S26" s="221"/>
      <c r="T26" s="221"/>
      <c r="U26" s="221"/>
      <c r="V26" s="72"/>
      <c r="W26" s="85">
        <f t="shared" si="74"/>
        <v>0</v>
      </c>
      <c r="X26" s="72" t="s">
        <v>59</v>
      </c>
      <c r="Y26" s="72">
        <v>1000</v>
      </c>
      <c r="Z26" s="72"/>
      <c r="AA26" s="72"/>
      <c r="AB26" s="72">
        <f t="shared" si="69"/>
        <v>0</v>
      </c>
      <c r="AC2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16,$GB$80:$GV$80,0),MATCH($E$3,$X$7:$X$24,0))</f>
        <v>0</v>
      </c>
      <c r="AD2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16,$GB$80:$GV$80,0),MATCH($E$3,$X$7:$X$24,0))</f>
        <v>0</v>
      </c>
      <c r="AE2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16,$GB$80:$GV$80,0),MATCH($E$3,$X$7:$X$24,0))</f>
        <v>0</v>
      </c>
      <c r="AF2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16,$GB$80:$GV$80,0),MATCH($E$3,$X$7:$X$24,0)))*C16</f>
        <v>0</v>
      </c>
      <c r="AG2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16,$GB$80:$GV$80,0),MATCH($E$3,$X$7:$X$24,0)))*C16</f>
        <v>0</v>
      </c>
      <c r="AH2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16,$GB$80:$GV$80,0),MATCH($E$3,$X$7:$X$24,0)))*C16</f>
        <v>0</v>
      </c>
      <c r="AI26" s="72">
        <f t="shared" si="63"/>
        <v>0</v>
      </c>
      <c r="AJ26" s="72">
        <f t="shared" si="64"/>
        <v>0</v>
      </c>
      <c r="AK26" s="72">
        <f t="shared" si="65"/>
        <v>0</v>
      </c>
      <c r="AL26" s="72" t="s">
        <v>18</v>
      </c>
      <c r="AM26" s="72">
        <v>0</v>
      </c>
      <c r="AN26" s="72">
        <v>0</v>
      </c>
      <c r="AO26" s="72">
        <v>0</v>
      </c>
      <c r="AP26" s="72">
        <v>2</v>
      </c>
      <c r="AQ26" s="72">
        <v>0</v>
      </c>
      <c r="AR26" s="72">
        <v>2</v>
      </c>
      <c r="AS26" s="72">
        <v>4</v>
      </c>
      <c r="AT26" s="72">
        <v>0</v>
      </c>
      <c r="AU26" s="72">
        <v>4</v>
      </c>
      <c r="AV26" s="72">
        <v>4</v>
      </c>
      <c r="AW26" s="72">
        <v>2</v>
      </c>
      <c r="AX26" s="72">
        <v>4</v>
      </c>
      <c r="AY26" s="72">
        <v>4</v>
      </c>
      <c r="AZ26" s="72">
        <v>6</v>
      </c>
      <c r="BA26" s="72">
        <v>6</v>
      </c>
      <c r="BB26" s="72">
        <v>6</v>
      </c>
      <c r="BC26" s="72">
        <v>6</v>
      </c>
      <c r="BD26" s="72">
        <v>4</v>
      </c>
      <c r="BE26" s="72">
        <v>8</v>
      </c>
      <c r="BF26" s="72">
        <v>8</v>
      </c>
      <c r="BG26" s="72">
        <v>8</v>
      </c>
      <c r="BH26" s="72">
        <v>8</v>
      </c>
      <c r="BI26" s="72">
        <v>4</v>
      </c>
      <c r="BJ26" s="72">
        <v>10</v>
      </c>
      <c r="BK26" s="72">
        <v>10</v>
      </c>
      <c r="BL26" s="72">
        <v>8</v>
      </c>
      <c r="BM26" s="72">
        <v>10</v>
      </c>
      <c r="BN26" s="72">
        <v>12</v>
      </c>
      <c r="BO26" s="72">
        <v>12</v>
      </c>
      <c r="BP26" s="72">
        <v>12</v>
      </c>
      <c r="BQ26" s="72">
        <v>12</v>
      </c>
      <c r="BR26" s="72">
        <v>12</v>
      </c>
      <c r="BS26" s="72">
        <v>8</v>
      </c>
      <c r="BT26" s="72">
        <v>14</v>
      </c>
      <c r="BU26" s="72">
        <v>0</v>
      </c>
      <c r="BV26" s="72">
        <v>0</v>
      </c>
      <c r="BW26" s="72">
        <v>14</v>
      </c>
      <c r="BX26" s="72">
        <v>22</v>
      </c>
      <c r="BY26" s="72">
        <v>2</v>
      </c>
      <c r="BZ26" s="72">
        <v>16</v>
      </c>
      <c r="CA26" s="72">
        <v>26</v>
      </c>
      <c r="CB26" s="72">
        <v>16</v>
      </c>
      <c r="CC26" s="72">
        <v>18</v>
      </c>
      <c r="CD26" s="72">
        <v>28</v>
      </c>
      <c r="CE26" s="72">
        <v>4</v>
      </c>
      <c r="CF26" s="72">
        <v>18</v>
      </c>
      <c r="CG26" s="72">
        <v>30</v>
      </c>
      <c r="CH26" s="72">
        <v>26</v>
      </c>
      <c r="CI26" s="72">
        <v>20</v>
      </c>
      <c r="CJ26" s="72">
        <v>32</v>
      </c>
      <c r="CK26" s="72">
        <v>20</v>
      </c>
      <c r="CL26" s="72"/>
      <c r="CM26" s="72"/>
      <c r="CN26" s="72"/>
      <c r="CO26" s="72"/>
      <c r="CP26" s="72"/>
      <c r="CQ26" s="72"/>
      <c r="CR26" s="72"/>
      <c r="CS26" s="72"/>
      <c r="CT26" s="72"/>
      <c r="CU26" s="72"/>
      <c r="CV26" s="72"/>
      <c r="CW26" s="72"/>
      <c r="CX26" s="72"/>
      <c r="CY26" s="72"/>
      <c r="CZ26" s="72"/>
      <c r="DA26" s="72"/>
      <c r="DB26" s="72"/>
      <c r="DC26" s="72"/>
      <c r="DD26" s="72"/>
      <c r="DE26" s="72"/>
      <c r="DF26" s="72"/>
      <c r="DG26" s="72"/>
      <c r="DH26" s="72"/>
      <c r="DI26" s="72"/>
      <c r="DJ26" s="72"/>
      <c r="DK26" s="72"/>
      <c r="DL26" s="72"/>
      <c r="DM26" s="72"/>
      <c r="DN26" s="72"/>
      <c r="DO26" s="72"/>
      <c r="DP26" s="72"/>
      <c r="DQ26" s="72"/>
      <c r="DR26" s="72"/>
      <c r="DS26" s="72"/>
      <c r="DT26" s="72"/>
      <c r="DU26" s="72"/>
      <c r="DV26" s="72"/>
      <c r="DW26" s="72"/>
      <c r="DX26" s="72"/>
      <c r="DY26" s="72"/>
      <c r="DZ26" s="81">
        <v>25</v>
      </c>
      <c r="EA26" s="81">
        <v>50</v>
      </c>
      <c r="EB26" s="81"/>
      <c r="EC26" s="72"/>
      <c r="ED26" s="72"/>
      <c r="EE26" s="72"/>
      <c r="EF26" s="72"/>
      <c r="EG26" s="72"/>
      <c r="EH26" s="72"/>
      <c r="EI26" s="72"/>
      <c r="EJ26" s="72"/>
      <c r="EK26" s="72"/>
      <c r="EL26" s="72"/>
      <c r="EM26" s="72"/>
      <c r="EN26" s="72"/>
      <c r="EO26" s="72" t="s">
        <v>58</v>
      </c>
      <c r="EP26" s="72" t="s">
        <v>412</v>
      </c>
      <c r="EQ26" s="72" t="s">
        <v>419</v>
      </c>
      <c r="ER26" s="72" t="s">
        <v>420</v>
      </c>
      <c r="ES26" s="72"/>
      <c r="ET26" s="72"/>
      <c r="EU26" s="72"/>
      <c r="EV26" s="72"/>
      <c r="EW26" s="72"/>
      <c r="EX26" s="72"/>
      <c r="EY26" s="72"/>
      <c r="EZ26" s="72"/>
      <c r="FA26" s="72"/>
      <c r="FB26" s="72"/>
      <c r="FC26" s="72"/>
      <c r="FD26" s="72"/>
      <c r="FE26" s="72"/>
      <c r="FF26" s="72"/>
      <c r="FG26" s="72"/>
      <c r="FH26" s="72"/>
      <c r="FI26" s="72"/>
      <c r="FJ26" s="72"/>
      <c r="FK26" s="72"/>
      <c r="FL26" s="72"/>
      <c r="FM26" s="72"/>
      <c r="FN26" s="72"/>
      <c r="FO26" s="72"/>
      <c r="FP26" s="72"/>
      <c r="FQ26" s="72"/>
      <c r="FR26" s="72"/>
      <c r="FS26" s="72"/>
      <c r="FT26" s="72"/>
      <c r="FU26" s="72"/>
      <c r="FV26" s="72"/>
      <c r="FW26" s="72"/>
      <c r="FX26" s="72"/>
      <c r="FY26" s="72"/>
      <c r="FZ26" s="72"/>
      <c r="GA26" s="72"/>
      <c r="GB26" s="72"/>
      <c r="GC26" s="72"/>
      <c r="GD26" s="72"/>
      <c r="GE26" s="72"/>
      <c r="GF26" s="72"/>
      <c r="GG26" s="72"/>
      <c r="GH26" s="72"/>
      <c r="GI26" s="72"/>
      <c r="GJ26" s="72"/>
      <c r="GK26" s="72"/>
      <c r="GL26" s="72"/>
      <c r="GM26" s="72"/>
      <c r="GN26" s="72"/>
      <c r="GO26" s="72"/>
      <c r="GP26" s="72"/>
      <c r="GQ26" s="72"/>
      <c r="GR26" s="72"/>
      <c r="GS26" s="72"/>
      <c r="GT26" s="72"/>
      <c r="GU26" s="72"/>
      <c r="GV26" s="72"/>
      <c r="GW26" s="72"/>
      <c r="GX26" s="72"/>
      <c r="HV26" s="64"/>
      <c r="HW26" s="72"/>
      <c r="HX26" s="72"/>
      <c r="HY26" s="72"/>
      <c r="HZ26" s="72"/>
      <c r="IA26" s="72"/>
      <c r="IB26" s="72"/>
      <c r="IC26" s="72"/>
      <c r="ID26" s="72"/>
      <c r="IE26" s="72"/>
      <c r="IF26" s="72"/>
      <c r="IG26" s="72"/>
      <c r="IH26" s="72"/>
      <c r="II26" s="72"/>
      <c r="IJ26" s="72"/>
      <c r="IK26" s="72"/>
      <c r="IL26" s="72"/>
      <c r="IM26" s="72"/>
      <c r="IN26" s="72"/>
      <c r="IO26" s="72"/>
      <c r="IP26" s="72"/>
      <c r="IQ26" s="72"/>
      <c r="JQ26" s="88"/>
      <c r="KG26" s="88"/>
    </row>
    <row r="27" spans="1:295" x14ac:dyDescent="0.25">
      <c r="A27" s="8"/>
      <c r="B27" s="5" t="s">
        <v>61</v>
      </c>
      <c r="C27" s="8"/>
      <c r="D27" s="9"/>
      <c r="E27" s="9"/>
      <c r="F27" s="9"/>
      <c r="G27" s="9"/>
      <c r="H27" s="9"/>
      <c r="I27" s="9"/>
      <c r="J27" s="9"/>
      <c r="K27" s="9"/>
      <c r="L27" s="5" t="s">
        <v>53</v>
      </c>
      <c r="M27" s="5" t="s">
        <v>559</v>
      </c>
      <c r="N27" s="5" t="s">
        <v>436</v>
      </c>
      <c r="O27" s="5" t="s">
        <v>442</v>
      </c>
      <c r="P27" s="5" t="s">
        <v>443</v>
      </c>
      <c r="Q27" s="5" t="s">
        <v>444</v>
      </c>
      <c r="R27" s="5" t="s">
        <v>445</v>
      </c>
      <c r="S27" s="5" t="s">
        <v>446</v>
      </c>
      <c r="T27" s="5" t="s">
        <v>447</v>
      </c>
      <c r="U27" s="5" t="s">
        <v>438</v>
      </c>
      <c r="V27" s="72"/>
      <c r="W27" s="85">
        <f t="shared" si="74"/>
        <v>0</v>
      </c>
      <c r="X27" s="72" t="s">
        <v>60</v>
      </c>
      <c r="Y27" s="72">
        <v>1050</v>
      </c>
      <c r="Z27" s="72"/>
      <c r="AA27" s="72"/>
      <c r="AB27" s="72">
        <f t="shared" si="69"/>
        <v>0</v>
      </c>
      <c r="AC2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17,$GB$80:$GV$80,0),MATCH($E$3,$X$7:$X$24,0))</f>
        <v>0</v>
      </c>
      <c r="AD2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17,$GB$80:$GV$80,0),MATCH($E$3,$X$7:$X$24,0))</f>
        <v>0</v>
      </c>
      <c r="AE2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17,$GB$80:$GV$80,0),MATCH($E$3,$X$7:$X$24,0))</f>
        <v>0</v>
      </c>
      <c r="AF2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A17,$GB$80:$GV$80,0),MATCH($E$3,$X$7:$X$24,0)))*C17</f>
        <v>0</v>
      </c>
      <c r="AG2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A17,$GB$80:$GV$80,0),MATCH($E$3,$X$7:$X$24,0)))*C17</f>
        <v>0</v>
      </c>
      <c r="AH2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A17,$GB$80:$GV$80,0),MATCH($E$3,$X$7:$X$24,0)))*C17</f>
        <v>0</v>
      </c>
      <c r="AI27" s="72">
        <f>SUM(AC27:AE27)</f>
        <v>0</v>
      </c>
      <c r="AJ27" s="72">
        <f t="shared" si="64"/>
        <v>0</v>
      </c>
      <c r="AK27" s="72">
        <f t="shared" si="65"/>
        <v>0</v>
      </c>
      <c r="AL27" s="72" t="s">
        <v>179</v>
      </c>
      <c r="AM27" s="72">
        <v>0</v>
      </c>
      <c r="AN27" s="72">
        <v>0</v>
      </c>
      <c r="AO27" s="72">
        <v>0</v>
      </c>
      <c r="AP27" s="72">
        <v>0</v>
      </c>
      <c r="AQ27" s="72">
        <v>4</v>
      </c>
      <c r="AR27" s="72">
        <v>4</v>
      </c>
      <c r="AS27" s="72">
        <v>4</v>
      </c>
      <c r="AT27" s="72">
        <v>8</v>
      </c>
      <c r="AU27" s="72">
        <v>8</v>
      </c>
      <c r="AV27" s="72">
        <v>8</v>
      </c>
      <c r="AW27" s="72">
        <v>12</v>
      </c>
      <c r="AX27" s="72">
        <v>12</v>
      </c>
      <c r="AY27" s="72">
        <v>12</v>
      </c>
      <c r="AZ27" s="72">
        <v>16</v>
      </c>
      <c r="BA27" s="72">
        <v>16</v>
      </c>
      <c r="BB27" s="72">
        <v>16</v>
      </c>
      <c r="BC27" s="72">
        <v>20</v>
      </c>
      <c r="BD27" s="72">
        <v>20</v>
      </c>
      <c r="BE27" s="72">
        <v>20</v>
      </c>
      <c r="BF27" s="72">
        <v>24</v>
      </c>
      <c r="BG27" s="72">
        <v>24</v>
      </c>
      <c r="BH27" s="72">
        <v>24</v>
      </c>
      <c r="BI27" s="72">
        <v>28</v>
      </c>
      <c r="BJ27" s="72">
        <v>28</v>
      </c>
      <c r="BK27" s="72">
        <v>28</v>
      </c>
      <c r="BL27" s="72">
        <v>32</v>
      </c>
      <c r="BM27" s="72">
        <v>32</v>
      </c>
      <c r="BN27" s="72">
        <v>32</v>
      </c>
      <c r="BO27" s="72">
        <v>36</v>
      </c>
      <c r="BP27" s="72">
        <v>36</v>
      </c>
      <c r="BQ27" s="72">
        <v>36</v>
      </c>
      <c r="BR27" s="72">
        <v>40</v>
      </c>
      <c r="BS27" s="72">
        <v>40</v>
      </c>
      <c r="BT27" s="72">
        <v>40</v>
      </c>
      <c r="BU27" s="72">
        <v>44</v>
      </c>
      <c r="BV27" s="72">
        <v>44</v>
      </c>
      <c r="BW27" s="72">
        <v>44</v>
      </c>
      <c r="BX27" s="72">
        <v>48</v>
      </c>
      <c r="BY27" s="72">
        <v>48</v>
      </c>
      <c r="BZ27" s="72">
        <v>48</v>
      </c>
      <c r="CA27" s="72">
        <v>48</v>
      </c>
      <c r="CB27" s="72">
        <v>52</v>
      </c>
      <c r="CC27" s="72">
        <v>52</v>
      </c>
      <c r="CD27" s="72">
        <v>52</v>
      </c>
      <c r="CE27" s="72">
        <v>56</v>
      </c>
      <c r="CF27" s="72">
        <v>56</v>
      </c>
      <c r="CG27" s="72">
        <v>56</v>
      </c>
      <c r="CH27" s="72">
        <v>60</v>
      </c>
      <c r="CI27" s="72">
        <v>60</v>
      </c>
      <c r="CJ27" s="72">
        <v>60</v>
      </c>
      <c r="CK27" s="72">
        <v>64</v>
      </c>
      <c r="CL27" s="72"/>
      <c r="CM27" s="72"/>
      <c r="CN27" s="72"/>
      <c r="CO27" s="72"/>
      <c r="CP27" s="72"/>
      <c r="CQ27" s="72"/>
      <c r="CR27" s="72"/>
      <c r="CS27" s="72"/>
      <c r="CT27" s="72"/>
      <c r="CU27" s="72"/>
      <c r="CV27" s="72"/>
      <c r="CW27" s="72"/>
      <c r="CX27" s="72"/>
      <c r="CY27" s="72"/>
      <c r="CZ27" s="72"/>
      <c r="DA27" s="72"/>
      <c r="DB27" s="72"/>
      <c r="DC27" s="72"/>
      <c r="DD27" s="72"/>
      <c r="DE27" s="72"/>
      <c r="DF27" s="72"/>
      <c r="DG27" s="72"/>
      <c r="DH27" s="72"/>
      <c r="DI27" s="72"/>
      <c r="DJ27" s="72"/>
      <c r="DK27" s="72"/>
      <c r="DL27" s="72"/>
      <c r="DM27" s="72"/>
      <c r="DN27" s="72"/>
      <c r="DO27" s="72"/>
      <c r="DP27" s="72"/>
      <c r="DQ27" s="72"/>
      <c r="DR27" s="72"/>
      <c r="DS27" s="72"/>
      <c r="DT27" s="72"/>
      <c r="DU27" s="72"/>
      <c r="DV27" s="72"/>
      <c r="DW27" s="72"/>
      <c r="DX27" s="72"/>
      <c r="DY27" s="72"/>
      <c r="DZ27" s="81">
        <v>26</v>
      </c>
      <c r="EA27" s="81"/>
      <c r="EB27" s="81"/>
      <c r="EC27" s="72"/>
      <c r="ED27" s="72"/>
      <c r="EE27" s="72"/>
      <c r="EF27" s="72"/>
      <c r="EG27" s="72"/>
      <c r="EH27" s="72"/>
      <c r="EI27" s="72"/>
      <c r="EJ27" s="72"/>
      <c r="EK27" s="72"/>
      <c r="EL27" s="72"/>
      <c r="EM27" s="72"/>
      <c r="EN27" s="72"/>
      <c r="EO27" s="72" t="s">
        <v>71</v>
      </c>
      <c r="EP27" s="72" t="s">
        <v>412</v>
      </c>
      <c r="EQ27" s="72" t="s">
        <v>419</v>
      </c>
      <c r="ER27" s="72" t="s">
        <v>420</v>
      </c>
      <c r="ES27" s="72"/>
      <c r="ET27" s="72"/>
      <c r="EU27" s="72"/>
      <c r="EV27" s="72"/>
      <c r="EW27" s="72"/>
      <c r="EX27" s="72"/>
      <c r="EY27" s="72"/>
      <c r="EZ27" s="72"/>
      <c r="FA27" s="72"/>
      <c r="FB27" s="72"/>
      <c r="FC27" s="72"/>
      <c r="FD27" s="72"/>
      <c r="FE27" s="72"/>
      <c r="FF27" s="72"/>
      <c r="FG27" s="72"/>
      <c r="FH27" s="72"/>
      <c r="FI27" s="72"/>
      <c r="FJ27" s="72"/>
      <c r="FK27" s="72"/>
      <c r="FL27" s="72"/>
      <c r="FM27" s="72"/>
      <c r="FN27" s="72"/>
      <c r="FO27" s="72"/>
      <c r="FP27" s="72"/>
      <c r="FQ27" s="72"/>
      <c r="FR27" s="72"/>
      <c r="FS27" s="72"/>
      <c r="FT27" s="72"/>
      <c r="FU27" s="72"/>
      <c r="FV27" s="72"/>
      <c r="FW27" s="72"/>
      <c r="FX27" s="72"/>
      <c r="FY27" s="72"/>
      <c r="FZ27" s="72"/>
      <c r="GA27" s="72"/>
      <c r="GB27" s="72"/>
      <c r="GC27" s="72"/>
      <c r="GD27" s="72"/>
      <c r="GE27" s="72"/>
      <c r="GF27" s="72"/>
      <c r="GG27" s="72"/>
      <c r="GH27" s="72"/>
      <c r="GI27" s="72"/>
      <c r="GJ27" s="72"/>
      <c r="GK27" s="72"/>
      <c r="GL27" s="72"/>
      <c r="GM27" s="72"/>
      <c r="GN27" s="72"/>
      <c r="GO27" s="72"/>
      <c r="GP27" s="72"/>
      <c r="GQ27" s="72"/>
      <c r="GR27" s="72"/>
      <c r="GS27" s="72"/>
      <c r="GT27" s="72"/>
      <c r="GU27" s="72"/>
      <c r="GV27" s="72"/>
      <c r="GW27" s="72"/>
      <c r="GX27" s="72"/>
      <c r="GY27" s="64" t="s">
        <v>329</v>
      </c>
      <c r="HU27" s="124"/>
      <c r="HV27" s="83" t="s">
        <v>197</v>
      </c>
      <c r="HW27" s="72"/>
      <c r="HX27" s="72"/>
      <c r="HY27" s="72"/>
      <c r="HZ27" s="72"/>
      <c r="IA27" s="72"/>
      <c r="IB27" s="72"/>
      <c r="IC27" s="72"/>
      <c r="ID27" s="72"/>
      <c r="IE27" s="72"/>
      <c r="IF27" s="72"/>
      <c r="IG27" s="72"/>
      <c r="IH27" s="72"/>
      <c r="II27" s="72"/>
      <c r="IJ27" s="72"/>
      <c r="IK27" s="72"/>
      <c r="IL27" s="72"/>
      <c r="IM27" s="72"/>
      <c r="IN27" s="72"/>
      <c r="IO27" s="72"/>
      <c r="IP27" s="72"/>
      <c r="IQ27" s="72"/>
      <c r="IS27" s="64" t="s">
        <v>197</v>
      </c>
      <c r="KG27" s="88"/>
    </row>
    <row r="28" spans="1:295" x14ac:dyDescent="0.25">
      <c r="A28" s="8"/>
      <c r="B28" s="5" t="s">
        <v>61</v>
      </c>
      <c r="C28" s="8"/>
      <c r="D28" s="6" t="s">
        <v>452</v>
      </c>
      <c r="E28" s="8" t="s">
        <v>72</v>
      </c>
      <c r="F28" s="5" t="s">
        <v>61</v>
      </c>
      <c r="G28" s="8" t="s">
        <v>205</v>
      </c>
      <c r="H28" s="5" t="s">
        <v>61</v>
      </c>
      <c r="I28" s="8">
        <v>30</v>
      </c>
      <c r="J28" s="5" t="s">
        <v>62</v>
      </c>
      <c r="K28" s="9"/>
      <c r="L28" s="6" t="str">
        <f>IF(G28=X26,"CMP41H41/2,2MC",IF(G28=X27,"CMP41H41/2,2MC",IF(G28=X28,"CMP41H41/2,5MC",IF(G28=X29,"CMP41H41/2,5MC",0))))</f>
        <v>CMP41H41/2,5MC</v>
      </c>
      <c r="M28" s="11">
        <f>INDEX(cenník!$C$2:$I$568,MATCH($L28,cenník!$B$2:$B$557,0),MATCH(M$2,cenník!$C$1:$I$1,0))</f>
        <v>851125</v>
      </c>
      <c r="N28" s="11" t="str">
        <f>INDEX(cenník!$C$2:$I$568,MATCH($L28,cenník!$B$2:$B$557,0),MATCH(N$2,cenník!$C$1:$I$1,0))</f>
        <v>ks</v>
      </c>
      <c r="O28" s="11">
        <f>SUM(W22:W37)</f>
        <v>0</v>
      </c>
      <c r="P28" s="36">
        <f>INDEX(cenník!$C$2:$I$568,MATCH($L28,cenník!$B$2:$B$557,0),MATCH(P$2,cenník!$C$1:$I$1,0))</f>
        <v>18.149999999999999</v>
      </c>
      <c r="Q28" s="36">
        <f>O28*P28</f>
        <v>0</v>
      </c>
      <c r="R28" s="37">
        <f t="shared" ref="R28:R44" si="75">$E$32</f>
        <v>0</v>
      </c>
      <c r="S28" s="36">
        <f t="shared" ref="S28:S39" si="76">P28*((100-$E$32)/100)</f>
        <v>18.149999999999999</v>
      </c>
      <c r="T28" s="36">
        <f>O28*S28</f>
        <v>0</v>
      </c>
      <c r="U28" s="36">
        <f>INDEX(cenník!$C$2:$I$568,MATCH($L28,cenník!$B$2:$B$557,0),MATCH(U$2,cenník!$C$1:$I$1,0))*O28</f>
        <v>0</v>
      </c>
      <c r="V28" s="72"/>
      <c r="W28" s="85">
        <f t="shared" si="74"/>
        <v>0</v>
      </c>
      <c r="X28" s="72" t="s">
        <v>199</v>
      </c>
      <c r="Y28" s="72">
        <v>1100</v>
      </c>
      <c r="Z28" s="72"/>
      <c r="AA28" s="72"/>
      <c r="AB28" s="72">
        <f t="shared" si="69"/>
        <v>0</v>
      </c>
      <c r="AC28" s="72"/>
      <c r="AD28" s="72"/>
      <c r="AE28" s="72"/>
      <c r="AF28" s="72"/>
      <c r="AG28" s="72"/>
      <c r="AH28" s="72"/>
      <c r="AI28" s="72"/>
      <c r="AJ28" s="72"/>
      <c r="AK28" s="72" t="s">
        <v>428</v>
      </c>
      <c r="AL28" s="72"/>
      <c r="AM28" s="72"/>
      <c r="AN28" s="72"/>
      <c r="AO28" s="72"/>
      <c r="AP28" s="72"/>
      <c r="AQ28" s="72"/>
      <c r="AR28" s="72"/>
      <c r="AS28" s="72"/>
      <c r="AT28" s="72"/>
      <c r="AU28" s="72"/>
      <c r="AV28" s="72"/>
      <c r="AW28" s="72"/>
      <c r="AX28" s="72"/>
      <c r="AY28" s="72"/>
      <c r="AZ28" s="72"/>
      <c r="BA28" s="72"/>
      <c r="BB28" s="72"/>
      <c r="BC28" s="72"/>
      <c r="BD28" s="72"/>
      <c r="BE28" s="72"/>
      <c r="BF28" s="72"/>
      <c r="BG28" s="72"/>
      <c r="BH28" s="72"/>
      <c r="BI28" s="72"/>
      <c r="BJ28" s="72"/>
      <c r="BK28" s="72"/>
      <c r="BL28" s="72"/>
      <c r="BM28" s="72"/>
      <c r="BN28" s="72"/>
      <c r="BO28" s="72"/>
      <c r="BP28" s="72"/>
      <c r="BQ28" s="72"/>
      <c r="BR28" s="72"/>
      <c r="BS28" s="72"/>
      <c r="BT28" s="72"/>
      <c r="BU28" s="72"/>
      <c r="BV28" s="72"/>
      <c r="BW28" s="72"/>
      <c r="BX28" s="72"/>
      <c r="BY28" s="72"/>
      <c r="BZ28" s="72"/>
      <c r="CA28" s="72"/>
      <c r="CB28" s="72"/>
      <c r="CC28" s="72"/>
      <c r="CD28" s="72"/>
      <c r="CE28" s="72"/>
      <c r="CF28" s="72"/>
      <c r="CG28" s="72"/>
      <c r="CH28" s="72"/>
      <c r="CI28" s="72"/>
      <c r="CJ28" s="72"/>
      <c r="CK28" s="72"/>
      <c r="CL28" s="72"/>
      <c r="CM28" s="72"/>
      <c r="CN28" s="72"/>
      <c r="CO28" s="72"/>
      <c r="CP28" s="72"/>
      <c r="CQ28" s="72"/>
      <c r="CR28" s="72"/>
      <c r="CS28" s="72"/>
      <c r="CT28" s="72"/>
      <c r="CU28" s="72"/>
      <c r="CV28" s="72"/>
      <c r="CW28" s="72"/>
      <c r="CX28" s="72"/>
      <c r="CY28" s="72"/>
      <c r="CZ28" s="72"/>
      <c r="DA28" s="72"/>
      <c r="DB28" s="72"/>
      <c r="DC28" s="72"/>
      <c r="DD28" s="72"/>
      <c r="DE28" s="72"/>
      <c r="DF28" s="72"/>
      <c r="DG28" s="72"/>
      <c r="DH28" s="72"/>
      <c r="DI28" s="72"/>
      <c r="DJ28" s="72"/>
      <c r="DK28" s="72"/>
      <c r="DL28" s="72"/>
      <c r="DM28" s="72"/>
      <c r="DN28" s="72"/>
      <c r="DO28" s="72"/>
      <c r="DP28" s="72"/>
      <c r="DQ28" s="72"/>
      <c r="DR28" s="72"/>
      <c r="DS28" s="72"/>
      <c r="DT28" s="72"/>
      <c r="DU28" s="72"/>
      <c r="DV28" s="72"/>
      <c r="DW28" s="72"/>
      <c r="DX28" s="72"/>
      <c r="DY28" s="72"/>
      <c r="DZ28" s="81">
        <v>27</v>
      </c>
      <c r="EA28" s="81"/>
      <c r="EB28" s="81"/>
      <c r="EC28" s="72"/>
      <c r="ED28" s="72"/>
      <c r="EE28" s="72"/>
      <c r="EF28" s="72"/>
      <c r="EG28" s="72"/>
      <c r="EH28" s="72"/>
      <c r="EI28" s="72"/>
      <c r="EJ28" s="72"/>
      <c r="EK28" s="72"/>
      <c r="EL28" s="72"/>
      <c r="EM28" s="72"/>
      <c r="EN28" s="72"/>
      <c r="EO28" s="72" t="s">
        <v>72</v>
      </c>
      <c r="EP28" s="72" t="s">
        <v>413</v>
      </c>
      <c r="EQ28" s="72" t="s">
        <v>421</v>
      </c>
      <c r="ER28" s="72" t="s">
        <v>422</v>
      </c>
      <c r="ES28" s="72"/>
      <c r="ET28" s="72"/>
      <c r="EU28" s="72"/>
      <c r="EV28" s="72" t="s">
        <v>199</v>
      </c>
      <c r="EW28" s="72"/>
      <c r="EX28" s="72"/>
      <c r="EY28" s="72"/>
      <c r="EZ28" s="72"/>
      <c r="FA28" s="72"/>
      <c r="FB28" s="72"/>
      <c r="FC28" s="72"/>
      <c r="FD28" s="72"/>
      <c r="FE28" s="72"/>
      <c r="FF28" s="72"/>
      <c r="FG28" s="72"/>
      <c r="FH28" s="72"/>
      <c r="FI28" s="72"/>
      <c r="FJ28" s="72"/>
      <c r="FK28" s="72"/>
      <c r="FL28" s="72"/>
      <c r="FM28" s="72"/>
      <c r="FN28" s="72"/>
      <c r="FO28" s="72"/>
      <c r="FP28" s="72"/>
      <c r="FQ28" s="72"/>
      <c r="FR28" s="72"/>
      <c r="FS28" s="72"/>
      <c r="FT28" s="72"/>
      <c r="FU28" s="72"/>
      <c r="FV28" s="72"/>
      <c r="FW28" s="72"/>
      <c r="FX28" s="72"/>
      <c r="FY28" s="72"/>
      <c r="FZ28" s="72"/>
      <c r="GA28" s="72"/>
      <c r="GB28" s="72"/>
      <c r="GC28" s="72"/>
      <c r="GD28" s="72"/>
      <c r="GE28" s="72"/>
      <c r="GF28" s="72"/>
      <c r="GG28" s="72"/>
      <c r="GH28" s="72"/>
      <c r="GI28" s="72"/>
      <c r="GJ28" s="72"/>
      <c r="GK28" s="72"/>
      <c r="GL28" s="72"/>
      <c r="GM28" s="72"/>
      <c r="GN28" s="72"/>
      <c r="GO28" s="72"/>
      <c r="GP28" s="72"/>
      <c r="GQ28" s="72"/>
      <c r="GR28" s="72"/>
      <c r="GS28" s="72"/>
      <c r="GT28" s="72"/>
      <c r="GU28" s="72"/>
      <c r="GV28" s="72"/>
      <c r="GW28" s="72"/>
      <c r="GX28" s="72"/>
      <c r="GZ28" s="64">
        <v>0</v>
      </c>
      <c r="HA28" s="64">
        <v>1</v>
      </c>
      <c r="HB28" s="64">
        <v>2</v>
      </c>
      <c r="HC28" s="64">
        <v>3</v>
      </c>
      <c r="HD28" s="64">
        <v>4</v>
      </c>
      <c r="HE28" s="64">
        <v>5</v>
      </c>
      <c r="HF28" s="64">
        <v>6</v>
      </c>
      <c r="HG28" s="64">
        <v>7</v>
      </c>
      <c r="HH28" s="64">
        <v>8</v>
      </c>
      <c r="HI28" s="64">
        <v>9</v>
      </c>
      <c r="HJ28" s="64">
        <v>10</v>
      </c>
      <c r="HK28" s="64">
        <v>11</v>
      </c>
      <c r="HL28" s="64">
        <v>12</v>
      </c>
      <c r="HM28" s="64">
        <v>13</v>
      </c>
      <c r="HN28" s="64">
        <v>14</v>
      </c>
      <c r="HO28" s="64">
        <v>15</v>
      </c>
      <c r="HP28" s="64">
        <v>16</v>
      </c>
      <c r="HQ28" s="64">
        <v>17</v>
      </c>
      <c r="HR28" s="64">
        <v>18</v>
      </c>
      <c r="HS28" s="64">
        <v>19</v>
      </c>
      <c r="HT28" s="64">
        <v>20</v>
      </c>
      <c r="HW28" s="72">
        <v>0</v>
      </c>
      <c r="HX28" s="72">
        <v>1</v>
      </c>
      <c r="HY28" s="72">
        <v>2</v>
      </c>
      <c r="HZ28" s="72">
        <v>3</v>
      </c>
      <c r="IA28" s="72">
        <v>4</v>
      </c>
      <c r="IB28" s="72">
        <v>5</v>
      </c>
      <c r="IC28" s="72">
        <v>6</v>
      </c>
      <c r="ID28" s="72">
        <v>7</v>
      </c>
      <c r="IE28" s="72">
        <v>8</v>
      </c>
      <c r="IF28" s="72">
        <v>9</v>
      </c>
      <c r="IG28" s="72">
        <v>10</v>
      </c>
      <c r="IH28" s="72">
        <v>11</v>
      </c>
      <c r="II28" s="72">
        <v>12</v>
      </c>
      <c r="IJ28" s="72">
        <v>13</v>
      </c>
      <c r="IK28" s="72">
        <v>14</v>
      </c>
      <c r="IL28" s="72">
        <v>15</v>
      </c>
      <c r="IM28" s="72">
        <v>16</v>
      </c>
      <c r="IN28" s="72">
        <v>17</v>
      </c>
      <c r="IO28" s="72">
        <v>18</v>
      </c>
      <c r="IP28" s="72">
        <v>19</v>
      </c>
      <c r="IQ28" s="72">
        <v>20</v>
      </c>
      <c r="IT28" s="64">
        <f t="shared" si="42"/>
        <v>0</v>
      </c>
      <c r="IU28" s="64">
        <f t="shared" si="43"/>
        <v>2</v>
      </c>
      <c r="IV28" s="64">
        <f t="shared" si="44"/>
        <v>4</v>
      </c>
      <c r="IW28" s="64">
        <f t="shared" si="45"/>
        <v>6</v>
      </c>
      <c r="IX28" s="64">
        <f t="shared" si="46"/>
        <v>8</v>
      </c>
      <c r="IY28" s="64">
        <f t="shared" si="47"/>
        <v>10</v>
      </c>
      <c r="IZ28" s="64">
        <f t="shared" si="48"/>
        <v>12</v>
      </c>
      <c r="JA28" s="64">
        <f t="shared" si="49"/>
        <v>14</v>
      </c>
      <c r="JB28" s="64">
        <f t="shared" si="50"/>
        <v>16</v>
      </c>
      <c r="JC28" s="64">
        <f t="shared" si="51"/>
        <v>18</v>
      </c>
      <c r="JD28" s="64">
        <f t="shared" si="52"/>
        <v>20</v>
      </c>
      <c r="JE28" s="64">
        <f t="shared" si="53"/>
        <v>22</v>
      </c>
      <c r="JF28" s="64">
        <f t="shared" si="54"/>
        <v>24</v>
      </c>
      <c r="JG28" s="64">
        <f t="shared" si="55"/>
        <v>26</v>
      </c>
      <c r="JH28" s="64">
        <f t="shared" si="56"/>
        <v>28</v>
      </c>
      <c r="JI28" s="64">
        <f t="shared" si="57"/>
        <v>30</v>
      </c>
      <c r="JJ28" s="64">
        <f t="shared" si="58"/>
        <v>32</v>
      </c>
      <c r="JK28" s="64">
        <f t="shared" si="59"/>
        <v>34</v>
      </c>
      <c r="JL28" s="64">
        <f t="shared" si="60"/>
        <v>36</v>
      </c>
      <c r="JM28" s="64">
        <f t="shared" si="61"/>
        <v>38</v>
      </c>
      <c r="JN28" s="64">
        <f t="shared" si="62"/>
        <v>40</v>
      </c>
      <c r="JR28" s="72"/>
      <c r="JS28" s="72"/>
      <c r="JT28" s="72"/>
      <c r="JU28" s="72"/>
      <c r="JV28" s="72"/>
      <c r="JW28" s="72"/>
      <c r="JX28" s="72"/>
      <c r="JY28" s="72"/>
      <c r="JZ28" s="72"/>
      <c r="KA28" s="72"/>
      <c r="KB28" s="72"/>
      <c r="KC28" s="72"/>
      <c r="KD28" s="72"/>
      <c r="KE28" s="72"/>
      <c r="KF28" s="72"/>
    </row>
    <row r="29" spans="1:295" x14ac:dyDescent="0.25">
      <c r="A29" s="8"/>
      <c r="B29" s="5" t="s">
        <v>61</v>
      </c>
      <c r="C29" s="8"/>
      <c r="D29" s="6" t="s">
        <v>456</v>
      </c>
      <c r="E29" s="8" t="s">
        <v>466</v>
      </c>
      <c r="F29" s="5"/>
      <c r="G29" s="5"/>
      <c r="H29" s="5"/>
      <c r="I29" s="5"/>
      <c r="J29" s="5"/>
      <c r="K29" s="9"/>
      <c r="L29" s="6" t="s">
        <v>435</v>
      </c>
      <c r="M29" s="11">
        <f>INDEX(cenník!$C$2:$I$568,MATCH($L29,cenník!$B$2:$B$557,0),MATCH(M$2,cenník!$C$1:$I$1,0))</f>
        <v>857016</v>
      </c>
      <c r="N29" s="11" t="str">
        <f>INDEX(cenník!$C$2:$I$568,MATCH($L29,cenník!$B$2:$B$557,0),MATCH(N$2,cenník!$C$1:$I$1,0))</f>
        <v>ks</v>
      </c>
      <c r="O29" s="11">
        <f>O28*2</f>
        <v>0</v>
      </c>
      <c r="P29" s="36">
        <f>INDEX(cenník!$C$2:$I$568,MATCH($L29,cenník!$B$2:$B$557,0),MATCH(P$2,cenník!$C$1:$I$1,0))</f>
        <v>6.68</v>
      </c>
      <c r="Q29" s="36">
        <f t="shared" ref="Q29:Q38" si="77">O29*P29</f>
        <v>0</v>
      </c>
      <c r="R29" s="37">
        <f t="shared" si="75"/>
        <v>0</v>
      </c>
      <c r="S29" s="36">
        <f t="shared" si="76"/>
        <v>6.68</v>
      </c>
      <c r="T29" s="36">
        <f t="shared" ref="T29:T38" si="78">O29*S29</f>
        <v>0</v>
      </c>
      <c r="U29" s="36">
        <f>INDEX(cenník!$C$2:$I$568,MATCH($L29,cenník!$B$2:$B$557,0),MATCH(U$2,cenník!$C$1:$I$1,0))*O29</f>
        <v>0</v>
      </c>
      <c r="V29" s="72"/>
      <c r="W29" s="85">
        <f t="shared" si="74"/>
        <v>0</v>
      </c>
      <c r="X29" s="72" t="s">
        <v>205</v>
      </c>
      <c r="Y29" s="72">
        <v>1150</v>
      </c>
      <c r="Z29" s="72"/>
      <c r="AA29" s="72"/>
      <c r="AB29" s="72">
        <f t="shared" si="69"/>
        <v>0</v>
      </c>
      <c r="AC29" s="72"/>
      <c r="AD29" s="72"/>
      <c r="AE29" s="72"/>
      <c r="AF29" s="85"/>
      <c r="AG29" s="85" t="s">
        <v>464</v>
      </c>
      <c r="AH29" s="85" t="s">
        <v>465</v>
      </c>
      <c r="AI29" s="72"/>
      <c r="AJ29" s="72">
        <f>IF(A2&lt;=1,0,IF(A2&gt;1,A2-1,0))</f>
        <v>0</v>
      </c>
      <c r="AK29" s="72">
        <f>AJ29*4*C2</f>
        <v>0</v>
      </c>
      <c r="AL29" s="72" t="s">
        <v>199</v>
      </c>
      <c r="AM29" s="72"/>
      <c r="AN29" s="72"/>
      <c r="AO29" s="72"/>
      <c r="AP29" s="72"/>
      <c r="AQ29" s="72"/>
      <c r="AR29" s="72"/>
      <c r="AS29" s="72"/>
      <c r="AT29" s="72"/>
      <c r="AU29" s="72"/>
      <c r="AV29" s="72"/>
      <c r="AW29" s="72"/>
      <c r="AX29" s="72"/>
      <c r="AY29" s="72"/>
      <c r="AZ29" s="72"/>
      <c r="BA29" s="72"/>
      <c r="BB29" s="72"/>
      <c r="BC29" s="72"/>
      <c r="BD29" s="72"/>
      <c r="BE29" s="72"/>
      <c r="BF29" s="72"/>
      <c r="BG29" s="72"/>
      <c r="BH29" s="72"/>
      <c r="BI29" s="72"/>
      <c r="BJ29" s="72"/>
      <c r="BK29" s="72"/>
      <c r="BL29" s="72"/>
      <c r="BM29" s="72"/>
      <c r="BN29" s="72"/>
      <c r="BO29" s="72"/>
      <c r="BP29" s="72"/>
      <c r="BQ29" s="72"/>
      <c r="BR29" s="72"/>
      <c r="BS29" s="72"/>
      <c r="BT29" s="72"/>
      <c r="BU29" s="72"/>
      <c r="BV29" s="72"/>
      <c r="BW29" s="72"/>
      <c r="BX29" s="72"/>
      <c r="BY29" s="72"/>
      <c r="BZ29" s="72"/>
      <c r="CA29" s="72"/>
      <c r="CB29" s="72"/>
      <c r="CC29" s="72"/>
      <c r="CD29" s="72"/>
      <c r="CE29" s="72"/>
      <c r="CF29" s="72"/>
      <c r="CG29" s="72"/>
      <c r="CH29" s="72"/>
      <c r="CI29" s="72"/>
      <c r="CJ29" s="72"/>
      <c r="CK29" s="72"/>
      <c r="CL29" s="72"/>
      <c r="CM29" s="72"/>
      <c r="CN29" s="72"/>
      <c r="CO29" s="72"/>
      <c r="CP29" s="72"/>
      <c r="CQ29" s="72"/>
      <c r="CR29" s="72"/>
      <c r="CS29" s="72"/>
      <c r="CT29" s="72"/>
      <c r="CU29" s="72"/>
      <c r="CV29" s="72"/>
      <c r="CW29" s="72"/>
      <c r="CX29" s="72"/>
      <c r="CY29" s="72"/>
      <c r="CZ29" s="72"/>
      <c r="DA29" s="72"/>
      <c r="DB29" s="72"/>
      <c r="DC29" s="72"/>
      <c r="DD29" s="72"/>
      <c r="DE29" s="72"/>
      <c r="DF29" s="72"/>
      <c r="DG29" s="72"/>
      <c r="DH29" s="72"/>
      <c r="DI29" s="72"/>
      <c r="DJ29" s="72"/>
      <c r="DK29" s="72"/>
      <c r="DL29" s="72"/>
      <c r="DM29" s="72"/>
      <c r="DN29" s="72"/>
      <c r="DO29" s="72"/>
      <c r="DP29" s="72"/>
      <c r="DQ29" s="72"/>
      <c r="DR29" s="72"/>
      <c r="DS29" s="72"/>
      <c r="DT29" s="72"/>
      <c r="DU29" s="72"/>
      <c r="DV29" s="72"/>
      <c r="DW29" s="72"/>
      <c r="DX29" s="72"/>
      <c r="DY29" s="72"/>
      <c r="DZ29" s="81">
        <v>28</v>
      </c>
      <c r="EA29" s="81"/>
      <c r="EB29" s="81"/>
      <c r="EC29" s="72"/>
      <c r="ED29" s="72"/>
      <c r="EE29" s="72"/>
      <c r="EF29" s="72"/>
      <c r="EG29" s="72"/>
      <c r="EH29" s="72"/>
      <c r="EI29" s="72"/>
      <c r="EJ29" s="72"/>
      <c r="EK29" s="72"/>
      <c r="EL29" s="72"/>
      <c r="EM29" s="72"/>
      <c r="EN29" s="72"/>
      <c r="EO29" s="72"/>
      <c r="EP29" s="72"/>
      <c r="EQ29" s="72"/>
      <c r="ER29" s="72"/>
      <c r="ES29" s="72"/>
      <c r="ET29" s="72"/>
      <c r="EU29" s="72"/>
      <c r="EV29" s="72"/>
      <c r="EW29" s="72">
        <v>0</v>
      </c>
      <c r="EX29" s="72">
        <v>1</v>
      </c>
      <c r="EY29" s="72">
        <v>2</v>
      </c>
      <c r="EZ29" s="72">
        <v>3</v>
      </c>
      <c r="FA29" s="72">
        <v>4</v>
      </c>
      <c r="FB29" s="72">
        <v>5</v>
      </c>
      <c r="FC29" s="72">
        <v>6</v>
      </c>
      <c r="FD29" s="72">
        <v>7</v>
      </c>
      <c r="FE29" s="72">
        <v>8</v>
      </c>
      <c r="FF29" s="72">
        <v>9</v>
      </c>
      <c r="FG29" s="72">
        <v>10</v>
      </c>
      <c r="FH29" s="72">
        <v>11</v>
      </c>
      <c r="FI29" s="72">
        <v>12</v>
      </c>
      <c r="FJ29" s="72">
        <v>13</v>
      </c>
      <c r="FK29" s="72">
        <v>14</v>
      </c>
      <c r="FL29" s="72">
        <v>15</v>
      </c>
      <c r="FM29" s="72">
        <v>16</v>
      </c>
      <c r="FN29" s="72">
        <v>17</v>
      </c>
      <c r="FO29" s="72">
        <v>18</v>
      </c>
      <c r="FP29" s="72">
        <v>19</v>
      </c>
      <c r="FQ29" s="72">
        <v>20</v>
      </c>
      <c r="FR29" s="72">
        <v>21</v>
      </c>
      <c r="FS29" s="72">
        <v>22</v>
      </c>
      <c r="FT29" s="72">
        <v>23</v>
      </c>
      <c r="FU29" s="72">
        <v>24</v>
      </c>
      <c r="FV29" s="72">
        <v>25</v>
      </c>
      <c r="FW29" s="72">
        <v>26</v>
      </c>
      <c r="FX29" s="72">
        <v>27</v>
      </c>
      <c r="FY29" s="72">
        <v>28</v>
      </c>
      <c r="FZ29" s="72">
        <v>29</v>
      </c>
      <c r="GA29" s="72">
        <v>30</v>
      </c>
      <c r="GB29" s="72">
        <v>31</v>
      </c>
      <c r="GC29" s="72">
        <v>32</v>
      </c>
      <c r="GD29" s="72">
        <v>33</v>
      </c>
      <c r="GE29" s="72">
        <v>34</v>
      </c>
      <c r="GF29" s="72">
        <v>35</v>
      </c>
      <c r="GG29" s="72">
        <v>36</v>
      </c>
      <c r="GH29" s="72">
        <v>37</v>
      </c>
      <c r="GI29" s="72">
        <v>38</v>
      </c>
      <c r="GJ29" s="72">
        <v>39</v>
      </c>
      <c r="GK29" s="72">
        <v>40</v>
      </c>
      <c r="GL29" s="72">
        <v>41</v>
      </c>
      <c r="GM29" s="72">
        <v>42</v>
      </c>
      <c r="GN29" s="72">
        <v>43</v>
      </c>
      <c r="GO29" s="72">
        <v>44</v>
      </c>
      <c r="GP29" s="72">
        <v>45</v>
      </c>
      <c r="GQ29" s="72">
        <v>46</v>
      </c>
      <c r="GR29" s="72">
        <v>47</v>
      </c>
      <c r="GS29" s="72">
        <v>48</v>
      </c>
      <c r="GT29" s="72">
        <v>49</v>
      </c>
      <c r="GU29" s="72">
        <v>50</v>
      </c>
      <c r="GV29" s="72"/>
      <c r="GW29" s="72"/>
      <c r="GX29" s="72"/>
      <c r="GY29" s="64" t="s">
        <v>326</v>
      </c>
      <c r="GZ29" s="64">
        <v>0</v>
      </c>
      <c r="HA29" s="64">
        <v>2</v>
      </c>
      <c r="HB29" s="64">
        <v>0</v>
      </c>
      <c r="HC29" s="64">
        <v>4</v>
      </c>
      <c r="HD29" s="64">
        <v>2</v>
      </c>
      <c r="HE29" s="64">
        <v>0</v>
      </c>
      <c r="HF29" s="64">
        <v>4</v>
      </c>
      <c r="HG29" s="64">
        <v>2</v>
      </c>
      <c r="HH29" s="64">
        <v>0</v>
      </c>
      <c r="HI29" s="64">
        <v>2</v>
      </c>
      <c r="HJ29" s="64">
        <v>0</v>
      </c>
      <c r="HK29" s="64">
        <v>4</v>
      </c>
      <c r="HL29" s="64">
        <v>2</v>
      </c>
      <c r="HM29" s="64">
        <v>0</v>
      </c>
      <c r="HN29" s="64">
        <v>4</v>
      </c>
      <c r="HO29" s="64">
        <v>2</v>
      </c>
      <c r="HP29" s="64">
        <v>0</v>
      </c>
      <c r="HQ29" s="64">
        <v>4</v>
      </c>
      <c r="HR29" s="64">
        <v>0</v>
      </c>
      <c r="HS29" s="64">
        <v>4</v>
      </c>
      <c r="HT29" s="64">
        <v>2</v>
      </c>
      <c r="HV29" s="64" t="s">
        <v>380</v>
      </c>
      <c r="HW29" s="72">
        <v>0</v>
      </c>
      <c r="HX29" s="72">
        <v>2</v>
      </c>
      <c r="HY29" s="72">
        <v>0</v>
      </c>
      <c r="HZ29" s="72">
        <v>2</v>
      </c>
      <c r="IA29" s="72">
        <v>4</v>
      </c>
      <c r="IB29" s="72">
        <v>0</v>
      </c>
      <c r="IC29" s="72">
        <v>4</v>
      </c>
      <c r="ID29" s="72">
        <v>0</v>
      </c>
      <c r="IE29" s="72">
        <v>2</v>
      </c>
      <c r="IF29" s="72">
        <v>0</v>
      </c>
      <c r="IG29" s="72">
        <v>2</v>
      </c>
      <c r="IH29" s="72">
        <v>4</v>
      </c>
      <c r="II29" s="72">
        <v>2</v>
      </c>
      <c r="IJ29" s="72">
        <v>4</v>
      </c>
      <c r="IK29" s="72">
        <v>0</v>
      </c>
      <c r="IL29" s="72">
        <v>2</v>
      </c>
      <c r="IM29" s="72">
        <v>0</v>
      </c>
      <c r="IN29" s="72">
        <v>2</v>
      </c>
      <c r="IO29" s="72">
        <v>4</v>
      </c>
      <c r="IP29" s="72">
        <v>2</v>
      </c>
      <c r="IQ29" s="72">
        <v>4</v>
      </c>
      <c r="IS29" s="64" t="s">
        <v>380</v>
      </c>
      <c r="IT29" s="64">
        <f t="shared" si="42"/>
        <v>0</v>
      </c>
      <c r="IU29" s="64">
        <f t="shared" si="43"/>
        <v>4</v>
      </c>
      <c r="IV29" s="64">
        <f t="shared" si="44"/>
        <v>0</v>
      </c>
      <c r="IW29" s="64">
        <f t="shared" si="45"/>
        <v>4</v>
      </c>
      <c r="IX29" s="64">
        <f t="shared" si="46"/>
        <v>8</v>
      </c>
      <c r="IY29" s="64">
        <f t="shared" si="47"/>
        <v>0</v>
      </c>
      <c r="IZ29" s="64">
        <f t="shared" si="48"/>
        <v>8</v>
      </c>
      <c r="JA29" s="64">
        <f t="shared" si="49"/>
        <v>0</v>
      </c>
      <c r="JB29" s="64">
        <f t="shared" si="50"/>
        <v>4</v>
      </c>
      <c r="JC29" s="64">
        <f t="shared" si="51"/>
        <v>0</v>
      </c>
      <c r="JD29" s="64">
        <f t="shared" si="52"/>
        <v>4</v>
      </c>
      <c r="JE29" s="64">
        <f t="shared" si="53"/>
        <v>8</v>
      </c>
      <c r="JF29" s="64">
        <f t="shared" si="54"/>
        <v>4</v>
      </c>
      <c r="JG29" s="64">
        <f t="shared" si="55"/>
        <v>8</v>
      </c>
      <c r="JH29" s="64">
        <f t="shared" si="56"/>
        <v>0</v>
      </c>
      <c r="JI29" s="64">
        <f t="shared" si="57"/>
        <v>4</v>
      </c>
      <c r="JJ29" s="64">
        <f t="shared" si="58"/>
        <v>0</v>
      </c>
      <c r="JK29" s="64">
        <f t="shared" si="59"/>
        <v>4</v>
      </c>
      <c r="JL29" s="64">
        <f t="shared" si="60"/>
        <v>8</v>
      </c>
      <c r="JM29" s="64">
        <f t="shared" si="61"/>
        <v>4</v>
      </c>
      <c r="JN29" s="64">
        <f t="shared" si="62"/>
        <v>8</v>
      </c>
    </row>
    <row r="30" spans="1:295" x14ac:dyDescent="0.25">
      <c r="A30" s="8"/>
      <c r="B30" s="5" t="s">
        <v>61</v>
      </c>
      <c r="C30" s="8"/>
      <c r="D30" s="6" t="s">
        <v>475</v>
      </c>
      <c r="E30" s="8" t="s">
        <v>483</v>
      </c>
      <c r="F30" s="41" t="str">
        <f>IF(E30="zaťažená","hodnotu balastu určí statik","")</f>
        <v/>
      </c>
      <c r="G30" s="41"/>
      <c r="H30" s="41"/>
      <c r="I30" s="41"/>
      <c r="J30" s="41"/>
      <c r="K30" s="41"/>
      <c r="L30" s="6" t="str">
        <f>IF(E31=10,"UPG10MC",IF(E31=15,"UPG15MC",IF(E31=20,"UPG20MC",0)))</f>
        <v>UPG20MC</v>
      </c>
      <c r="M30" s="11">
        <f>INDEX(cenník!$C$2:$I$568,MATCH($L30,cenník!$B$2:$B$557,0),MATCH(M$2,cenník!$C$1:$I$1,0))</f>
        <v>878120</v>
      </c>
      <c r="N30" s="11" t="str">
        <f>INDEX(cenník!$C$2:$I$568,MATCH($L30,cenník!$B$2:$B$557,0),MATCH(N$2,cenník!$C$1:$I$1,0))</f>
        <v>ks</v>
      </c>
      <c r="O30" s="11">
        <f>O28*2</f>
        <v>0</v>
      </c>
      <c r="P30" s="36">
        <f>INDEX(cenník!$C$2:$I$568,MATCH($L30,cenník!$B$2:$B$557,0),MATCH(P$2,cenník!$C$1:$I$1,0))</f>
        <v>10.3</v>
      </c>
      <c r="Q30" s="36">
        <f t="shared" si="77"/>
        <v>0</v>
      </c>
      <c r="R30" s="37">
        <f t="shared" si="75"/>
        <v>0</v>
      </c>
      <c r="S30" s="36">
        <f t="shared" si="76"/>
        <v>10.3</v>
      </c>
      <c r="T30" s="36">
        <f t="shared" si="78"/>
        <v>0</v>
      </c>
      <c r="U30" s="36">
        <f>INDEX(cenník!$C$2:$I$568,MATCH($L30,cenník!$B$2:$B$557,0),MATCH(U$2,cenník!$C$1:$I$1,0))*O30</f>
        <v>0</v>
      </c>
      <c r="V30" s="72"/>
      <c r="W30" s="85">
        <f t="shared" si="74"/>
        <v>0</v>
      </c>
      <c r="X30" s="72" t="s">
        <v>329</v>
      </c>
      <c r="Y30" s="72">
        <v>1200</v>
      </c>
      <c r="Z30" s="72"/>
      <c r="AA30" s="72"/>
      <c r="AB30" s="72">
        <f t="shared" si="69"/>
        <v>0</v>
      </c>
      <c r="AC30" s="72"/>
      <c r="AD30" s="72"/>
      <c r="AE30" s="72"/>
      <c r="AF30" s="72">
        <v>30</v>
      </c>
      <c r="AG30" s="72" t="s">
        <v>426</v>
      </c>
      <c r="AH30" s="72">
        <v>0</v>
      </c>
      <c r="AI30" s="72"/>
      <c r="AJ30" s="72">
        <f t="shared" ref="AJ30:AJ42" si="79">IF(A3&lt;=1,0,IF(A3&gt;1,A3-1,0))</f>
        <v>0</v>
      </c>
      <c r="AK30" s="72">
        <f t="shared" ref="AK30:AK44" si="80">AJ30*4*C3</f>
        <v>0</v>
      </c>
      <c r="AL30" s="72"/>
      <c r="AM30" s="72">
        <v>0</v>
      </c>
      <c r="AN30" s="72">
        <v>1</v>
      </c>
      <c r="AO30" s="72">
        <v>2</v>
      </c>
      <c r="AP30" s="72">
        <v>3</v>
      </c>
      <c r="AQ30" s="72">
        <v>4</v>
      </c>
      <c r="AR30" s="72">
        <v>5</v>
      </c>
      <c r="AS30" s="72">
        <v>6</v>
      </c>
      <c r="AT30" s="72">
        <v>7</v>
      </c>
      <c r="AU30" s="72">
        <v>8</v>
      </c>
      <c r="AV30" s="72">
        <v>9</v>
      </c>
      <c r="AW30" s="72">
        <v>10</v>
      </c>
      <c r="AX30" s="72">
        <v>11</v>
      </c>
      <c r="AY30" s="72">
        <v>12</v>
      </c>
      <c r="AZ30" s="72">
        <v>13</v>
      </c>
      <c r="BA30" s="72">
        <v>14</v>
      </c>
      <c r="BB30" s="72">
        <v>15</v>
      </c>
      <c r="BC30" s="72">
        <v>16</v>
      </c>
      <c r="BD30" s="72">
        <v>17</v>
      </c>
      <c r="BE30" s="72">
        <v>18</v>
      </c>
      <c r="BF30" s="72">
        <v>19</v>
      </c>
      <c r="BG30" s="72">
        <v>20</v>
      </c>
      <c r="BH30" s="72">
        <v>21</v>
      </c>
      <c r="BI30" s="72">
        <v>22</v>
      </c>
      <c r="BJ30" s="72">
        <v>23</v>
      </c>
      <c r="BK30" s="72">
        <v>24</v>
      </c>
      <c r="BL30" s="72">
        <v>25</v>
      </c>
      <c r="BM30" s="72">
        <v>26</v>
      </c>
      <c r="BN30" s="72">
        <v>27</v>
      </c>
      <c r="BO30" s="72">
        <v>28</v>
      </c>
      <c r="BP30" s="72">
        <v>29</v>
      </c>
      <c r="BQ30" s="72">
        <v>30</v>
      </c>
      <c r="BR30" s="72">
        <v>31</v>
      </c>
      <c r="BS30" s="72">
        <v>32</v>
      </c>
      <c r="BT30" s="72">
        <v>33</v>
      </c>
      <c r="BU30" s="72">
        <v>34</v>
      </c>
      <c r="BV30" s="72">
        <v>35</v>
      </c>
      <c r="BW30" s="72">
        <v>36</v>
      </c>
      <c r="BX30" s="72">
        <v>37</v>
      </c>
      <c r="BY30" s="72">
        <v>38</v>
      </c>
      <c r="BZ30" s="72">
        <v>39</v>
      </c>
      <c r="CA30" s="72">
        <v>40</v>
      </c>
      <c r="CB30" s="72">
        <v>41</v>
      </c>
      <c r="CC30" s="72">
        <v>42</v>
      </c>
      <c r="CD30" s="72">
        <v>43</v>
      </c>
      <c r="CE30" s="72">
        <v>44</v>
      </c>
      <c r="CF30" s="72">
        <v>45</v>
      </c>
      <c r="CG30" s="72">
        <v>46</v>
      </c>
      <c r="CH30" s="72">
        <v>47</v>
      </c>
      <c r="CI30" s="72">
        <v>48</v>
      </c>
      <c r="CJ30" s="72">
        <v>49</v>
      </c>
      <c r="CK30" s="72">
        <v>50</v>
      </c>
      <c r="CL30" s="72"/>
      <c r="CM30" s="72"/>
      <c r="CN30" s="72"/>
      <c r="CO30" s="72"/>
      <c r="CP30" s="72"/>
      <c r="CQ30" s="72"/>
      <c r="CR30" s="72"/>
      <c r="CS30" s="72"/>
      <c r="CT30" s="72"/>
      <c r="CU30" s="72"/>
      <c r="CV30" s="72"/>
      <c r="CW30" s="72"/>
      <c r="CX30" s="72"/>
      <c r="CY30" s="72"/>
      <c r="CZ30" s="72"/>
      <c r="DA30" s="72"/>
      <c r="DB30" s="72"/>
      <c r="DC30" s="72"/>
      <c r="DD30" s="72"/>
      <c r="DE30" s="72"/>
      <c r="DF30" s="72"/>
      <c r="DG30" s="72"/>
      <c r="DH30" s="72"/>
      <c r="DI30" s="72"/>
      <c r="DJ30" s="72"/>
      <c r="DK30" s="72"/>
      <c r="DL30" s="72"/>
      <c r="DM30" s="72"/>
      <c r="DN30" s="72"/>
      <c r="DO30" s="72"/>
      <c r="DP30" s="72"/>
      <c r="DQ30" s="72"/>
      <c r="DR30" s="72"/>
      <c r="DS30" s="72"/>
      <c r="DT30" s="72"/>
      <c r="DU30" s="72"/>
      <c r="DV30" s="72"/>
      <c r="DW30" s="72"/>
      <c r="DX30" s="72"/>
      <c r="DY30" s="72"/>
      <c r="DZ30" s="81">
        <v>29</v>
      </c>
      <c r="EA30" s="81"/>
      <c r="EB30" s="81">
        <v>30</v>
      </c>
      <c r="EC30" s="72"/>
      <c r="ED30" s="72"/>
      <c r="EE30" s="72"/>
      <c r="EF30" s="72"/>
      <c r="EG30" s="72"/>
      <c r="EH30" s="72"/>
      <c r="EI30" s="72"/>
      <c r="EJ30" s="72"/>
      <c r="EK30" s="72"/>
      <c r="EL30" s="72"/>
      <c r="EM30" s="72"/>
      <c r="EN30" s="72"/>
      <c r="EO30" s="72"/>
      <c r="EP30" s="72"/>
      <c r="EQ30" s="72"/>
      <c r="ER30" s="72"/>
      <c r="ES30" s="72"/>
      <c r="ET30" s="72"/>
      <c r="EU30" s="72"/>
      <c r="EV30" s="72" t="s">
        <v>99</v>
      </c>
      <c r="EW30" s="72">
        <v>0</v>
      </c>
      <c r="EX30" s="72">
        <v>0</v>
      </c>
      <c r="EY30" s="72">
        <v>0</v>
      </c>
      <c r="EZ30" s="72">
        <v>0</v>
      </c>
      <c r="FA30" s="72">
        <v>2</v>
      </c>
      <c r="FB30" s="72">
        <v>0</v>
      </c>
      <c r="FC30" s="72">
        <v>0</v>
      </c>
      <c r="FD30" s="72">
        <v>0</v>
      </c>
      <c r="FE30" s="72">
        <v>0</v>
      </c>
      <c r="FF30" s="72">
        <v>0</v>
      </c>
      <c r="FG30" s="72">
        <v>2</v>
      </c>
      <c r="FH30" s="72">
        <v>0</v>
      </c>
      <c r="FI30" s="72">
        <v>0</v>
      </c>
      <c r="FJ30" s="72">
        <v>0</v>
      </c>
      <c r="FK30" s="72">
        <v>2</v>
      </c>
      <c r="FL30" s="72">
        <v>0</v>
      </c>
      <c r="FM30" s="72">
        <v>0</v>
      </c>
      <c r="FN30" s="72">
        <v>0</v>
      </c>
      <c r="FO30" s="72">
        <v>0</v>
      </c>
      <c r="FP30" s="72">
        <v>0</v>
      </c>
      <c r="FQ30" s="72">
        <v>0</v>
      </c>
      <c r="FR30" s="72">
        <v>0</v>
      </c>
      <c r="FS30" s="72">
        <v>0</v>
      </c>
      <c r="FT30" s="72">
        <v>0</v>
      </c>
      <c r="FU30" s="72">
        <v>0</v>
      </c>
      <c r="FV30" s="72">
        <v>0</v>
      </c>
      <c r="FW30" s="72">
        <v>0</v>
      </c>
      <c r="FX30" s="72">
        <v>0</v>
      </c>
      <c r="FY30" s="72">
        <v>0</v>
      </c>
      <c r="FZ30" s="72">
        <v>0</v>
      </c>
      <c r="GA30" s="72">
        <v>0</v>
      </c>
      <c r="GB30" s="72">
        <v>0</v>
      </c>
      <c r="GC30" s="72">
        <v>0</v>
      </c>
      <c r="GD30" s="72">
        <v>0</v>
      </c>
      <c r="GE30" s="72">
        <v>0</v>
      </c>
      <c r="GF30" s="72">
        <v>0</v>
      </c>
      <c r="GG30" s="72">
        <v>0</v>
      </c>
      <c r="GH30" s="72">
        <v>0</v>
      </c>
      <c r="GI30" s="72">
        <v>0</v>
      </c>
      <c r="GJ30" s="72">
        <v>0</v>
      </c>
      <c r="GK30" s="72">
        <v>0</v>
      </c>
      <c r="GL30" s="72">
        <v>0</v>
      </c>
      <c r="GM30" s="72">
        <v>0</v>
      </c>
      <c r="GN30" s="72">
        <v>0</v>
      </c>
      <c r="GO30" s="72">
        <v>0</v>
      </c>
      <c r="GP30" s="72">
        <v>0</v>
      </c>
      <c r="GQ30" s="72">
        <v>0</v>
      </c>
      <c r="GR30" s="72">
        <v>0</v>
      </c>
      <c r="GS30" s="72">
        <v>0</v>
      </c>
      <c r="GT30" s="72">
        <v>0</v>
      </c>
      <c r="GU30" s="72">
        <v>0</v>
      </c>
      <c r="GV30" s="72"/>
      <c r="GW30" s="72"/>
      <c r="GX30" s="72"/>
      <c r="GY30" s="64" t="s">
        <v>327</v>
      </c>
      <c r="GZ30" s="64">
        <v>0</v>
      </c>
      <c r="HA30" s="64">
        <v>0</v>
      </c>
      <c r="HB30" s="64">
        <v>2</v>
      </c>
      <c r="HC30" s="64">
        <v>0</v>
      </c>
      <c r="HD30" s="64">
        <v>2</v>
      </c>
      <c r="HE30" s="64">
        <v>4</v>
      </c>
      <c r="HF30" s="64">
        <v>2</v>
      </c>
      <c r="HG30" s="64">
        <v>4</v>
      </c>
      <c r="HH30" s="64">
        <v>6</v>
      </c>
      <c r="HI30" s="64">
        <v>6</v>
      </c>
      <c r="HJ30" s="64">
        <v>8</v>
      </c>
      <c r="HK30" s="64">
        <v>6</v>
      </c>
      <c r="HL30" s="64">
        <v>8</v>
      </c>
      <c r="HM30" s="64">
        <v>10</v>
      </c>
      <c r="HN30" s="64">
        <v>8</v>
      </c>
      <c r="HO30" s="64">
        <v>10</v>
      </c>
      <c r="HP30" s="64">
        <v>12</v>
      </c>
      <c r="HQ30" s="64">
        <v>10</v>
      </c>
      <c r="HR30" s="64">
        <v>14</v>
      </c>
      <c r="HS30" s="64">
        <v>12</v>
      </c>
      <c r="HT30" s="64">
        <v>14</v>
      </c>
      <c r="HV30" s="64" t="s">
        <v>379</v>
      </c>
      <c r="HW30" s="72">
        <v>0</v>
      </c>
      <c r="HX30" s="72">
        <v>0</v>
      </c>
      <c r="HY30" s="72">
        <v>2</v>
      </c>
      <c r="HZ30" s="72">
        <v>2</v>
      </c>
      <c r="IA30" s="72">
        <v>2</v>
      </c>
      <c r="IB30" s="72">
        <v>6</v>
      </c>
      <c r="IC30" s="72">
        <v>4</v>
      </c>
      <c r="ID30" s="72">
        <v>8</v>
      </c>
      <c r="IE30" s="72">
        <v>8</v>
      </c>
      <c r="IF30" s="72">
        <v>10</v>
      </c>
      <c r="IG30" s="72">
        <v>10</v>
      </c>
      <c r="IH30" s="72">
        <v>10</v>
      </c>
      <c r="II30" s="72">
        <v>12</v>
      </c>
      <c r="IJ30" s="72">
        <v>12</v>
      </c>
      <c r="IK30" s="72">
        <v>16</v>
      </c>
      <c r="IL30" s="72">
        <v>16</v>
      </c>
      <c r="IM30" s="72">
        <v>18</v>
      </c>
      <c r="IN30" s="72">
        <v>18</v>
      </c>
      <c r="IO30" s="72">
        <v>18</v>
      </c>
      <c r="IP30" s="72">
        <v>20</v>
      </c>
      <c r="IQ30" s="72">
        <v>20</v>
      </c>
      <c r="IS30" s="64" t="s">
        <v>379</v>
      </c>
      <c r="IT30" s="64">
        <f t="shared" si="42"/>
        <v>0</v>
      </c>
      <c r="IU30" s="64">
        <f t="shared" si="43"/>
        <v>0</v>
      </c>
      <c r="IV30" s="64">
        <f t="shared" si="44"/>
        <v>4</v>
      </c>
      <c r="IW30" s="64">
        <f t="shared" si="45"/>
        <v>4</v>
      </c>
      <c r="IX30" s="64">
        <f t="shared" si="46"/>
        <v>4</v>
      </c>
      <c r="IY30" s="64">
        <f t="shared" si="47"/>
        <v>12</v>
      </c>
      <c r="IZ30" s="64">
        <f t="shared" si="48"/>
        <v>8</v>
      </c>
      <c r="JA30" s="64">
        <f t="shared" si="49"/>
        <v>16</v>
      </c>
      <c r="JB30" s="64">
        <f t="shared" si="50"/>
        <v>16</v>
      </c>
      <c r="JC30" s="64">
        <f t="shared" si="51"/>
        <v>20</v>
      </c>
      <c r="JD30" s="64">
        <f t="shared" si="52"/>
        <v>20</v>
      </c>
      <c r="JE30" s="64">
        <f t="shared" si="53"/>
        <v>20</v>
      </c>
      <c r="JF30" s="64">
        <f t="shared" si="54"/>
        <v>24</v>
      </c>
      <c r="JG30" s="64">
        <f t="shared" si="55"/>
        <v>24</v>
      </c>
      <c r="JH30" s="64">
        <f t="shared" si="56"/>
        <v>32</v>
      </c>
      <c r="JI30" s="64">
        <f t="shared" si="57"/>
        <v>32</v>
      </c>
      <c r="JJ30" s="64">
        <f t="shared" si="58"/>
        <v>36</v>
      </c>
      <c r="JK30" s="64">
        <f t="shared" si="59"/>
        <v>36</v>
      </c>
      <c r="JL30" s="64">
        <f t="shared" si="60"/>
        <v>36</v>
      </c>
      <c r="JM30" s="64">
        <f t="shared" si="61"/>
        <v>40</v>
      </c>
      <c r="JN30" s="64">
        <f t="shared" si="62"/>
        <v>40</v>
      </c>
      <c r="JQ30" s="88"/>
    </row>
    <row r="31" spans="1:295" x14ac:dyDescent="0.25">
      <c r="A31" s="8"/>
      <c r="B31" s="5" t="s">
        <v>61</v>
      </c>
      <c r="C31" s="8"/>
      <c r="D31" s="6" t="s">
        <v>476</v>
      </c>
      <c r="E31" s="8">
        <v>20</v>
      </c>
      <c r="F31" s="5"/>
      <c r="G31" s="5"/>
      <c r="H31" s="5"/>
      <c r="I31" s="5"/>
      <c r="J31" s="5" t="s">
        <v>180</v>
      </c>
      <c r="K31" s="9"/>
      <c r="L31" s="6" t="str">
        <f>INDEX(($AE$89:$AF$99),MATCH(I28,$AD$89:$AD$98,0),MATCH(E29,$AE$88:$AF$88,0),1)</f>
        <v>BUFK30</v>
      </c>
      <c r="M31" s="11">
        <f>INDEX(cenník!$C$2:$I$568,MATCH($L31,cenník!$B$2:$B$557,0),MATCH(M$2,cenník!$C$1:$I$1,0))</f>
        <v>897430</v>
      </c>
      <c r="N31" s="11" t="str">
        <f>INDEX(cenník!$C$2:$I$568,MATCH($L31,cenník!$B$2:$B$557,0),MATCH(N$2,cenník!$C$1:$I$1,0))</f>
        <v>ks</v>
      </c>
      <c r="O31" s="11">
        <f>SUM(IF(A27=0,0,IF((A27&gt;0),C27*8)),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)</f>
        <v>0</v>
      </c>
      <c r="P31" s="36">
        <f>INDEX(cenník!$C$2:$I$568,MATCH($L31,cenník!$B$2:$B$557,0),MATCH(P$2,cenník!$C$1:$I$1,0))</f>
        <v>1.9</v>
      </c>
      <c r="Q31" s="36">
        <f t="shared" si="77"/>
        <v>0</v>
      </c>
      <c r="R31" s="37">
        <f t="shared" si="75"/>
        <v>0</v>
      </c>
      <c r="S31" s="36">
        <f t="shared" si="76"/>
        <v>1.9</v>
      </c>
      <c r="T31" s="36">
        <f t="shared" si="78"/>
        <v>0</v>
      </c>
      <c r="U31" s="36">
        <f>INDEX(cenník!$C$2:$I$568,MATCH($L31,cenník!$B$2:$B$557,0),MATCH(U$2,cenník!$C$1:$I$1,0))*O31</f>
        <v>0</v>
      </c>
      <c r="V31" s="72"/>
      <c r="W31" s="85">
        <f t="shared" si="74"/>
        <v>0</v>
      </c>
      <c r="X31" s="72" t="s">
        <v>330</v>
      </c>
      <c r="Y31" s="72">
        <v>1250</v>
      </c>
      <c r="Z31" s="72"/>
      <c r="AA31" s="72"/>
      <c r="AB31" s="72">
        <f t="shared" si="69"/>
        <v>0</v>
      </c>
      <c r="AC31" s="72"/>
      <c r="AE31" s="72">
        <f>INDEX(($AG$30:$AH$39),MATCH(I3,$AF$30:$AF$39,0),MATCH(E4,$AG$29:$AH$29,0))</f>
        <v>0</v>
      </c>
      <c r="AF31" s="72">
        <v>32</v>
      </c>
      <c r="AG31" s="72" t="s">
        <v>426</v>
      </c>
      <c r="AH31" s="72">
        <v>0</v>
      </c>
      <c r="AI31" s="72"/>
      <c r="AJ31" s="72">
        <f t="shared" si="79"/>
        <v>0</v>
      </c>
      <c r="AK31" s="72">
        <f t="shared" si="80"/>
        <v>0</v>
      </c>
      <c r="AL31" s="72" t="s">
        <v>63</v>
      </c>
      <c r="AM31" s="72">
        <v>0</v>
      </c>
      <c r="AN31" s="72">
        <v>0</v>
      </c>
      <c r="AO31" s="72">
        <v>4</v>
      </c>
      <c r="AP31" s="72">
        <v>6</v>
      </c>
      <c r="AQ31" s="72">
        <v>0</v>
      </c>
      <c r="AR31" s="72">
        <v>0</v>
      </c>
      <c r="AS31" s="72">
        <v>0</v>
      </c>
      <c r="AT31" s="72">
        <v>0</v>
      </c>
      <c r="AU31" s="72">
        <v>0</v>
      </c>
      <c r="AV31" s="72">
        <v>0</v>
      </c>
      <c r="AW31" s="72">
        <v>0</v>
      </c>
      <c r="AX31" s="72">
        <v>0</v>
      </c>
      <c r="AY31" s="72">
        <v>0</v>
      </c>
      <c r="AZ31" s="72">
        <v>0</v>
      </c>
      <c r="BA31" s="72">
        <v>0</v>
      </c>
      <c r="BB31" s="72">
        <v>0</v>
      </c>
      <c r="BC31" s="72">
        <v>0</v>
      </c>
      <c r="BD31" s="72">
        <v>0</v>
      </c>
      <c r="BE31" s="72">
        <v>0</v>
      </c>
      <c r="BF31" s="72">
        <v>0</v>
      </c>
      <c r="BG31" s="72">
        <v>0</v>
      </c>
      <c r="BH31" s="72">
        <v>0</v>
      </c>
      <c r="BI31" s="72">
        <v>0</v>
      </c>
      <c r="BJ31" s="72">
        <v>0</v>
      </c>
      <c r="BK31" s="72">
        <v>0</v>
      </c>
      <c r="BL31" s="72">
        <v>0</v>
      </c>
      <c r="BM31" s="72">
        <v>0</v>
      </c>
      <c r="BN31" s="72">
        <v>0</v>
      </c>
      <c r="BO31" s="72">
        <v>0</v>
      </c>
      <c r="BP31" s="72">
        <v>0</v>
      </c>
      <c r="BQ31" s="72">
        <v>0</v>
      </c>
      <c r="BR31" s="72">
        <v>0</v>
      </c>
      <c r="BS31" s="72">
        <v>0</v>
      </c>
      <c r="BT31" s="72">
        <v>0</v>
      </c>
      <c r="BU31" s="72">
        <v>0</v>
      </c>
      <c r="BV31" s="72">
        <v>0</v>
      </c>
      <c r="BW31" s="72">
        <v>0</v>
      </c>
      <c r="BX31" s="72">
        <v>0</v>
      </c>
      <c r="BY31" s="72">
        <v>0</v>
      </c>
      <c r="BZ31" s="72">
        <v>0</v>
      </c>
      <c r="CA31" s="72">
        <v>0</v>
      </c>
      <c r="CB31" s="72">
        <v>0</v>
      </c>
      <c r="CC31" s="72">
        <v>0</v>
      </c>
      <c r="CD31" s="72">
        <v>0</v>
      </c>
      <c r="CE31" s="72">
        <v>0</v>
      </c>
      <c r="CF31" s="72">
        <v>0</v>
      </c>
      <c r="CG31" s="72">
        <v>0</v>
      </c>
      <c r="CH31" s="72">
        <v>0</v>
      </c>
      <c r="CI31" s="72">
        <v>0</v>
      </c>
      <c r="CJ31" s="72">
        <v>0</v>
      </c>
      <c r="CK31" s="72">
        <v>0</v>
      </c>
      <c r="CL31" s="72"/>
      <c r="CM31" s="72"/>
      <c r="CN31" s="72"/>
      <c r="CO31" s="72"/>
      <c r="CP31" s="72"/>
      <c r="CQ31" s="72"/>
      <c r="CR31" s="72"/>
      <c r="CS31" s="72"/>
      <c r="CT31" s="72"/>
      <c r="CU31" s="72"/>
      <c r="CV31" s="72"/>
      <c r="CW31" s="72"/>
      <c r="CX31" s="72"/>
      <c r="CY31" s="72"/>
      <c r="CZ31" s="72"/>
      <c r="DA31" s="72"/>
      <c r="DB31" s="72"/>
      <c r="DC31" s="72"/>
      <c r="DD31" s="72"/>
      <c r="DE31" s="72"/>
      <c r="DF31" s="72"/>
      <c r="DG31" s="72"/>
      <c r="DH31" s="72"/>
      <c r="DI31" s="72"/>
      <c r="DJ31" s="72"/>
      <c r="DK31" s="72"/>
      <c r="DL31" s="72"/>
      <c r="DM31" s="72"/>
      <c r="DN31" s="72"/>
      <c r="DO31" s="72"/>
      <c r="DP31" s="72"/>
      <c r="DQ31" s="72"/>
      <c r="DR31" s="72"/>
      <c r="DS31" s="72"/>
      <c r="DT31" s="72"/>
      <c r="DU31" s="72"/>
      <c r="DV31" s="72"/>
      <c r="DW31" s="72"/>
      <c r="DX31" s="72"/>
      <c r="DY31" s="72"/>
      <c r="DZ31" s="81">
        <v>30</v>
      </c>
      <c r="EA31" s="81"/>
      <c r="EB31" s="81">
        <v>32</v>
      </c>
      <c r="EC31" s="72"/>
      <c r="ED31" s="72"/>
      <c r="EE31" s="72"/>
      <c r="EF31" s="72"/>
      <c r="EG31" s="72"/>
      <c r="EH31" s="72"/>
      <c r="EI31" s="72"/>
      <c r="EJ31" s="72"/>
      <c r="EK31" s="72"/>
      <c r="EL31" s="72"/>
      <c r="EM31" s="72"/>
      <c r="EN31" s="72"/>
      <c r="EO31" s="72"/>
      <c r="EP31" s="72"/>
      <c r="EQ31" s="72"/>
      <c r="ER31" s="72"/>
      <c r="ES31" s="72"/>
      <c r="ET31" s="72"/>
      <c r="EU31" s="72"/>
      <c r="EV31" s="72" t="s">
        <v>8</v>
      </c>
      <c r="EW31" s="72">
        <v>0</v>
      </c>
      <c r="EX31" s="72">
        <v>2</v>
      </c>
      <c r="EY31" s="72">
        <v>4</v>
      </c>
      <c r="EZ31" s="72">
        <v>0</v>
      </c>
      <c r="FA31" s="72">
        <v>0</v>
      </c>
      <c r="FB31" s="72">
        <v>0</v>
      </c>
      <c r="FC31" s="72">
        <v>0</v>
      </c>
      <c r="FD31" s="72">
        <v>2</v>
      </c>
      <c r="FE31" s="72">
        <v>0</v>
      </c>
      <c r="FF31" s="72">
        <v>0</v>
      </c>
      <c r="FG31" s="72">
        <v>0</v>
      </c>
      <c r="FH31" s="72">
        <v>0</v>
      </c>
      <c r="FI31" s="72">
        <v>0</v>
      </c>
      <c r="FJ31" s="72">
        <v>0</v>
      </c>
      <c r="FK31" s="72">
        <v>0</v>
      </c>
      <c r="FL31" s="72">
        <v>0</v>
      </c>
      <c r="FM31" s="72">
        <v>0</v>
      </c>
      <c r="FN31" s="72">
        <v>0</v>
      </c>
      <c r="FO31" s="72">
        <v>0</v>
      </c>
      <c r="FP31" s="72">
        <v>0</v>
      </c>
      <c r="FQ31" s="72">
        <v>0</v>
      </c>
      <c r="FR31" s="72">
        <v>0</v>
      </c>
      <c r="FS31" s="72">
        <v>0</v>
      </c>
      <c r="FT31" s="72">
        <v>0</v>
      </c>
      <c r="FU31" s="72">
        <v>0</v>
      </c>
      <c r="FV31" s="72">
        <v>0</v>
      </c>
      <c r="FW31" s="72">
        <v>0</v>
      </c>
      <c r="FX31" s="72">
        <v>0</v>
      </c>
      <c r="FY31" s="72">
        <v>0</v>
      </c>
      <c r="FZ31" s="72">
        <v>0</v>
      </c>
      <c r="GA31" s="72">
        <v>0</v>
      </c>
      <c r="GB31" s="72">
        <v>0</v>
      </c>
      <c r="GC31" s="72">
        <v>0</v>
      </c>
      <c r="GD31" s="72">
        <v>0</v>
      </c>
      <c r="GE31" s="72">
        <v>0</v>
      </c>
      <c r="GF31" s="72">
        <v>0</v>
      </c>
      <c r="GG31" s="72">
        <v>0</v>
      </c>
      <c r="GH31" s="72">
        <v>0</v>
      </c>
      <c r="GI31" s="72">
        <v>0</v>
      </c>
      <c r="GJ31" s="72">
        <v>0</v>
      </c>
      <c r="GK31" s="72">
        <v>0</v>
      </c>
      <c r="GL31" s="72">
        <v>0</v>
      </c>
      <c r="GM31" s="72">
        <v>0</v>
      </c>
      <c r="GN31" s="72">
        <v>0</v>
      </c>
      <c r="GO31" s="72">
        <v>0</v>
      </c>
      <c r="GP31" s="72">
        <v>0</v>
      </c>
      <c r="GQ31" s="72">
        <v>0</v>
      </c>
      <c r="GR31" s="72">
        <v>0</v>
      </c>
      <c r="GS31" s="72">
        <v>0</v>
      </c>
      <c r="GT31" s="72">
        <v>0</v>
      </c>
      <c r="GU31" s="72">
        <v>0</v>
      </c>
      <c r="GV31" s="72"/>
      <c r="GW31" s="72"/>
      <c r="GX31" s="72"/>
      <c r="GY31" s="64" t="s">
        <v>328</v>
      </c>
      <c r="GZ31" s="64">
        <v>0</v>
      </c>
      <c r="HA31" s="64">
        <v>0</v>
      </c>
      <c r="HB31" s="64">
        <v>0</v>
      </c>
      <c r="HC31" s="64">
        <v>2</v>
      </c>
      <c r="HD31" s="64">
        <v>2</v>
      </c>
      <c r="HE31" s="64">
        <v>2</v>
      </c>
      <c r="HF31" s="64">
        <v>4</v>
      </c>
      <c r="HG31" s="64">
        <v>4</v>
      </c>
      <c r="HH31" s="64">
        <v>4</v>
      </c>
      <c r="HI31" s="64">
        <v>6</v>
      </c>
      <c r="HJ31" s="64">
        <v>6</v>
      </c>
      <c r="HK31" s="64">
        <v>8</v>
      </c>
      <c r="HL31" s="64">
        <v>8</v>
      </c>
      <c r="HM31" s="64">
        <v>8</v>
      </c>
      <c r="HN31" s="64">
        <v>10</v>
      </c>
      <c r="HO31" s="64">
        <v>10</v>
      </c>
      <c r="HP31" s="64">
        <v>10</v>
      </c>
      <c r="HQ31" s="64">
        <v>12</v>
      </c>
      <c r="HR31" s="64">
        <v>12</v>
      </c>
      <c r="HS31" s="64">
        <v>14</v>
      </c>
      <c r="HT31" s="64">
        <v>14</v>
      </c>
      <c r="HV31" s="64" t="s">
        <v>406</v>
      </c>
      <c r="HW31" s="72">
        <v>0</v>
      </c>
      <c r="HX31" s="72">
        <v>0</v>
      </c>
      <c r="HY31" s="72">
        <v>0</v>
      </c>
      <c r="HZ31" s="72">
        <v>2</v>
      </c>
      <c r="IA31" s="72">
        <v>4</v>
      </c>
      <c r="IB31" s="72">
        <v>4</v>
      </c>
      <c r="IC31" s="72">
        <v>6</v>
      </c>
      <c r="ID31" s="72">
        <v>6</v>
      </c>
      <c r="IE31" s="72">
        <v>8</v>
      </c>
      <c r="IF31" s="72">
        <v>8</v>
      </c>
      <c r="IG31" s="72">
        <v>10</v>
      </c>
      <c r="IH31" s="72">
        <v>12</v>
      </c>
      <c r="II31" s="72">
        <v>12</v>
      </c>
      <c r="IJ31" s="72">
        <v>14</v>
      </c>
      <c r="IK31" s="72">
        <v>14</v>
      </c>
      <c r="IL31" s="72">
        <v>16</v>
      </c>
      <c r="IM31" s="72">
        <v>16</v>
      </c>
      <c r="IN31" s="72">
        <v>18</v>
      </c>
      <c r="IO31" s="72">
        <v>20</v>
      </c>
      <c r="IP31" s="72">
        <v>20</v>
      </c>
      <c r="IQ31" s="72">
        <v>22</v>
      </c>
      <c r="IS31" s="64" t="s">
        <v>406</v>
      </c>
      <c r="IT31" s="64">
        <f t="shared" si="42"/>
        <v>0</v>
      </c>
      <c r="IU31" s="64">
        <f t="shared" si="43"/>
        <v>0</v>
      </c>
      <c r="IV31" s="64">
        <f t="shared" si="44"/>
        <v>0</v>
      </c>
      <c r="IW31" s="64">
        <f t="shared" si="45"/>
        <v>4</v>
      </c>
      <c r="IX31" s="64">
        <f t="shared" si="46"/>
        <v>8</v>
      </c>
      <c r="IY31" s="64">
        <f t="shared" si="47"/>
        <v>8</v>
      </c>
      <c r="IZ31" s="64">
        <f t="shared" si="48"/>
        <v>12</v>
      </c>
      <c r="JA31" s="64">
        <f t="shared" si="49"/>
        <v>12</v>
      </c>
      <c r="JB31" s="64">
        <f t="shared" si="50"/>
        <v>16</v>
      </c>
      <c r="JC31" s="64">
        <f t="shared" si="51"/>
        <v>16</v>
      </c>
      <c r="JD31" s="64">
        <f t="shared" si="52"/>
        <v>20</v>
      </c>
      <c r="JE31" s="64">
        <f t="shared" si="53"/>
        <v>24</v>
      </c>
      <c r="JF31" s="64">
        <f t="shared" si="54"/>
        <v>24</v>
      </c>
      <c r="JG31" s="64">
        <f t="shared" si="55"/>
        <v>28</v>
      </c>
      <c r="JH31" s="64">
        <f t="shared" si="56"/>
        <v>28</v>
      </c>
      <c r="JI31" s="64">
        <f t="shared" si="57"/>
        <v>32</v>
      </c>
      <c r="JJ31" s="64">
        <f t="shared" si="58"/>
        <v>32</v>
      </c>
      <c r="JK31" s="64">
        <f t="shared" si="59"/>
        <v>36</v>
      </c>
      <c r="JL31" s="64">
        <f t="shared" si="60"/>
        <v>40</v>
      </c>
      <c r="JM31" s="64">
        <f t="shared" si="61"/>
        <v>40</v>
      </c>
      <c r="JN31" s="64">
        <f t="shared" si="62"/>
        <v>44</v>
      </c>
      <c r="JQ31" s="88"/>
      <c r="KG31" s="88"/>
      <c r="KI31" s="72"/>
    </row>
    <row r="32" spans="1:295" x14ac:dyDescent="0.25">
      <c r="A32" s="8"/>
      <c r="B32" s="5" t="s">
        <v>61</v>
      </c>
      <c r="C32" s="8"/>
      <c r="D32" s="6" t="s">
        <v>458</v>
      </c>
      <c r="E32" s="8">
        <v>0</v>
      </c>
      <c r="F32" s="5"/>
      <c r="G32" s="5"/>
      <c r="H32" s="5"/>
      <c r="I32" s="5"/>
      <c r="J32" s="5" t="s">
        <v>95</v>
      </c>
      <c r="K32" s="9"/>
      <c r="L32" s="6" t="str">
        <f>INDEX(($AE$99:$AF$99),1,MATCH(E29,$AE$88:$AF$88,0),1)</f>
        <v>PUFK</v>
      </c>
      <c r="M32" s="11">
        <f>INDEX(cenník!$C$2:$I$568,MATCH($L32,cenník!$B$2:$B$557,0),MATCH(M$2,cenník!$C$1:$I$1,0))</f>
        <v>890300</v>
      </c>
      <c r="N32" s="11" t="str">
        <f>INDEX(cenník!$C$2:$I$568,MATCH($L32,cenník!$B$2:$B$557,0),MATCH(N$2,cenník!$C$1:$I$1,0))</f>
        <v>ks</v>
      </c>
      <c r="O32" s="11">
        <f>SUM(IF(A27=0,0,IF(A27&gt;0,(A27-2)*2*C27)),IF(A28=0,0,IF(A28&gt;0,(A28-2)*2*C28)),IF(A29=0,0,IF(A29&gt;0,(A29-2)*2*C29)),IF(A30=0,0,IF(A30&gt;0,(A30-2)*2*C30)),IF(A31=0,0,IF(A31&gt;0,(A31-2)*2*C31)),IF(A32=0,0,IF(A32&gt;0,(A32-2)*2*C32)),IF(A33=0,0,IF(A33&gt;0,(A33-2)*2*C33)),IF(A34=0,0,IF(A34&gt;0,(A34-2)*2*C34)),IF(A35=0,0,IF(A35&gt;0,(A35-2)*2*C35)),IF(A36=0,0,IF(A36&gt;0,(A36-2)*2*C36)),IF(A37=0,0,IF(A37&gt;0,(A37-2)*2*C37)),IF(A38=0,0,IF(A38&gt;0,(A38-2)*2*C38)),IF(A39=0,0,IF(A39&gt;0,(A39-2)*2*C39)),IF(A40=0,0,IF(A40&gt;0,(A40-2)*2*C40)),IF(A41=0,0,IF(A41&gt;0,(A41-2)*2*C41)),IF(A42=0,0,IF(A42&gt;0,(A42-2)*2*C42)))</f>
        <v>0</v>
      </c>
      <c r="P32" s="36">
        <f>INDEX(cenník!$C$2:$I$568,MATCH($L32,cenník!$B$2:$B$557,0),MATCH(P$2,cenník!$C$1:$I$1,0))</f>
        <v>2.08</v>
      </c>
      <c r="Q32" s="36">
        <f t="shared" si="77"/>
        <v>0</v>
      </c>
      <c r="R32" s="37">
        <f t="shared" si="75"/>
        <v>0</v>
      </c>
      <c r="S32" s="36">
        <f t="shared" si="76"/>
        <v>2.08</v>
      </c>
      <c r="T32" s="36">
        <f t="shared" si="78"/>
        <v>0</v>
      </c>
      <c r="U32" s="36">
        <f>INDEX(cenník!$C$2:$I$568,MATCH($L32,cenník!$B$2:$B$557,0),MATCH(U$2,cenník!$C$1:$I$1,0))*O32</f>
        <v>0</v>
      </c>
      <c r="V32" s="72"/>
      <c r="W32" s="85">
        <f t="shared" si="74"/>
        <v>0</v>
      </c>
      <c r="X32" s="72" t="s">
        <v>331</v>
      </c>
      <c r="Y32" s="72">
        <v>1300</v>
      </c>
      <c r="Z32" s="72"/>
      <c r="AA32" s="72"/>
      <c r="AB32" s="72">
        <f t="shared" si="69"/>
        <v>0</v>
      </c>
      <c r="AC32" s="72"/>
      <c r="AD32" s="72"/>
      <c r="AE32" s="72"/>
      <c r="AF32" s="72">
        <v>33</v>
      </c>
      <c r="AG32" s="72" t="s">
        <v>426</v>
      </c>
      <c r="AH32" s="72">
        <v>0</v>
      </c>
      <c r="AI32" s="72"/>
      <c r="AJ32" s="72">
        <f t="shared" si="79"/>
        <v>0</v>
      </c>
      <c r="AK32" s="72">
        <f t="shared" si="80"/>
        <v>0</v>
      </c>
      <c r="AL32" s="72" t="s">
        <v>11</v>
      </c>
      <c r="AM32" s="72">
        <v>0</v>
      </c>
      <c r="AN32" s="72">
        <v>2</v>
      </c>
      <c r="AO32" s="72">
        <v>0</v>
      </c>
      <c r="AP32" s="72">
        <v>0</v>
      </c>
      <c r="AQ32" s="72">
        <v>2</v>
      </c>
      <c r="AR32" s="72">
        <v>0</v>
      </c>
      <c r="AS32" s="72">
        <v>4</v>
      </c>
      <c r="AT32" s="72">
        <v>2</v>
      </c>
      <c r="AU32" s="72">
        <v>0</v>
      </c>
      <c r="AV32" s="72">
        <v>4</v>
      </c>
      <c r="AW32" s="72">
        <v>2</v>
      </c>
      <c r="AX32" s="72">
        <v>0</v>
      </c>
      <c r="AY32" s="72">
        <v>4</v>
      </c>
      <c r="AZ32" s="72">
        <v>2</v>
      </c>
      <c r="BA32" s="72">
        <v>0</v>
      </c>
      <c r="BB32" s="72">
        <v>0</v>
      </c>
      <c r="BC32" s="72">
        <v>2</v>
      </c>
      <c r="BD32" s="72">
        <v>0</v>
      </c>
      <c r="BE32" s="72">
        <v>4</v>
      </c>
      <c r="BF32" s="72">
        <v>0</v>
      </c>
      <c r="BG32" s="72">
        <v>0</v>
      </c>
      <c r="BH32" s="72">
        <v>2</v>
      </c>
      <c r="BI32" s="72">
        <v>0</v>
      </c>
      <c r="BJ32" s="72">
        <v>0</v>
      </c>
      <c r="BK32" s="72">
        <v>0</v>
      </c>
      <c r="BL32" s="72">
        <v>0</v>
      </c>
      <c r="BM32" s="72">
        <v>0</v>
      </c>
      <c r="BN32" s="72">
        <v>4</v>
      </c>
      <c r="BO32" s="72">
        <v>0</v>
      </c>
      <c r="BP32" s="72">
        <v>0</v>
      </c>
      <c r="BQ32" s="72">
        <v>0</v>
      </c>
      <c r="BR32" s="72">
        <v>0</v>
      </c>
      <c r="BS32" s="72">
        <v>0</v>
      </c>
      <c r="BT32" s="72">
        <v>2</v>
      </c>
      <c r="BU32" s="72">
        <v>0</v>
      </c>
      <c r="BV32" s="72">
        <v>0</v>
      </c>
      <c r="BW32" s="72">
        <v>0</v>
      </c>
      <c r="BX32" s="72">
        <v>0</v>
      </c>
      <c r="BY32" s="72">
        <v>0</v>
      </c>
      <c r="BZ32" s="72">
        <v>0</v>
      </c>
      <c r="CA32" s="72">
        <v>0</v>
      </c>
      <c r="CB32" s="72">
        <v>0</v>
      </c>
      <c r="CC32" s="72">
        <v>4</v>
      </c>
      <c r="CD32" s="72">
        <v>0</v>
      </c>
      <c r="CE32" s="72">
        <v>0</v>
      </c>
      <c r="CF32" s="72">
        <v>0</v>
      </c>
      <c r="CG32" s="72">
        <v>0</v>
      </c>
      <c r="CH32" s="72">
        <v>0</v>
      </c>
      <c r="CI32" s="72">
        <v>0</v>
      </c>
      <c r="CJ32" s="72">
        <v>0</v>
      </c>
      <c r="CK32" s="72">
        <v>0</v>
      </c>
      <c r="CL32" s="72"/>
      <c r="CM32" s="72"/>
      <c r="CN32" s="72"/>
      <c r="CO32" s="72"/>
      <c r="CP32" s="72"/>
      <c r="CQ32" s="72"/>
      <c r="CR32" s="72"/>
      <c r="CS32" s="72"/>
      <c r="CT32" s="72"/>
      <c r="CU32" s="72"/>
      <c r="CV32" s="72"/>
      <c r="CW32" s="72"/>
      <c r="CX32" s="72"/>
      <c r="CY32" s="72"/>
      <c r="CZ32" s="72"/>
      <c r="DA32" s="72"/>
      <c r="DB32" s="72"/>
      <c r="DC32" s="72"/>
      <c r="DD32" s="72"/>
      <c r="DE32" s="72"/>
      <c r="DF32" s="72"/>
      <c r="DG32" s="72"/>
      <c r="DH32" s="72"/>
      <c r="DI32" s="72"/>
      <c r="DJ32" s="72"/>
      <c r="DK32" s="72"/>
      <c r="DL32" s="72"/>
      <c r="DM32" s="72"/>
      <c r="DN32" s="72"/>
      <c r="DO32" s="72"/>
      <c r="DP32" s="72"/>
      <c r="DQ32" s="72"/>
      <c r="DR32" s="72"/>
      <c r="DS32" s="72"/>
      <c r="DT32" s="72"/>
      <c r="DU32" s="72"/>
      <c r="DV32" s="72"/>
      <c r="DW32" s="72"/>
      <c r="DX32" s="72"/>
      <c r="DY32" s="72"/>
      <c r="DZ32" s="81">
        <v>31</v>
      </c>
      <c r="EA32" s="81"/>
      <c r="EB32" s="81">
        <v>35</v>
      </c>
      <c r="EC32" s="72"/>
      <c r="ED32" s="72"/>
      <c r="EE32" s="72"/>
      <c r="EF32" s="72"/>
      <c r="EG32" s="72"/>
      <c r="EH32" s="72"/>
      <c r="EI32" s="72"/>
      <c r="EJ32" s="72"/>
      <c r="EK32" s="72"/>
      <c r="EL32" s="72"/>
      <c r="EM32" s="72"/>
      <c r="EN32" s="72"/>
      <c r="EO32" s="72"/>
      <c r="EP32" s="72"/>
      <c r="EQ32" s="72"/>
      <c r="ER32" s="72"/>
      <c r="ES32" s="72"/>
      <c r="ET32" s="72"/>
      <c r="EU32" s="72"/>
      <c r="EV32" s="72" t="s">
        <v>98</v>
      </c>
      <c r="EW32" s="72">
        <v>0</v>
      </c>
      <c r="EX32" s="72">
        <v>0</v>
      </c>
      <c r="EY32" s="72">
        <v>0</v>
      </c>
      <c r="EZ32" s="72">
        <v>0</v>
      </c>
      <c r="FA32" s="72">
        <v>0</v>
      </c>
      <c r="FB32" s="72">
        <v>0</v>
      </c>
      <c r="FC32" s="72">
        <v>0</v>
      </c>
      <c r="FD32" s="72">
        <v>0</v>
      </c>
      <c r="FE32" s="72">
        <v>2</v>
      </c>
      <c r="FF32" s="72">
        <v>0</v>
      </c>
      <c r="FG32" s="72">
        <v>0</v>
      </c>
      <c r="FH32" s="72">
        <v>0</v>
      </c>
      <c r="FI32" s="72">
        <v>0</v>
      </c>
      <c r="FJ32" s="72">
        <v>0</v>
      </c>
      <c r="FK32" s="72">
        <v>0</v>
      </c>
      <c r="FL32" s="72">
        <v>0</v>
      </c>
      <c r="FM32" s="72">
        <v>0</v>
      </c>
      <c r="FN32" s="72">
        <v>0</v>
      </c>
      <c r="FO32" s="72">
        <v>0</v>
      </c>
      <c r="FP32" s="72">
        <v>0</v>
      </c>
      <c r="FQ32" s="72">
        <v>0</v>
      </c>
      <c r="FR32" s="72">
        <v>0</v>
      </c>
      <c r="FS32" s="72">
        <v>0</v>
      </c>
      <c r="FT32" s="72">
        <v>0</v>
      </c>
      <c r="FU32" s="72">
        <v>0</v>
      </c>
      <c r="FV32" s="72">
        <v>0</v>
      </c>
      <c r="FW32" s="72">
        <v>0</v>
      </c>
      <c r="FX32" s="72">
        <v>0</v>
      </c>
      <c r="FY32" s="72">
        <v>0</v>
      </c>
      <c r="FZ32" s="72">
        <v>0</v>
      </c>
      <c r="GA32" s="72">
        <v>0</v>
      </c>
      <c r="GB32" s="72">
        <v>0</v>
      </c>
      <c r="GC32" s="72">
        <v>0</v>
      </c>
      <c r="GD32" s="72">
        <v>0</v>
      </c>
      <c r="GE32" s="72">
        <v>0</v>
      </c>
      <c r="GF32" s="72">
        <v>0</v>
      </c>
      <c r="GG32" s="72">
        <v>0</v>
      </c>
      <c r="GH32" s="72">
        <v>0</v>
      </c>
      <c r="GI32" s="72">
        <v>0</v>
      </c>
      <c r="GJ32" s="72">
        <v>0</v>
      </c>
      <c r="GK32" s="72">
        <v>0</v>
      </c>
      <c r="GL32" s="72">
        <v>0</v>
      </c>
      <c r="GM32" s="72">
        <v>0</v>
      </c>
      <c r="GN32" s="72">
        <v>0</v>
      </c>
      <c r="GO32" s="72">
        <v>0</v>
      </c>
      <c r="GP32" s="72">
        <v>0</v>
      </c>
      <c r="GQ32" s="72">
        <v>0</v>
      </c>
      <c r="GR32" s="72">
        <v>0</v>
      </c>
      <c r="GS32" s="72">
        <v>0</v>
      </c>
      <c r="GT32" s="72">
        <v>0</v>
      </c>
      <c r="GU32" s="72">
        <v>0</v>
      </c>
      <c r="GV32" s="72"/>
      <c r="GW32" s="72"/>
      <c r="GX32" s="72"/>
      <c r="JQ32" s="88"/>
      <c r="KG32" s="88"/>
      <c r="KI32" s="72"/>
    </row>
    <row r="33" spans="1:295" x14ac:dyDescent="0.25">
      <c r="A33" s="8"/>
      <c r="B33" s="5" t="s">
        <v>61</v>
      </c>
      <c r="C33" s="8"/>
      <c r="D33" s="6" t="s">
        <v>460</v>
      </c>
      <c r="E33" s="8">
        <v>0</v>
      </c>
      <c r="F33" s="6"/>
      <c r="G33" s="6"/>
      <c r="H33" s="6"/>
      <c r="I33" s="6"/>
      <c r="J33" s="5" t="s">
        <v>461</v>
      </c>
      <c r="K33" s="9"/>
      <c r="L33" s="6" t="s">
        <v>434</v>
      </c>
      <c r="M33" s="11">
        <f>INDEX(cenník!$C$2:$I$568,MATCH($L33,cenník!$B$2:$B$557,0),MATCH(M$2,cenník!$C$1:$I$1,0))</f>
        <v>651542</v>
      </c>
      <c r="N33" s="11" t="str">
        <f>INDEX(cenník!$C$2:$I$568,MATCH($L33,cenník!$B$2:$B$557,0),MATCH(N$2,cenník!$C$1:$I$1,0))</f>
        <v>bal</v>
      </c>
      <c r="O33" s="11">
        <f>ROUNDUP(O30/100,0)</f>
        <v>0</v>
      </c>
      <c r="P33" s="36">
        <f>INDEX(cenník!$C$2:$I$568,MATCH($L33,cenník!$B$2:$B$557,0),MATCH(P$2,cenník!$C$1:$I$1,0))</f>
        <v>33.51</v>
      </c>
      <c r="Q33" s="36">
        <f t="shared" si="77"/>
        <v>0</v>
      </c>
      <c r="R33" s="37">
        <f t="shared" si="75"/>
        <v>0</v>
      </c>
      <c r="S33" s="36">
        <f>P33*((100-$E$32)/100)</f>
        <v>33.51</v>
      </c>
      <c r="T33" s="36">
        <f t="shared" si="78"/>
        <v>0</v>
      </c>
      <c r="U33" s="36">
        <f>INDEX(cenník!$C$2:$I$568,MATCH($L33,cenník!$B$2:$B$557,0),MATCH(U$2,cenník!$C$1:$I$1,0))*O33</f>
        <v>0</v>
      </c>
      <c r="V33" s="72"/>
      <c r="W33" s="85">
        <f t="shared" si="74"/>
        <v>0</v>
      </c>
      <c r="X33" s="72" t="s">
        <v>350</v>
      </c>
      <c r="Y33" s="72">
        <v>1350</v>
      </c>
      <c r="Z33" s="72"/>
      <c r="AA33" s="72"/>
      <c r="AB33" s="72">
        <f t="shared" si="69"/>
        <v>0</v>
      </c>
      <c r="AC33" s="72"/>
      <c r="AD33" s="72"/>
      <c r="AE33" s="72"/>
      <c r="AF33" s="72">
        <v>34</v>
      </c>
      <c r="AG33" s="72" t="s">
        <v>426</v>
      </c>
      <c r="AH33" s="72">
        <v>0</v>
      </c>
      <c r="AI33" s="72"/>
      <c r="AJ33" s="72">
        <f t="shared" si="79"/>
        <v>0</v>
      </c>
      <c r="AK33" s="72">
        <f t="shared" si="80"/>
        <v>0</v>
      </c>
      <c r="AL33" s="72" t="s">
        <v>64</v>
      </c>
      <c r="AM33" s="72">
        <v>0</v>
      </c>
      <c r="AN33" s="72">
        <v>0</v>
      </c>
      <c r="AO33" s="72">
        <v>0</v>
      </c>
      <c r="AP33" s="72">
        <v>0</v>
      </c>
      <c r="AQ33" s="72">
        <v>0</v>
      </c>
      <c r="AR33" s="72">
        <v>0</v>
      </c>
      <c r="AS33" s="72">
        <v>0</v>
      </c>
      <c r="AT33" s="72">
        <v>0</v>
      </c>
      <c r="AU33" s="72">
        <v>0</v>
      </c>
      <c r="AV33" s="72">
        <v>0</v>
      </c>
      <c r="AW33" s="72">
        <v>0</v>
      </c>
      <c r="AX33" s="72">
        <v>0</v>
      </c>
      <c r="AY33" s="72">
        <v>0</v>
      </c>
      <c r="AZ33" s="72">
        <v>0</v>
      </c>
      <c r="BA33" s="72">
        <v>0</v>
      </c>
      <c r="BB33" s="72">
        <v>4</v>
      </c>
      <c r="BC33" s="72">
        <v>0</v>
      </c>
      <c r="BD33" s="72">
        <v>0</v>
      </c>
      <c r="BE33" s="72">
        <v>0</v>
      </c>
      <c r="BF33" s="72">
        <v>2</v>
      </c>
      <c r="BG33" s="72">
        <v>0</v>
      </c>
      <c r="BH33" s="72">
        <v>2</v>
      </c>
      <c r="BI33" s="72">
        <v>2</v>
      </c>
      <c r="BJ33" s="72">
        <v>0</v>
      </c>
      <c r="BK33" s="72">
        <v>4</v>
      </c>
      <c r="BL33" s="72">
        <v>2</v>
      </c>
      <c r="BM33" s="72">
        <v>0</v>
      </c>
      <c r="BN33" s="72">
        <v>0</v>
      </c>
      <c r="BO33" s="72">
        <v>0</v>
      </c>
      <c r="BP33" s="72">
        <v>0</v>
      </c>
      <c r="BQ33" s="72">
        <v>2</v>
      </c>
      <c r="BR33" s="72">
        <v>0</v>
      </c>
      <c r="BS33" s="72">
        <v>0</v>
      </c>
      <c r="BT33" s="72">
        <v>0</v>
      </c>
      <c r="BU33" s="72">
        <v>2</v>
      </c>
      <c r="BV33" s="72">
        <v>0</v>
      </c>
      <c r="BW33" s="72">
        <v>2</v>
      </c>
      <c r="BX33" s="72">
        <v>2</v>
      </c>
      <c r="BY33" s="72">
        <v>0</v>
      </c>
      <c r="BZ33" s="72">
        <v>0</v>
      </c>
      <c r="CA33" s="72">
        <v>0</v>
      </c>
      <c r="CB33" s="72">
        <v>0</v>
      </c>
      <c r="CC33" s="72">
        <v>0</v>
      </c>
      <c r="CD33" s="72">
        <v>0</v>
      </c>
      <c r="CE33" s="72">
        <v>0</v>
      </c>
      <c r="CF33" s="72">
        <v>2</v>
      </c>
      <c r="CG33" s="72">
        <v>0</v>
      </c>
      <c r="CH33" s="72">
        <v>0</v>
      </c>
      <c r="CI33" s="72">
        <v>0</v>
      </c>
      <c r="CJ33" s="72">
        <v>0</v>
      </c>
      <c r="CK33" s="72">
        <v>0</v>
      </c>
      <c r="CL33" s="72"/>
      <c r="CM33" s="72"/>
      <c r="CN33" s="72"/>
      <c r="CO33" s="72"/>
      <c r="CP33" s="72"/>
      <c r="CQ33" s="72"/>
      <c r="CR33" s="72"/>
      <c r="CS33" s="72"/>
      <c r="CT33" s="72"/>
      <c r="CU33" s="72"/>
      <c r="CV33" s="72"/>
      <c r="CW33" s="72"/>
      <c r="CX33" s="72"/>
      <c r="CY33" s="72"/>
      <c r="CZ33" s="72"/>
      <c r="DA33" s="72"/>
      <c r="DB33" s="72"/>
      <c r="DC33" s="72"/>
      <c r="DD33" s="72"/>
      <c r="DE33" s="72"/>
      <c r="DF33" s="72"/>
      <c r="DG33" s="72"/>
      <c r="DH33" s="72"/>
      <c r="DI33" s="72"/>
      <c r="DJ33" s="72"/>
      <c r="DK33" s="72"/>
      <c r="DL33" s="72"/>
      <c r="DM33" s="72"/>
      <c r="DN33" s="72"/>
      <c r="DO33" s="72"/>
      <c r="DP33" s="72"/>
      <c r="DQ33" s="72"/>
      <c r="DR33" s="72"/>
      <c r="DS33" s="72"/>
      <c r="DT33" s="72"/>
      <c r="DU33" s="72"/>
      <c r="DV33" s="72"/>
      <c r="DW33" s="72"/>
      <c r="DX33" s="72"/>
      <c r="DY33" s="72"/>
      <c r="DZ33" s="81">
        <v>32</v>
      </c>
      <c r="EA33" s="81"/>
      <c r="EB33" s="81">
        <v>38</v>
      </c>
      <c r="EC33" s="72"/>
      <c r="ED33" s="72"/>
      <c r="EE33" s="72"/>
      <c r="EF33" s="72"/>
      <c r="EG33" s="72"/>
      <c r="EH33" s="72"/>
      <c r="EI33" s="72"/>
      <c r="EJ33" s="72"/>
      <c r="EK33" s="72"/>
      <c r="EL33" s="72"/>
      <c r="EM33" s="72"/>
      <c r="EN33" s="72"/>
      <c r="EO33" s="72"/>
      <c r="EP33" s="72"/>
      <c r="EQ33" s="72"/>
      <c r="ER33" s="72"/>
      <c r="ES33" s="72"/>
      <c r="ET33" s="72"/>
      <c r="EU33" s="72"/>
      <c r="EV33" s="72" t="s">
        <v>100</v>
      </c>
      <c r="EW33" s="72">
        <v>0</v>
      </c>
      <c r="EX33" s="72">
        <v>0</v>
      </c>
      <c r="EY33" s="72">
        <v>0</v>
      </c>
      <c r="EZ33" s="72">
        <v>0</v>
      </c>
      <c r="FA33" s="72">
        <v>0</v>
      </c>
      <c r="FB33" s="72">
        <v>2</v>
      </c>
      <c r="FC33" s="72">
        <v>0</v>
      </c>
      <c r="FD33" s="72">
        <v>0</v>
      </c>
      <c r="FE33" s="72">
        <v>0</v>
      </c>
      <c r="FF33" s="72">
        <v>0</v>
      </c>
      <c r="FG33" s="72">
        <v>0</v>
      </c>
      <c r="FH33" s="72">
        <v>0</v>
      </c>
      <c r="FI33" s="72">
        <v>0</v>
      </c>
      <c r="FJ33" s="72">
        <v>0</v>
      </c>
      <c r="FK33" s="72">
        <v>0</v>
      </c>
      <c r="FL33" s="72">
        <v>0</v>
      </c>
      <c r="FM33" s="72">
        <v>0</v>
      </c>
      <c r="FN33" s="72">
        <v>0</v>
      </c>
      <c r="FO33" s="72">
        <v>0</v>
      </c>
      <c r="FP33" s="72">
        <v>0</v>
      </c>
      <c r="FQ33" s="72">
        <v>0</v>
      </c>
      <c r="FR33" s="72">
        <v>0</v>
      </c>
      <c r="FS33" s="72">
        <v>0</v>
      </c>
      <c r="FT33" s="72">
        <v>0</v>
      </c>
      <c r="FU33" s="72">
        <v>0</v>
      </c>
      <c r="FV33" s="72">
        <v>0</v>
      </c>
      <c r="FW33" s="72">
        <v>0</v>
      </c>
      <c r="FX33" s="72">
        <v>0</v>
      </c>
      <c r="FY33" s="72">
        <v>0</v>
      </c>
      <c r="FZ33" s="72">
        <v>0</v>
      </c>
      <c r="GA33" s="72">
        <v>0</v>
      </c>
      <c r="GB33" s="72">
        <v>0</v>
      </c>
      <c r="GC33" s="72">
        <v>0</v>
      </c>
      <c r="GD33" s="72">
        <v>0</v>
      </c>
      <c r="GE33" s="72">
        <v>0</v>
      </c>
      <c r="GF33" s="72">
        <v>0</v>
      </c>
      <c r="GG33" s="72">
        <v>0</v>
      </c>
      <c r="GH33" s="72">
        <v>0</v>
      </c>
      <c r="GI33" s="72">
        <v>0</v>
      </c>
      <c r="GJ33" s="72">
        <v>0</v>
      </c>
      <c r="GK33" s="72">
        <v>0</v>
      </c>
      <c r="GL33" s="72">
        <v>0</v>
      </c>
      <c r="GM33" s="72">
        <v>0</v>
      </c>
      <c r="GN33" s="72">
        <v>0</v>
      </c>
      <c r="GO33" s="72">
        <v>0</v>
      </c>
      <c r="GP33" s="72">
        <v>0</v>
      </c>
      <c r="GQ33" s="72">
        <v>0</v>
      </c>
      <c r="GR33" s="72">
        <v>0</v>
      </c>
      <c r="GS33" s="72">
        <v>0</v>
      </c>
      <c r="GT33" s="72">
        <v>0</v>
      </c>
      <c r="GU33" s="72">
        <v>0</v>
      </c>
      <c r="GV33" s="72"/>
      <c r="GW33" s="72"/>
      <c r="GX33" s="72"/>
      <c r="GY33" s="64" t="s">
        <v>330</v>
      </c>
      <c r="HU33" s="124"/>
      <c r="HV33" s="83" t="s">
        <v>196</v>
      </c>
      <c r="IS33" s="64" t="s">
        <v>196</v>
      </c>
      <c r="KG33" s="88"/>
      <c r="KI33" s="72"/>
    </row>
    <row r="34" spans="1:295" x14ac:dyDescent="0.25">
      <c r="A34" s="8"/>
      <c r="B34" s="5" t="s">
        <v>61</v>
      </c>
      <c r="C34" s="8"/>
      <c r="D34" s="6" t="s">
        <v>474</v>
      </c>
      <c r="E34" s="9"/>
      <c r="F34" s="9"/>
      <c r="G34" s="9"/>
      <c r="H34" s="9"/>
      <c r="I34" s="9"/>
      <c r="J34" s="9"/>
      <c r="K34" s="9"/>
      <c r="L34" s="6" t="str">
        <f>IF(E30=$Z$2,"SBV250X350",IF(E30=$Z$3,"-------",IF(E30=$Z$4,"-------",IF(E30=$Z$5,"-------",0))))</f>
        <v>-------</v>
      </c>
      <c r="M34" s="11" t="str">
        <f>INDEX(cenník!$C$2:$I$568,MATCH($L34,cenník!$B$2:$B$557,0),MATCH(M$2,cenník!$C$1:$I$1,0))</f>
        <v>-------</v>
      </c>
      <c r="N34" s="11">
        <f>INDEX(cenník!$C$2:$I$568,MATCH($L34,cenník!$B$2:$B$557,0),MATCH(N$2,cenník!$C$1:$I$1,0))</f>
        <v>0</v>
      </c>
      <c r="O34" s="11">
        <f>IF(E30=$Z$2,O28*2,IF(E30=$Z$3,0,IF(E30=$Z$4,0,IF(E30=$Z$5,0))))</f>
        <v>0</v>
      </c>
      <c r="P34" s="36">
        <f>INDEX(cenník!$C$2:$I$568,MATCH($L34,cenník!$B$2:$B$557,0),MATCH(P$2,cenník!$C$1:$I$1,0))</f>
        <v>0</v>
      </c>
      <c r="Q34" s="36">
        <f t="shared" si="77"/>
        <v>0</v>
      </c>
      <c r="R34" s="37">
        <f t="shared" si="75"/>
        <v>0</v>
      </c>
      <c r="S34" s="36">
        <f t="shared" si="76"/>
        <v>0</v>
      </c>
      <c r="T34" s="36">
        <f t="shared" si="78"/>
        <v>0</v>
      </c>
      <c r="U34" s="36">
        <f>INDEX(cenník!$C$2:$I$568,MATCH($L34,cenník!$B$2:$B$557,0),MATCH(U$2,cenník!$C$1:$I$1,0))*O34</f>
        <v>0</v>
      </c>
      <c r="V34" s="72"/>
      <c r="W34" s="85">
        <f t="shared" si="74"/>
        <v>0</v>
      </c>
      <c r="X34" s="72"/>
      <c r="Z34" s="72"/>
      <c r="AA34" s="72"/>
      <c r="AB34" s="72"/>
      <c r="AC34" s="72"/>
      <c r="AD34" s="72"/>
      <c r="AE34" s="72"/>
      <c r="AF34" s="72">
        <v>35</v>
      </c>
      <c r="AG34" s="72" t="s">
        <v>426</v>
      </c>
      <c r="AH34" s="72">
        <v>0</v>
      </c>
      <c r="AI34" s="72"/>
      <c r="AJ34" s="72">
        <f t="shared" si="79"/>
        <v>0</v>
      </c>
      <c r="AK34" s="72">
        <f t="shared" si="80"/>
        <v>0</v>
      </c>
      <c r="AL34" s="72" t="s">
        <v>14</v>
      </c>
      <c r="AM34" s="72">
        <v>0</v>
      </c>
      <c r="AN34" s="72">
        <v>0</v>
      </c>
      <c r="AO34" s="72">
        <v>0</v>
      </c>
      <c r="AP34" s="72">
        <v>0</v>
      </c>
      <c r="AQ34" s="72">
        <v>2</v>
      </c>
      <c r="AR34" s="72">
        <v>4</v>
      </c>
      <c r="AS34" s="72">
        <v>2</v>
      </c>
      <c r="AT34" s="72">
        <v>4</v>
      </c>
      <c r="AU34" s="72">
        <v>6</v>
      </c>
      <c r="AV34" s="72">
        <v>4</v>
      </c>
      <c r="AW34" s="72">
        <v>6</v>
      </c>
      <c r="AX34" s="72">
        <v>8</v>
      </c>
      <c r="AY34" s="72">
        <v>6</v>
      </c>
      <c r="AZ34" s="72">
        <v>8</v>
      </c>
      <c r="BA34" s="72">
        <v>8</v>
      </c>
      <c r="BB34" s="72">
        <v>8</v>
      </c>
      <c r="BC34" s="72">
        <v>6</v>
      </c>
      <c r="BD34" s="72">
        <v>8</v>
      </c>
      <c r="BE34" s="72">
        <v>4</v>
      </c>
      <c r="BF34" s="72">
        <v>6</v>
      </c>
      <c r="BG34" s="72">
        <v>6</v>
      </c>
      <c r="BH34" s="72">
        <v>4</v>
      </c>
      <c r="BI34" s="72">
        <v>8</v>
      </c>
      <c r="BJ34" s="72">
        <v>6</v>
      </c>
      <c r="BK34" s="72">
        <v>4</v>
      </c>
      <c r="BL34" s="72">
        <v>4</v>
      </c>
      <c r="BM34" s="72">
        <v>4</v>
      </c>
      <c r="BN34" s="72">
        <v>4</v>
      </c>
      <c r="BO34" s="72">
        <v>18</v>
      </c>
      <c r="BP34" s="72">
        <v>2</v>
      </c>
      <c r="BQ34" s="72">
        <v>16</v>
      </c>
      <c r="BR34" s="72">
        <v>16</v>
      </c>
      <c r="BS34" s="72">
        <v>2</v>
      </c>
      <c r="BT34" s="72">
        <v>14</v>
      </c>
      <c r="BU34" s="72">
        <v>0</v>
      </c>
      <c r="BV34" s="72">
        <v>0</v>
      </c>
      <c r="BW34" s="72">
        <v>14</v>
      </c>
      <c r="BX34" s="72">
        <v>4</v>
      </c>
      <c r="BY34" s="72">
        <v>0</v>
      </c>
      <c r="BZ34" s="72">
        <v>28</v>
      </c>
      <c r="CA34" s="72">
        <v>12</v>
      </c>
      <c r="CB34" s="72">
        <v>0</v>
      </c>
      <c r="CC34" s="72">
        <v>0</v>
      </c>
      <c r="CD34" s="72">
        <v>12</v>
      </c>
      <c r="CE34" s="72">
        <v>0</v>
      </c>
      <c r="CF34" s="72">
        <v>10</v>
      </c>
      <c r="CG34" s="72">
        <v>10</v>
      </c>
      <c r="CH34" s="72">
        <v>0</v>
      </c>
      <c r="CI34" s="72">
        <v>24</v>
      </c>
      <c r="CJ34" s="72">
        <v>8</v>
      </c>
      <c r="CK34" s="72">
        <v>0</v>
      </c>
      <c r="CL34" s="72"/>
      <c r="CM34" s="72"/>
      <c r="CN34" s="72"/>
      <c r="CO34" s="72"/>
      <c r="CP34" s="72"/>
      <c r="CQ34" s="72"/>
      <c r="CR34" s="72"/>
      <c r="CS34" s="72"/>
      <c r="CT34" s="72"/>
      <c r="CU34" s="72"/>
      <c r="CV34" s="72"/>
      <c r="CW34" s="72"/>
      <c r="CX34" s="72"/>
      <c r="CY34" s="72"/>
      <c r="CZ34" s="72"/>
      <c r="DA34" s="72"/>
      <c r="DB34" s="72"/>
      <c r="DC34" s="72"/>
      <c r="DD34" s="72"/>
      <c r="DE34" s="72"/>
      <c r="DF34" s="72"/>
      <c r="DG34" s="72"/>
      <c r="DH34" s="72"/>
      <c r="DI34" s="72"/>
      <c r="DJ34" s="72"/>
      <c r="DK34" s="72"/>
      <c r="DL34" s="72"/>
      <c r="DM34" s="72"/>
      <c r="DN34" s="72"/>
      <c r="DO34" s="72"/>
      <c r="DP34" s="72"/>
      <c r="DQ34" s="72"/>
      <c r="DR34" s="72"/>
      <c r="DS34" s="72"/>
      <c r="DT34" s="72"/>
      <c r="DU34" s="72"/>
      <c r="DV34" s="72"/>
      <c r="DW34" s="72"/>
      <c r="DX34" s="72"/>
      <c r="DY34" s="72"/>
      <c r="DZ34" s="81">
        <v>33</v>
      </c>
      <c r="EA34" s="81"/>
      <c r="EB34" s="81">
        <v>40</v>
      </c>
      <c r="EC34" s="72"/>
      <c r="ED34" s="72"/>
      <c r="EE34" s="72"/>
      <c r="EF34" s="72"/>
      <c r="EG34" s="72"/>
      <c r="EH34" s="72"/>
      <c r="EI34" s="72"/>
      <c r="EJ34" s="72"/>
      <c r="EK34" s="72"/>
      <c r="EL34" s="72"/>
      <c r="EM34" s="72"/>
      <c r="EN34" s="72"/>
      <c r="EO34" s="72"/>
      <c r="EP34" s="72"/>
      <c r="EQ34" s="72"/>
      <c r="ER34" s="72"/>
      <c r="ES34" s="72"/>
      <c r="ET34" s="72"/>
      <c r="EU34" s="72"/>
      <c r="EV34" s="72" t="s">
        <v>114</v>
      </c>
      <c r="EW34" s="72">
        <v>0</v>
      </c>
      <c r="EX34" s="72">
        <v>0</v>
      </c>
      <c r="EY34" s="72">
        <v>0</v>
      </c>
      <c r="EZ34" s="72">
        <v>0</v>
      </c>
      <c r="FA34" s="72">
        <v>0</v>
      </c>
      <c r="FB34" s="72">
        <v>0</v>
      </c>
      <c r="FC34" s="72">
        <v>0</v>
      </c>
      <c r="FD34" s="72">
        <v>0</v>
      </c>
      <c r="FE34" s="72">
        <v>0</v>
      </c>
      <c r="FF34" s="72">
        <v>0</v>
      </c>
      <c r="FG34" s="72">
        <v>0</v>
      </c>
      <c r="FH34" s="72">
        <v>0</v>
      </c>
      <c r="FI34" s="72">
        <v>0</v>
      </c>
      <c r="FJ34" s="72">
        <v>0</v>
      </c>
      <c r="FK34" s="72">
        <v>0</v>
      </c>
      <c r="FL34" s="72">
        <v>0</v>
      </c>
      <c r="FM34" s="72">
        <v>0</v>
      </c>
      <c r="FN34" s="72">
        <v>2</v>
      </c>
      <c r="FO34" s="72">
        <v>0</v>
      </c>
      <c r="FP34" s="72">
        <v>0</v>
      </c>
      <c r="FQ34" s="72">
        <v>0</v>
      </c>
      <c r="FR34" s="72">
        <v>0</v>
      </c>
      <c r="FS34" s="72">
        <v>0</v>
      </c>
      <c r="FT34" s="72">
        <v>0</v>
      </c>
      <c r="FU34" s="72">
        <v>0</v>
      </c>
      <c r="FV34" s="72">
        <v>0</v>
      </c>
      <c r="FW34" s="72">
        <v>0</v>
      </c>
      <c r="FX34" s="72">
        <v>2</v>
      </c>
      <c r="FY34" s="72">
        <v>0</v>
      </c>
      <c r="FZ34" s="72">
        <v>0</v>
      </c>
      <c r="GA34" s="72">
        <v>0</v>
      </c>
      <c r="GB34" s="72">
        <v>0</v>
      </c>
      <c r="GC34" s="72">
        <v>0</v>
      </c>
      <c r="GD34" s="72">
        <v>0</v>
      </c>
      <c r="GE34" s="72">
        <v>0</v>
      </c>
      <c r="GF34" s="72">
        <v>0</v>
      </c>
      <c r="GG34" s="72">
        <v>0</v>
      </c>
      <c r="GH34" s="72">
        <v>2</v>
      </c>
      <c r="GI34" s="72">
        <v>0</v>
      </c>
      <c r="GJ34" s="72">
        <v>0</v>
      </c>
      <c r="GK34" s="72">
        <v>0</v>
      </c>
      <c r="GL34" s="72">
        <v>0</v>
      </c>
      <c r="GM34" s="72">
        <v>0</v>
      </c>
      <c r="GN34" s="72">
        <v>0</v>
      </c>
      <c r="GO34" s="72">
        <v>0</v>
      </c>
      <c r="GP34" s="72">
        <v>0</v>
      </c>
      <c r="GQ34" s="72">
        <v>0</v>
      </c>
      <c r="GR34" s="72">
        <v>2</v>
      </c>
      <c r="GS34" s="72">
        <v>0</v>
      </c>
      <c r="GT34" s="72">
        <v>0</v>
      </c>
      <c r="GU34" s="72">
        <v>0</v>
      </c>
      <c r="GV34" s="72"/>
      <c r="GW34" s="72"/>
      <c r="GX34" s="72"/>
      <c r="GZ34" s="64">
        <v>0</v>
      </c>
      <c r="HA34" s="64">
        <v>1</v>
      </c>
      <c r="HB34" s="64">
        <v>2</v>
      </c>
      <c r="HC34" s="64">
        <v>3</v>
      </c>
      <c r="HD34" s="64">
        <v>4</v>
      </c>
      <c r="HE34" s="64">
        <v>5</v>
      </c>
      <c r="HF34" s="64">
        <v>6</v>
      </c>
      <c r="HG34" s="64">
        <v>7</v>
      </c>
      <c r="HH34" s="64">
        <v>8</v>
      </c>
      <c r="HI34" s="64">
        <v>9</v>
      </c>
      <c r="HJ34" s="64">
        <v>10</v>
      </c>
      <c r="HK34" s="64">
        <v>11</v>
      </c>
      <c r="HL34" s="64">
        <v>12</v>
      </c>
      <c r="HM34" s="64">
        <v>13</v>
      </c>
      <c r="HN34" s="64">
        <v>14</v>
      </c>
      <c r="HO34" s="64">
        <v>15</v>
      </c>
      <c r="HP34" s="64">
        <v>16</v>
      </c>
      <c r="HQ34" s="64">
        <v>17</v>
      </c>
      <c r="HR34" s="64">
        <v>18</v>
      </c>
      <c r="HS34" s="64">
        <v>19</v>
      </c>
      <c r="HT34" s="64">
        <v>20</v>
      </c>
      <c r="HW34" s="64">
        <v>0</v>
      </c>
      <c r="HX34" s="64">
        <v>1</v>
      </c>
      <c r="HY34" s="64">
        <v>2</v>
      </c>
      <c r="HZ34" s="64">
        <v>3</v>
      </c>
      <c r="IA34" s="64">
        <v>4</v>
      </c>
      <c r="IB34" s="64">
        <v>5</v>
      </c>
      <c r="IC34" s="64">
        <v>6</v>
      </c>
      <c r="ID34" s="64">
        <v>7</v>
      </c>
      <c r="IE34" s="64">
        <v>8</v>
      </c>
      <c r="IF34" s="64">
        <v>9</v>
      </c>
      <c r="IG34" s="64">
        <v>10</v>
      </c>
      <c r="IH34" s="64">
        <v>11</v>
      </c>
      <c r="II34" s="64">
        <v>12</v>
      </c>
      <c r="IJ34" s="64">
        <v>13</v>
      </c>
      <c r="IK34" s="64">
        <v>14</v>
      </c>
      <c r="IL34" s="64">
        <v>15</v>
      </c>
      <c r="IM34" s="64">
        <v>16</v>
      </c>
      <c r="IN34" s="64">
        <v>17</v>
      </c>
      <c r="IO34" s="64">
        <v>18</v>
      </c>
      <c r="IP34" s="64">
        <v>19</v>
      </c>
      <c r="IQ34" s="64">
        <v>20</v>
      </c>
      <c r="IT34" s="64">
        <f t="shared" si="42"/>
        <v>0</v>
      </c>
      <c r="IU34" s="64">
        <f t="shared" si="43"/>
        <v>2</v>
      </c>
      <c r="IV34" s="64">
        <f t="shared" si="44"/>
        <v>4</v>
      </c>
      <c r="IW34" s="64">
        <f t="shared" si="45"/>
        <v>6</v>
      </c>
      <c r="IX34" s="64">
        <f t="shared" si="46"/>
        <v>8</v>
      </c>
      <c r="IY34" s="64">
        <f t="shared" si="47"/>
        <v>10</v>
      </c>
      <c r="IZ34" s="64">
        <f t="shared" si="48"/>
        <v>12</v>
      </c>
      <c r="JA34" s="64">
        <f t="shared" si="49"/>
        <v>14</v>
      </c>
      <c r="JB34" s="64">
        <f t="shared" si="50"/>
        <v>16</v>
      </c>
      <c r="JC34" s="64">
        <f t="shared" si="51"/>
        <v>18</v>
      </c>
      <c r="JD34" s="64">
        <f t="shared" si="52"/>
        <v>20</v>
      </c>
      <c r="JE34" s="64">
        <f t="shared" si="53"/>
        <v>22</v>
      </c>
      <c r="JF34" s="64">
        <f t="shared" si="54"/>
        <v>24</v>
      </c>
      <c r="JG34" s="64">
        <f t="shared" si="55"/>
        <v>26</v>
      </c>
      <c r="JH34" s="64">
        <f t="shared" si="56"/>
        <v>28</v>
      </c>
      <c r="JI34" s="64">
        <f t="shared" si="57"/>
        <v>30</v>
      </c>
      <c r="JJ34" s="64">
        <f t="shared" si="58"/>
        <v>32</v>
      </c>
      <c r="JK34" s="64">
        <f t="shared" si="59"/>
        <v>34</v>
      </c>
      <c r="JL34" s="64">
        <f t="shared" si="60"/>
        <v>36</v>
      </c>
      <c r="JM34" s="64">
        <f t="shared" si="61"/>
        <v>38</v>
      </c>
      <c r="JN34" s="64">
        <f t="shared" si="62"/>
        <v>40</v>
      </c>
    </row>
    <row r="35" spans="1:295" x14ac:dyDescent="0.25">
      <c r="A35" s="8"/>
      <c r="B35" s="5" t="s">
        <v>61</v>
      </c>
      <c r="C35" s="8"/>
      <c r="D35" s="44" t="s">
        <v>573</v>
      </c>
      <c r="E35" s="9"/>
      <c r="F35" s="9"/>
      <c r="G35" s="9"/>
      <c r="H35" s="9"/>
      <c r="I35" s="9"/>
      <c r="J35" s="9"/>
      <c r="K35" s="9"/>
      <c r="L35" s="6" t="str">
        <f>IF(E30=$Z$2,"PBK40MC",IF(E30=$Z$3,"-------",IF(E30=$Z$4,"SPM1",IF(E30=$Z$5,"SMA40/033",0))))</f>
        <v>-------</v>
      </c>
      <c r="M35" s="11" t="str">
        <f>INDEX(cenník!$C$2:$I$568,MATCH($L35,cenník!$B$2:$B$557,0),MATCH(M$2,cenník!$C$1:$I$1,0))</f>
        <v>-------</v>
      </c>
      <c r="N35" s="11">
        <f>INDEX(cenník!$C$2:$I$568,MATCH($L35,cenník!$B$2:$B$557,0),MATCH(N$2,cenník!$C$1:$I$1,0))</f>
        <v>0</v>
      </c>
      <c r="O35" s="11">
        <f>IF(E30=$Z$2,O28*2,IF(E30=$Z$3,0,IF(E30=$Z$4,O28*2,IF(E30=$Z$5,O28*4,0))))</f>
        <v>0</v>
      </c>
      <c r="P35" s="36">
        <f>INDEX(cenník!$C$2:$I$568,MATCH($L35,cenník!$B$2:$B$557,0),MATCH(P$2,cenník!$C$1:$I$1,0))</f>
        <v>0</v>
      </c>
      <c r="Q35" s="36">
        <f t="shared" si="77"/>
        <v>0</v>
      </c>
      <c r="R35" s="37">
        <f t="shared" si="75"/>
        <v>0</v>
      </c>
      <c r="S35" s="36">
        <f t="shared" si="76"/>
        <v>0</v>
      </c>
      <c r="T35" s="36">
        <f t="shared" si="78"/>
        <v>0</v>
      </c>
      <c r="U35" s="36">
        <f>INDEX(cenník!$C$2:$I$568,MATCH($L35,cenník!$B$2:$B$557,0),MATCH(U$2,cenník!$C$1:$I$1,0))*O35</f>
        <v>0</v>
      </c>
      <c r="V35" s="72"/>
      <c r="W35" s="85">
        <f t="shared" si="74"/>
        <v>0</v>
      </c>
      <c r="X35" s="72"/>
      <c r="Y35" s="72"/>
      <c r="Z35" s="72"/>
      <c r="AA35" s="72"/>
      <c r="AB35" s="72"/>
      <c r="AC35" s="72"/>
      <c r="AD35" s="72"/>
      <c r="AE35" s="72"/>
      <c r="AF35" s="72">
        <v>38</v>
      </c>
      <c r="AG35" s="72" t="s">
        <v>426</v>
      </c>
      <c r="AH35" s="72">
        <v>0</v>
      </c>
      <c r="AI35" s="72"/>
      <c r="AJ35" s="72">
        <f t="shared" si="79"/>
        <v>0</v>
      </c>
      <c r="AK35" s="72">
        <f t="shared" si="80"/>
        <v>0</v>
      </c>
      <c r="AL35" s="72" t="s">
        <v>18</v>
      </c>
      <c r="AM35" s="72">
        <v>0</v>
      </c>
      <c r="AN35" s="72">
        <v>0</v>
      </c>
      <c r="AO35" s="72">
        <v>0</v>
      </c>
      <c r="AP35" s="72">
        <v>0</v>
      </c>
      <c r="AQ35" s="72">
        <v>0</v>
      </c>
      <c r="AR35" s="72">
        <v>0</v>
      </c>
      <c r="AS35" s="72">
        <v>0</v>
      </c>
      <c r="AT35" s="72">
        <v>0</v>
      </c>
      <c r="AU35" s="72">
        <v>0</v>
      </c>
      <c r="AV35" s="72">
        <v>0</v>
      </c>
      <c r="AW35" s="72">
        <v>0</v>
      </c>
      <c r="AX35" s="72">
        <v>0</v>
      </c>
      <c r="AY35" s="72">
        <v>0</v>
      </c>
      <c r="AZ35" s="72">
        <v>0</v>
      </c>
      <c r="BA35" s="72">
        <v>2</v>
      </c>
      <c r="BB35" s="72">
        <v>0</v>
      </c>
      <c r="BC35" s="72">
        <v>4</v>
      </c>
      <c r="BD35" s="72">
        <v>4</v>
      </c>
      <c r="BE35" s="72">
        <v>6</v>
      </c>
      <c r="BF35" s="72">
        <v>6</v>
      </c>
      <c r="BG35" s="72">
        <v>8</v>
      </c>
      <c r="BH35" s="72">
        <v>8</v>
      </c>
      <c r="BI35" s="72">
        <v>6</v>
      </c>
      <c r="BJ35" s="72">
        <v>10</v>
      </c>
      <c r="BK35" s="72">
        <v>10</v>
      </c>
      <c r="BL35" s="72">
        <v>12</v>
      </c>
      <c r="BM35" s="72">
        <v>14</v>
      </c>
      <c r="BN35" s="72">
        <v>12</v>
      </c>
      <c r="BO35" s="72">
        <v>2</v>
      </c>
      <c r="BP35" s="72">
        <v>18</v>
      </c>
      <c r="BQ35" s="72">
        <v>4</v>
      </c>
      <c r="BR35" s="72">
        <v>6</v>
      </c>
      <c r="BS35" s="72">
        <v>20</v>
      </c>
      <c r="BT35" s="72">
        <v>8</v>
      </c>
      <c r="BU35" s="72">
        <v>22</v>
      </c>
      <c r="BV35" s="72">
        <v>24</v>
      </c>
      <c r="BW35" s="72">
        <v>10</v>
      </c>
      <c r="BX35" s="72">
        <v>20</v>
      </c>
      <c r="BY35" s="72">
        <v>26</v>
      </c>
      <c r="BZ35" s="72">
        <v>0</v>
      </c>
      <c r="CA35" s="72">
        <v>16</v>
      </c>
      <c r="CB35" s="72">
        <v>28</v>
      </c>
      <c r="CC35" s="72">
        <v>26</v>
      </c>
      <c r="CD35" s="72">
        <v>18</v>
      </c>
      <c r="CE35" s="72">
        <v>30</v>
      </c>
      <c r="CF35" s="72">
        <v>20</v>
      </c>
      <c r="CG35" s="72">
        <v>22</v>
      </c>
      <c r="CH35" s="72">
        <v>32</v>
      </c>
      <c r="CI35" s="72">
        <v>10</v>
      </c>
      <c r="CJ35" s="72">
        <v>26</v>
      </c>
      <c r="CK35" s="72">
        <v>34</v>
      </c>
      <c r="CL35" s="72"/>
      <c r="CM35" s="72"/>
      <c r="CN35" s="72"/>
      <c r="CO35" s="72"/>
      <c r="CP35" s="72"/>
      <c r="CQ35" s="72"/>
      <c r="CR35" s="72"/>
      <c r="CS35" s="72"/>
      <c r="CT35" s="72"/>
      <c r="CU35" s="72"/>
      <c r="CV35" s="72"/>
      <c r="CW35" s="72"/>
      <c r="CX35" s="72"/>
      <c r="CY35" s="72"/>
      <c r="CZ35" s="72"/>
      <c r="DA35" s="72"/>
      <c r="DB35" s="72"/>
      <c r="DC35" s="72"/>
      <c r="DD35" s="72"/>
      <c r="DE35" s="72"/>
      <c r="DF35" s="72"/>
      <c r="DG35" s="72"/>
      <c r="DH35" s="72"/>
      <c r="DI35" s="72"/>
      <c r="DJ35" s="72"/>
      <c r="DK35" s="72"/>
      <c r="DL35" s="72"/>
      <c r="DM35" s="72"/>
      <c r="DN35" s="72"/>
      <c r="DO35" s="72"/>
      <c r="DP35" s="72"/>
      <c r="DQ35" s="72"/>
      <c r="DR35" s="72"/>
      <c r="DS35" s="72"/>
      <c r="DT35" s="72"/>
      <c r="DU35" s="72"/>
      <c r="DV35" s="72"/>
      <c r="DW35" s="72"/>
      <c r="DX35" s="72"/>
      <c r="DY35" s="72"/>
      <c r="DZ35" s="81">
        <v>34</v>
      </c>
      <c r="EA35" s="81"/>
      <c r="EB35" s="81">
        <v>42</v>
      </c>
      <c r="EC35" s="72"/>
      <c r="ED35" s="72"/>
      <c r="EE35" s="72"/>
      <c r="EF35" s="72"/>
      <c r="EG35" s="72"/>
      <c r="EH35" s="72"/>
      <c r="EI35" s="72"/>
      <c r="EJ35" s="72"/>
      <c r="EK35" s="72"/>
      <c r="EL35" s="72"/>
      <c r="EM35" s="72"/>
      <c r="EN35" s="72"/>
      <c r="EO35" s="72"/>
      <c r="EP35" s="72"/>
      <c r="EQ35" s="72"/>
      <c r="ER35" s="72"/>
      <c r="ES35" s="72"/>
      <c r="ET35" s="72"/>
      <c r="EU35" s="72"/>
      <c r="EV35" s="72" t="s">
        <v>9</v>
      </c>
      <c r="EW35" s="72">
        <v>0</v>
      </c>
      <c r="EX35" s="72">
        <v>0</v>
      </c>
      <c r="EY35" s="72">
        <v>0</v>
      </c>
      <c r="EZ35" s="72">
        <v>0</v>
      </c>
      <c r="FA35" s="72">
        <v>0</v>
      </c>
      <c r="FB35" s="72">
        <v>0</v>
      </c>
      <c r="FC35" s="72">
        <v>0</v>
      </c>
      <c r="FD35" s="72">
        <v>2</v>
      </c>
      <c r="FE35" s="72">
        <v>0</v>
      </c>
      <c r="FF35" s="72">
        <v>2</v>
      </c>
      <c r="FG35" s="72">
        <v>2</v>
      </c>
      <c r="FH35" s="72">
        <v>6</v>
      </c>
      <c r="FI35" s="72">
        <v>2</v>
      </c>
      <c r="FJ35" s="72">
        <v>0</v>
      </c>
      <c r="FK35" s="72">
        <v>0</v>
      </c>
      <c r="FL35" s="72">
        <v>2</v>
      </c>
      <c r="FM35" s="72">
        <v>0</v>
      </c>
      <c r="FN35" s="72">
        <v>4</v>
      </c>
      <c r="FO35" s="72">
        <v>4</v>
      </c>
      <c r="FP35" s="72">
        <v>2</v>
      </c>
      <c r="FQ35" s="72">
        <v>8</v>
      </c>
      <c r="FR35" s="72">
        <v>6</v>
      </c>
      <c r="FS35" s="72">
        <v>0</v>
      </c>
      <c r="FT35" s="72">
        <v>0</v>
      </c>
      <c r="FU35" s="72">
        <v>4</v>
      </c>
      <c r="FV35" s="72">
        <v>2</v>
      </c>
      <c r="FW35" s="72">
        <v>0</v>
      </c>
      <c r="FX35" s="72">
        <v>2</v>
      </c>
      <c r="FY35" s="72">
        <v>4</v>
      </c>
      <c r="FZ35" s="72">
        <v>0</v>
      </c>
      <c r="GA35" s="72">
        <v>8</v>
      </c>
      <c r="GB35" s="72">
        <v>2</v>
      </c>
      <c r="GC35" s="72">
        <v>2</v>
      </c>
      <c r="GD35" s="72">
        <v>8</v>
      </c>
      <c r="GE35" s="72">
        <v>4</v>
      </c>
      <c r="GF35" s="72">
        <v>2</v>
      </c>
      <c r="GG35" s="72">
        <v>0</v>
      </c>
      <c r="GH35" s="72">
        <v>4</v>
      </c>
      <c r="GI35" s="72">
        <v>4</v>
      </c>
      <c r="GJ35" s="72">
        <v>0</v>
      </c>
      <c r="GK35" s="72">
        <v>8</v>
      </c>
      <c r="GL35" s="72">
        <v>2</v>
      </c>
      <c r="GM35" s="72">
        <v>0</v>
      </c>
      <c r="GN35" s="72">
        <v>6</v>
      </c>
      <c r="GO35" s="72">
        <v>4</v>
      </c>
      <c r="GP35" s="72">
        <v>2</v>
      </c>
      <c r="GQ35" s="72">
        <v>0</v>
      </c>
      <c r="GR35" s="72">
        <v>2</v>
      </c>
      <c r="GS35" s="72">
        <v>0</v>
      </c>
      <c r="GT35" s="72">
        <v>0</v>
      </c>
      <c r="GU35" s="72">
        <v>4</v>
      </c>
      <c r="GV35" s="72"/>
      <c r="GW35" s="72"/>
      <c r="GX35" s="72"/>
      <c r="GY35" s="64" t="s">
        <v>326</v>
      </c>
      <c r="GZ35" s="64">
        <v>0</v>
      </c>
      <c r="HA35" s="64">
        <v>2</v>
      </c>
      <c r="HB35" s="64">
        <v>0</v>
      </c>
      <c r="HC35" s="64">
        <v>4</v>
      </c>
      <c r="HD35" s="64">
        <v>2</v>
      </c>
      <c r="HE35" s="64">
        <v>0</v>
      </c>
      <c r="HF35" s="64">
        <v>4</v>
      </c>
      <c r="HG35" s="64">
        <v>0</v>
      </c>
      <c r="HH35" s="64">
        <v>4</v>
      </c>
      <c r="HI35" s="64">
        <v>2</v>
      </c>
      <c r="HJ35" s="64">
        <v>0</v>
      </c>
      <c r="HK35" s="64">
        <v>4</v>
      </c>
      <c r="HL35" s="64">
        <v>2</v>
      </c>
      <c r="HM35" s="64">
        <v>4</v>
      </c>
      <c r="HN35" s="64">
        <v>2</v>
      </c>
      <c r="HO35" s="64">
        <v>0</v>
      </c>
      <c r="HP35" s="64">
        <v>4</v>
      </c>
      <c r="HQ35" s="64">
        <v>2</v>
      </c>
      <c r="HR35" s="64">
        <v>0</v>
      </c>
      <c r="HS35" s="64">
        <v>4</v>
      </c>
      <c r="HT35" s="64">
        <v>0</v>
      </c>
      <c r="HV35" s="64" t="s">
        <v>380</v>
      </c>
      <c r="HW35" s="64">
        <v>0</v>
      </c>
      <c r="HX35" s="64">
        <v>2</v>
      </c>
      <c r="HY35" s="64">
        <v>4</v>
      </c>
      <c r="HZ35" s="64">
        <v>2</v>
      </c>
      <c r="IA35" s="64">
        <v>4</v>
      </c>
      <c r="IB35" s="64">
        <v>0</v>
      </c>
      <c r="IC35" s="64">
        <v>4</v>
      </c>
      <c r="ID35" s="64">
        <v>0</v>
      </c>
      <c r="IE35" s="64">
        <v>2</v>
      </c>
      <c r="IF35" s="64">
        <v>4</v>
      </c>
      <c r="IG35" s="64">
        <v>2</v>
      </c>
      <c r="IH35" s="64">
        <v>4</v>
      </c>
      <c r="II35" s="64">
        <v>0</v>
      </c>
      <c r="IJ35" s="64">
        <v>2</v>
      </c>
      <c r="IK35" s="64">
        <v>0</v>
      </c>
      <c r="IL35" s="64">
        <v>2</v>
      </c>
      <c r="IM35" s="64">
        <v>4</v>
      </c>
      <c r="IN35" s="64">
        <v>0</v>
      </c>
      <c r="IO35" s="64">
        <v>4</v>
      </c>
      <c r="IP35" s="64">
        <v>0</v>
      </c>
      <c r="IQ35" s="64">
        <v>2</v>
      </c>
      <c r="IS35" s="64" t="s">
        <v>380</v>
      </c>
      <c r="IT35" s="64">
        <f t="shared" si="42"/>
        <v>0</v>
      </c>
      <c r="IU35" s="64">
        <f t="shared" si="43"/>
        <v>4</v>
      </c>
      <c r="IV35" s="64">
        <f t="shared" si="44"/>
        <v>8</v>
      </c>
      <c r="IW35" s="64">
        <f t="shared" si="45"/>
        <v>4</v>
      </c>
      <c r="IX35" s="64">
        <f t="shared" si="46"/>
        <v>8</v>
      </c>
      <c r="IY35" s="64">
        <f t="shared" si="47"/>
        <v>0</v>
      </c>
      <c r="IZ35" s="64">
        <f t="shared" si="48"/>
        <v>8</v>
      </c>
      <c r="JA35" s="64">
        <f t="shared" si="49"/>
        <v>0</v>
      </c>
      <c r="JB35" s="64">
        <f t="shared" si="50"/>
        <v>4</v>
      </c>
      <c r="JC35" s="64">
        <f t="shared" si="51"/>
        <v>8</v>
      </c>
      <c r="JD35" s="64">
        <f t="shared" si="52"/>
        <v>4</v>
      </c>
      <c r="JE35" s="64">
        <f t="shared" si="53"/>
        <v>8</v>
      </c>
      <c r="JF35" s="64">
        <f t="shared" si="54"/>
        <v>0</v>
      </c>
      <c r="JG35" s="64">
        <f t="shared" si="55"/>
        <v>4</v>
      </c>
      <c r="JH35" s="64">
        <f t="shared" si="56"/>
        <v>0</v>
      </c>
      <c r="JI35" s="64">
        <f t="shared" si="57"/>
        <v>4</v>
      </c>
      <c r="JJ35" s="64">
        <f t="shared" si="58"/>
        <v>8</v>
      </c>
      <c r="JK35" s="64">
        <f t="shared" si="59"/>
        <v>0</v>
      </c>
      <c r="JL35" s="64">
        <f t="shared" si="60"/>
        <v>8</v>
      </c>
      <c r="JM35" s="64">
        <f t="shared" si="61"/>
        <v>0</v>
      </c>
      <c r="JN35" s="64">
        <f t="shared" si="62"/>
        <v>4</v>
      </c>
    </row>
    <row r="36" spans="1:295" x14ac:dyDescent="0.25">
      <c r="A36" s="8"/>
      <c r="B36" s="5" t="s">
        <v>61</v>
      </c>
      <c r="C36" s="8"/>
      <c r="D36" s="44" t="s">
        <v>520</v>
      </c>
      <c r="E36" s="9"/>
      <c r="F36" s="9"/>
      <c r="G36" s="9"/>
      <c r="H36" s="9"/>
      <c r="I36" s="9"/>
      <c r="J36" s="9"/>
      <c r="K36" s="9"/>
      <c r="L36" s="6" t="str">
        <f>IF(E30=$Z$2,"SGKFM10X20PV",IF(E30=$Z$3,"-------",IF(E30=$Z$4,"-------",IF(E30=$Z$5,"SMDP6,0X25E",0))))</f>
        <v>-------</v>
      </c>
      <c r="M36" s="11" t="str">
        <f>INDEX(cenník!$C$2:$I$568,MATCH($L36,cenník!$B$2:$B$557,0),MATCH(M$2,cenník!$C$1:$I$1,0))</f>
        <v>-------</v>
      </c>
      <c r="N36" s="11">
        <f>INDEX(cenník!$C$2:$I$568,MATCH($L36,cenník!$B$2:$B$557,0),MATCH(N$2,cenník!$C$1:$I$1,0))</f>
        <v>0</v>
      </c>
      <c r="O36" s="11">
        <f>IF(E30=$Z$2,ROUNDUP((O28*0)/100,0),IF(E30=$Z$3,0,IF(E30=$Z$4,0,IF(E30=$Z$5,O35*4,0))))</f>
        <v>0</v>
      </c>
      <c r="P36" s="36">
        <f>INDEX(cenník!$C$2:$I$568,MATCH($L36,cenník!$B$2:$B$557,0),MATCH(P$2,cenník!$C$1:$I$1,0))</f>
        <v>0</v>
      </c>
      <c r="Q36" s="36">
        <f t="shared" si="77"/>
        <v>0</v>
      </c>
      <c r="R36" s="37">
        <f>$E$32</f>
        <v>0</v>
      </c>
      <c r="S36" s="36">
        <f t="shared" si="76"/>
        <v>0</v>
      </c>
      <c r="T36" s="36">
        <f t="shared" si="78"/>
        <v>0</v>
      </c>
      <c r="U36" s="36">
        <f>INDEX(cenník!$C$2:$I$568,MATCH($L36,cenník!$B$2:$B$557,0),MATCH(U$2,cenník!$C$1:$I$1,0))*O36</f>
        <v>0</v>
      </c>
      <c r="V36" s="72"/>
      <c r="W36" s="85">
        <f t="shared" si="74"/>
        <v>0</v>
      </c>
      <c r="X36" s="72"/>
      <c r="Y36" s="72"/>
      <c r="Z36" s="72"/>
      <c r="AA36" s="72"/>
      <c r="AB36" s="72"/>
      <c r="AC36" s="72"/>
      <c r="AD36" s="72"/>
      <c r="AE36" s="72"/>
      <c r="AF36" s="72">
        <v>40</v>
      </c>
      <c r="AG36" s="72" t="s">
        <v>426</v>
      </c>
      <c r="AH36" s="72">
        <v>0</v>
      </c>
      <c r="AI36" s="72"/>
      <c r="AJ36" s="72">
        <f t="shared" si="79"/>
        <v>0</v>
      </c>
      <c r="AK36" s="72">
        <f t="shared" si="80"/>
        <v>0</v>
      </c>
      <c r="AL36" s="72" t="s">
        <v>179</v>
      </c>
      <c r="AM36" s="72">
        <v>0</v>
      </c>
      <c r="AN36" s="72">
        <f>((((SUM(AN31:AN35))/2)-1))*4</f>
        <v>0</v>
      </c>
      <c r="AO36" s="72">
        <f t="shared" ref="AO36:BS36" si="81">((((SUM(AO31:AO35))/2)-1))*4</f>
        <v>4</v>
      </c>
      <c r="AP36" s="72">
        <f t="shared" si="81"/>
        <v>8</v>
      </c>
      <c r="AQ36" s="72">
        <f t="shared" si="81"/>
        <v>4</v>
      </c>
      <c r="AR36" s="72">
        <f t="shared" si="81"/>
        <v>4</v>
      </c>
      <c r="AS36" s="72">
        <f t="shared" si="81"/>
        <v>8</v>
      </c>
      <c r="AT36" s="72">
        <f t="shared" si="81"/>
        <v>8</v>
      </c>
      <c r="AU36" s="72">
        <f t="shared" si="81"/>
        <v>8</v>
      </c>
      <c r="AV36" s="72">
        <f t="shared" si="81"/>
        <v>12</v>
      </c>
      <c r="AW36" s="72">
        <f t="shared" si="81"/>
        <v>12</v>
      </c>
      <c r="AX36" s="72">
        <f t="shared" si="81"/>
        <v>12</v>
      </c>
      <c r="AY36" s="72">
        <f t="shared" si="81"/>
        <v>16</v>
      </c>
      <c r="AZ36" s="72">
        <f t="shared" si="81"/>
        <v>16</v>
      </c>
      <c r="BA36" s="72">
        <f t="shared" si="81"/>
        <v>16</v>
      </c>
      <c r="BB36" s="72">
        <f t="shared" si="81"/>
        <v>20</v>
      </c>
      <c r="BC36" s="72">
        <f t="shared" si="81"/>
        <v>20</v>
      </c>
      <c r="BD36" s="72">
        <f t="shared" si="81"/>
        <v>20</v>
      </c>
      <c r="BE36" s="72">
        <f t="shared" si="81"/>
        <v>24</v>
      </c>
      <c r="BF36" s="72">
        <f t="shared" si="81"/>
        <v>24</v>
      </c>
      <c r="BG36" s="72">
        <f t="shared" si="81"/>
        <v>24</v>
      </c>
      <c r="BH36" s="72">
        <f t="shared" si="81"/>
        <v>28</v>
      </c>
      <c r="BI36" s="72">
        <f t="shared" si="81"/>
        <v>28</v>
      </c>
      <c r="BJ36" s="72">
        <f t="shared" si="81"/>
        <v>28</v>
      </c>
      <c r="BK36" s="72">
        <f t="shared" si="81"/>
        <v>32</v>
      </c>
      <c r="BL36" s="72">
        <f t="shared" si="81"/>
        <v>32</v>
      </c>
      <c r="BM36" s="72">
        <f t="shared" si="81"/>
        <v>32</v>
      </c>
      <c r="BN36" s="72">
        <f t="shared" si="81"/>
        <v>36</v>
      </c>
      <c r="BO36" s="72">
        <f t="shared" si="81"/>
        <v>36</v>
      </c>
      <c r="BP36" s="72">
        <f t="shared" si="81"/>
        <v>36</v>
      </c>
      <c r="BQ36" s="72">
        <f t="shared" si="81"/>
        <v>40</v>
      </c>
      <c r="BR36" s="72">
        <f t="shared" si="81"/>
        <v>40</v>
      </c>
      <c r="BS36" s="72">
        <f t="shared" si="81"/>
        <v>40</v>
      </c>
      <c r="BT36" s="72">
        <f t="shared" ref="BT36:CK36" si="82">((((SUM(BT31:BT35))/2)-1))*4</f>
        <v>44</v>
      </c>
      <c r="BU36" s="72">
        <f t="shared" si="82"/>
        <v>44</v>
      </c>
      <c r="BV36" s="72">
        <f t="shared" si="82"/>
        <v>44</v>
      </c>
      <c r="BW36" s="72">
        <f t="shared" si="82"/>
        <v>48</v>
      </c>
      <c r="BX36" s="72">
        <f t="shared" si="82"/>
        <v>48</v>
      </c>
      <c r="BY36" s="72">
        <f t="shared" si="82"/>
        <v>48</v>
      </c>
      <c r="BZ36" s="72">
        <f t="shared" si="82"/>
        <v>52</v>
      </c>
      <c r="CA36" s="72">
        <f t="shared" si="82"/>
        <v>52</v>
      </c>
      <c r="CB36" s="72">
        <f t="shared" si="82"/>
        <v>52</v>
      </c>
      <c r="CC36" s="72">
        <f t="shared" si="82"/>
        <v>56</v>
      </c>
      <c r="CD36" s="72">
        <f t="shared" si="82"/>
        <v>56</v>
      </c>
      <c r="CE36" s="72">
        <f t="shared" si="82"/>
        <v>56</v>
      </c>
      <c r="CF36" s="72">
        <f t="shared" si="82"/>
        <v>60</v>
      </c>
      <c r="CG36" s="72">
        <f t="shared" si="82"/>
        <v>60</v>
      </c>
      <c r="CH36" s="72">
        <f t="shared" si="82"/>
        <v>60</v>
      </c>
      <c r="CI36" s="72">
        <f t="shared" si="82"/>
        <v>64</v>
      </c>
      <c r="CJ36" s="72">
        <f t="shared" si="82"/>
        <v>64</v>
      </c>
      <c r="CK36" s="72">
        <f t="shared" si="82"/>
        <v>64</v>
      </c>
      <c r="CL36" s="72"/>
      <c r="CM36" s="72"/>
      <c r="CN36" s="72"/>
      <c r="CO36" s="72"/>
      <c r="CP36" s="72"/>
      <c r="CQ36" s="72"/>
      <c r="CR36" s="72"/>
      <c r="CS36" s="72"/>
      <c r="CT36" s="72"/>
      <c r="CU36" s="72"/>
      <c r="CV36" s="72"/>
      <c r="CW36" s="72"/>
      <c r="CX36" s="72"/>
      <c r="CY36" s="72"/>
      <c r="CZ36" s="72"/>
      <c r="DA36" s="72"/>
      <c r="DB36" s="72"/>
      <c r="DC36" s="72"/>
      <c r="DD36" s="72"/>
      <c r="DE36" s="72"/>
      <c r="DF36" s="72"/>
      <c r="DG36" s="72"/>
      <c r="DH36" s="72"/>
      <c r="DI36" s="72"/>
      <c r="DJ36" s="72"/>
      <c r="DK36" s="72"/>
      <c r="DL36" s="72"/>
      <c r="DM36" s="72"/>
      <c r="DN36" s="72"/>
      <c r="DO36" s="72"/>
      <c r="DP36" s="72"/>
      <c r="DQ36" s="72"/>
      <c r="DR36" s="72"/>
      <c r="DS36" s="72"/>
      <c r="DT36" s="72"/>
      <c r="DU36" s="72"/>
      <c r="DV36" s="72"/>
      <c r="DW36" s="72"/>
      <c r="DX36" s="72"/>
      <c r="DY36" s="72"/>
      <c r="DZ36" s="81">
        <v>35</v>
      </c>
      <c r="EA36" s="81"/>
      <c r="EB36" s="81">
        <v>45</v>
      </c>
      <c r="EC36" s="72"/>
      <c r="ED36" s="72"/>
      <c r="EE36" s="72"/>
      <c r="EF36" s="72"/>
      <c r="EG36" s="72"/>
      <c r="EH36" s="72"/>
      <c r="EI36" s="72"/>
      <c r="EJ36" s="72"/>
      <c r="EK36" s="72"/>
      <c r="EL36" s="72"/>
      <c r="EM36" s="72"/>
      <c r="EN36" s="72"/>
      <c r="EO36" s="72"/>
      <c r="EP36" s="72"/>
      <c r="EQ36" s="72"/>
      <c r="ER36" s="72"/>
      <c r="ES36" s="72"/>
      <c r="ET36" s="72"/>
      <c r="EU36" s="72"/>
      <c r="EV36" s="72" t="s">
        <v>101</v>
      </c>
      <c r="EW36" s="72">
        <v>0</v>
      </c>
      <c r="EX36" s="72">
        <v>0</v>
      </c>
      <c r="EY36" s="72">
        <v>0</v>
      </c>
      <c r="EZ36" s="72">
        <v>2</v>
      </c>
      <c r="FA36" s="72">
        <v>0</v>
      </c>
      <c r="FB36" s="72">
        <v>0</v>
      </c>
      <c r="FC36" s="72">
        <v>4</v>
      </c>
      <c r="FD36" s="72">
        <v>0</v>
      </c>
      <c r="FE36" s="72">
        <v>0</v>
      </c>
      <c r="FF36" s="72">
        <v>2</v>
      </c>
      <c r="FG36" s="72">
        <v>0</v>
      </c>
      <c r="FH36" s="72">
        <v>2</v>
      </c>
      <c r="FI36" s="72">
        <v>6</v>
      </c>
      <c r="FJ36" s="72">
        <v>0</v>
      </c>
      <c r="FK36" s="72">
        <v>0</v>
      </c>
      <c r="FL36" s="72">
        <v>8</v>
      </c>
      <c r="FM36" s="72">
        <v>4</v>
      </c>
      <c r="FN36" s="72">
        <v>2</v>
      </c>
      <c r="FO36" s="72">
        <v>4</v>
      </c>
      <c r="FP36" s="72">
        <v>0</v>
      </c>
      <c r="FQ36" s="72">
        <v>6</v>
      </c>
      <c r="FR36" s="72">
        <v>0</v>
      </c>
      <c r="FS36" s="72">
        <v>12</v>
      </c>
      <c r="FT36" s="72">
        <v>0</v>
      </c>
      <c r="FU36" s="72">
        <v>10</v>
      </c>
      <c r="FV36" s="72">
        <v>6</v>
      </c>
      <c r="FW36" s="72">
        <v>2</v>
      </c>
      <c r="FX36" s="72">
        <v>8</v>
      </c>
      <c r="FY36" s="72">
        <v>2</v>
      </c>
      <c r="FZ36" s="72">
        <v>6</v>
      </c>
      <c r="GA36" s="72">
        <v>2</v>
      </c>
      <c r="GB36" s="72">
        <v>12</v>
      </c>
      <c r="GC36" s="72">
        <v>4</v>
      </c>
      <c r="GD36" s="72">
        <v>6</v>
      </c>
      <c r="GE36" s="72">
        <v>8</v>
      </c>
      <c r="GF36" s="72">
        <v>4</v>
      </c>
      <c r="GG36" s="72">
        <v>0</v>
      </c>
      <c r="GH36" s="72">
        <v>0</v>
      </c>
      <c r="GI36" s="72">
        <v>0</v>
      </c>
      <c r="GJ36" s="72">
        <v>4</v>
      </c>
      <c r="GK36" s="72">
        <v>0</v>
      </c>
      <c r="GL36" s="72">
        <v>10</v>
      </c>
      <c r="GM36" s="72">
        <v>6</v>
      </c>
      <c r="GN36" s="72">
        <v>10</v>
      </c>
      <c r="GO36" s="72">
        <v>6</v>
      </c>
      <c r="GP36" s="72">
        <v>2</v>
      </c>
      <c r="GQ36" s="72">
        <v>0</v>
      </c>
      <c r="GR36" s="72">
        <v>6</v>
      </c>
      <c r="GS36" s="72">
        <v>12</v>
      </c>
      <c r="GT36" s="72">
        <v>2</v>
      </c>
      <c r="GU36" s="72">
        <v>12</v>
      </c>
      <c r="GV36" s="72"/>
      <c r="GW36" s="72"/>
      <c r="GX36" s="72"/>
      <c r="GY36" s="64" t="s">
        <v>327</v>
      </c>
      <c r="GZ36" s="64">
        <v>0</v>
      </c>
      <c r="HA36" s="64">
        <v>0</v>
      </c>
      <c r="HB36" s="64">
        <v>2</v>
      </c>
      <c r="HC36" s="64">
        <v>0</v>
      </c>
      <c r="HD36" s="64">
        <v>2</v>
      </c>
      <c r="HE36" s="64">
        <v>4</v>
      </c>
      <c r="HF36" s="64">
        <v>2</v>
      </c>
      <c r="HG36" s="64">
        <v>6</v>
      </c>
      <c r="HH36" s="64">
        <v>4</v>
      </c>
      <c r="HI36" s="64">
        <v>6</v>
      </c>
      <c r="HJ36" s="64">
        <v>8</v>
      </c>
      <c r="HK36" s="64">
        <v>6</v>
      </c>
      <c r="HL36" s="64">
        <v>8</v>
      </c>
      <c r="HM36" s="64">
        <v>8</v>
      </c>
      <c r="HN36" s="64">
        <v>10</v>
      </c>
      <c r="HO36" s="64">
        <v>12</v>
      </c>
      <c r="HP36" s="64">
        <v>10</v>
      </c>
      <c r="HQ36" s="64">
        <v>12</v>
      </c>
      <c r="HR36" s="64">
        <v>14</v>
      </c>
      <c r="HS36" s="64">
        <v>12</v>
      </c>
      <c r="HT36" s="64">
        <v>16</v>
      </c>
      <c r="HV36" s="64" t="s">
        <v>379</v>
      </c>
      <c r="HW36" s="64">
        <v>0</v>
      </c>
      <c r="HX36" s="64">
        <v>0</v>
      </c>
      <c r="HY36" s="64">
        <v>0</v>
      </c>
      <c r="HZ36" s="64">
        <v>2</v>
      </c>
      <c r="IA36" s="64">
        <v>2</v>
      </c>
      <c r="IB36" s="64">
        <v>6</v>
      </c>
      <c r="IC36" s="64">
        <v>4</v>
      </c>
      <c r="ID36" s="64">
        <v>8</v>
      </c>
      <c r="IE36" s="64">
        <v>8</v>
      </c>
      <c r="IF36" s="64">
        <v>8</v>
      </c>
      <c r="IG36" s="64">
        <v>10</v>
      </c>
      <c r="IH36" s="64">
        <v>10</v>
      </c>
      <c r="II36" s="64">
        <v>14</v>
      </c>
      <c r="IJ36" s="64">
        <v>14</v>
      </c>
      <c r="IK36" s="64">
        <v>16</v>
      </c>
      <c r="IL36" s="64">
        <v>16</v>
      </c>
      <c r="IM36" s="64">
        <v>16</v>
      </c>
      <c r="IN36" s="64">
        <v>20</v>
      </c>
      <c r="IO36" s="64">
        <v>18</v>
      </c>
      <c r="IP36" s="64">
        <v>22</v>
      </c>
      <c r="IQ36" s="64">
        <v>22</v>
      </c>
      <c r="IS36" s="64" t="s">
        <v>379</v>
      </c>
      <c r="IT36" s="64">
        <f t="shared" si="42"/>
        <v>0</v>
      </c>
      <c r="IU36" s="64">
        <f t="shared" si="43"/>
        <v>0</v>
      </c>
      <c r="IV36" s="64">
        <f t="shared" si="44"/>
        <v>0</v>
      </c>
      <c r="IW36" s="64">
        <f t="shared" si="45"/>
        <v>4</v>
      </c>
      <c r="IX36" s="64">
        <f t="shared" si="46"/>
        <v>4</v>
      </c>
      <c r="IY36" s="64">
        <f t="shared" si="47"/>
        <v>12</v>
      </c>
      <c r="IZ36" s="64">
        <f t="shared" si="48"/>
        <v>8</v>
      </c>
      <c r="JA36" s="64">
        <f t="shared" si="49"/>
        <v>16</v>
      </c>
      <c r="JB36" s="64">
        <f t="shared" si="50"/>
        <v>16</v>
      </c>
      <c r="JC36" s="64">
        <f t="shared" si="51"/>
        <v>16</v>
      </c>
      <c r="JD36" s="64">
        <f t="shared" si="52"/>
        <v>20</v>
      </c>
      <c r="JE36" s="64">
        <f t="shared" si="53"/>
        <v>20</v>
      </c>
      <c r="JF36" s="64">
        <f t="shared" si="54"/>
        <v>28</v>
      </c>
      <c r="JG36" s="64">
        <f t="shared" si="55"/>
        <v>28</v>
      </c>
      <c r="JH36" s="64">
        <f t="shared" si="56"/>
        <v>32</v>
      </c>
      <c r="JI36" s="64">
        <f t="shared" si="57"/>
        <v>32</v>
      </c>
      <c r="JJ36" s="64">
        <f t="shared" si="58"/>
        <v>32</v>
      </c>
      <c r="JK36" s="64">
        <f t="shared" si="59"/>
        <v>40</v>
      </c>
      <c r="JL36" s="64">
        <f t="shared" si="60"/>
        <v>36</v>
      </c>
      <c r="JM36" s="64">
        <f t="shared" si="61"/>
        <v>44</v>
      </c>
      <c r="JN36" s="64">
        <f t="shared" si="62"/>
        <v>44</v>
      </c>
      <c r="JQ36" s="88"/>
    </row>
    <row r="37" spans="1:295" x14ac:dyDescent="0.25">
      <c r="A37" s="8"/>
      <c r="B37" s="5" t="s">
        <v>61</v>
      </c>
      <c r="C37" s="8"/>
      <c r="D37" s="44" t="s">
        <v>574</v>
      </c>
      <c r="E37" s="9"/>
      <c r="F37" s="9"/>
      <c r="G37" s="9"/>
      <c r="H37" s="9"/>
      <c r="I37" s="9"/>
      <c r="J37" s="9"/>
      <c r="K37" s="9"/>
      <c r="L37" s="6" t="s">
        <v>19</v>
      </c>
      <c r="M37" s="11">
        <f>INDEX(cenník!$C$2:$I$568,MATCH($L37,cenník!$B$2:$B$557,0),MATCH(M$2,cenník!$C$1:$I$1,0))</f>
        <v>6506513</v>
      </c>
      <c r="N37" s="11" t="str">
        <f>INDEX(cenník!$C$2:$I$568,MATCH($L37,cenník!$B$2:$B$557,0),MATCH(N$2,cenník!$C$1:$I$1,0))</f>
        <v>ks</v>
      </c>
      <c r="O37" s="11">
        <f>SUM(O29:O30)+E33</f>
        <v>0</v>
      </c>
      <c r="P37" s="36">
        <f>INDEX(cenník!$C$2:$I$568,MATCH($L37,cenník!$B$2:$B$557,0),MATCH(P$2,cenník!$C$1:$I$1,0))</f>
        <v>1.46</v>
      </c>
      <c r="Q37" s="36">
        <f t="shared" si="77"/>
        <v>0</v>
      </c>
      <c r="R37" s="37">
        <f t="shared" si="75"/>
        <v>0</v>
      </c>
      <c r="S37" s="36">
        <f t="shared" si="76"/>
        <v>1.46</v>
      </c>
      <c r="T37" s="36">
        <f t="shared" si="78"/>
        <v>0</v>
      </c>
      <c r="U37" s="36">
        <f>INDEX(cenník!$C$2:$I$568,MATCH($L37,cenník!$B$2:$B$557,0),MATCH(U$2,cenník!$C$1:$I$1,0))*O37</f>
        <v>0</v>
      </c>
      <c r="V37" s="72"/>
      <c r="W37" s="85">
        <f t="shared" si="74"/>
        <v>0</v>
      </c>
      <c r="X37" s="72"/>
      <c r="Y37" s="72"/>
      <c r="Z37" s="72"/>
      <c r="AA37" s="72"/>
      <c r="AB37" s="72"/>
      <c r="AC37" s="72"/>
      <c r="AD37" s="72"/>
      <c r="AE37" s="72"/>
      <c r="AF37" s="72">
        <v>42</v>
      </c>
      <c r="AG37" s="72" t="s">
        <v>426</v>
      </c>
      <c r="AH37" s="72">
        <v>0</v>
      </c>
      <c r="AI37" s="72"/>
      <c r="AJ37" s="72">
        <f t="shared" si="79"/>
        <v>0</v>
      </c>
      <c r="AK37" s="72">
        <f t="shared" si="80"/>
        <v>0</v>
      </c>
      <c r="AL37" s="72"/>
      <c r="AM37" s="72"/>
      <c r="AN37" s="72"/>
      <c r="AO37" s="72"/>
      <c r="AP37" s="72"/>
      <c r="AQ37" s="72"/>
      <c r="AR37" s="72"/>
      <c r="AS37" s="72"/>
      <c r="AT37" s="72"/>
      <c r="AU37" s="72"/>
      <c r="AV37" s="72"/>
      <c r="AW37" s="72"/>
      <c r="AX37" s="72"/>
      <c r="AY37" s="72"/>
      <c r="AZ37" s="72"/>
      <c r="BA37" s="72"/>
      <c r="BB37" s="72"/>
      <c r="BC37" s="72"/>
      <c r="BD37" s="72"/>
      <c r="BE37" s="72"/>
      <c r="BF37" s="72"/>
      <c r="BG37" s="72"/>
      <c r="BH37" s="72"/>
      <c r="BI37" s="72"/>
      <c r="BJ37" s="72"/>
      <c r="BK37" s="72"/>
      <c r="BL37" s="72"/>
      <c r="BM37" s="72"/>
      <c r="BN37" s="72"/>
      <c r="BO37" s="72"/>
      <c r="BP37" s="72"/>
      <c r="BQ37" s="72"/>
      <c r="BR37" s="72"/>
      <c r="BS37" s="72"/>
      <c r="BT37" s="72"/>
      <c r="BU37" s="72"/>
      <c r="BV37" s="72"/>
      <c r="BW37" s="72"/>
      <c r="BX37" s="72"/>
      <c r="BY37" s="72"/>
      <c r="BZ37" s="72"/>
      <c r="CA37" s="72"/>
      <c r="CB37" s="72"/>
      <c r="CC37" s="72"/>
      <c r="CD37" s="72"/>
      <c r="CE37" s="72"/>
      <c r="CF37" s="72"/>
      <c r="CG37" s="72"/>
      <c r="CH37" s="72"/>
      <c r="CI37" s="72"/>
      <c r="CJ37" s="72"/>
      <c r="CK37" s="72"/>
      <c r="CL37" s="72"/>
      <c r="CM37" s="72"/>
      <c r="CN37" s="72"/>
      <c r="CO37" s="72"/>
      <c r="CP37" s="72"/>
      <c r="CQ37" s="72"/>
      <c r="CR37" s="72"/>
      <c r="CS37" s="72"/>
      <c r="CT37" s="72"/>
      <c r="CU37" s="72"/>
      <c r="CV37" s="72"/>
      <c r="CW37" s="72"/>
      <c r="CX37" s="72"/>
      <c r="CY37" s="72"/>
      <c r="CZ37" s="72"/>
      <c r="DA37" s="72"/>
      <c r="DB37" s="72"/>
      <c r="DC37" s="72"/>
      <c r="DD37" s="72"/>
      <c r="DE37" s="72"/>
      <c r="DF37" s="72"/>
      <c r="DG37" s="72"/>
      <c r="DH37" s="72"/>
      <c r="DI37" s="72"/>
      <c r="DJ37" s="72"/>
      <c r="DK37" s="72"/>
      <c r="DL37" s="72"/>
      <c r="DM37" s="72"/>
      <c r="DN37" s="72"/>
      <c r="DO37" s="72"/>
      <c r="DP37" s="72"/>
      <c r="DQ37" s="72"/>
      <c r="DR37" s="72"/>
      <c r="DS37" s="72"/>
      <c r="DT37" s="72"/>
      <c r="DU37" s="72"/>
      <c r="DV37" s="72"/>
      <c r="DW37" s="72"/>
      <c r="DX37" s="72"/>
      <c r="DY37" s="72"/>
      <c r="DZ37" s="81">
        <v>36</v>
      </c>
      <c r="EA37" s="81"/>
      <c r="EB37" s="81">
        <v>50</v>
      </c>
      <c r="EC37" s="72"/>
      <c r="ED37" s="72"/>
      <c r="EE37" s="72"/>
      <c r="EF37" s="72"/>
      <c r="EG37" s="72"/>
      <c r="EH37" s="72"/>
      <c r="EI37" s="72"/>
      <c r="EJ37" s="72"/>
      <c r="EK37" s="72"/>
      <c r="EL37" s="72"/>
      <c r="EM37" s="72"/>
      <c r="EN37" s="72"/>
      <c r="EO37" s="72"/>
      <c r="EP37" s="72"/>
      <c r="EQ37" s="72"/>
      <c r="ER37" s="72"/>
      <c r="ES37" s="72"/>
      <c r="ET37" s="72"/>
      <c r="EU37" s="72"/>
      <c r="EV37" s="72" t="s">
        <v>102</v>
      </c>
      <c r="EW37" s="72">
        <v>0</v>
      </c>
      <c r="EX37" s="72">
        <v>0</v>
      </c>
      <c r="EY37" s="72">
        <v>0</v>
      </c>
      <c r="EZ37" s="72">
        <v>0</v>
      </c>
      <c r="FA37" s="72">
        <v>2</v>
      </c>
      <c r="FB37" s="72">
        <v>2</v>
      </c>
      <c r="FC37" s="72">
        <v>0</v>
      </c>
      <c r="FD37" s="72">
        <v>2</v>
      </c>
      <c r="FE37" s="72">
        <v>4</v>
      </c>
      <c r="FF37" s="72">
        <v>2</v>
      </c>
      <c r="FG37" s="72">
        <v>4</v>
      </c>
      <c r="FH37" s="72">
        <v>0</v>
      </c>
      <c r="FI37" s="72">
        <v>0</v>
      </c>
      <c r="FJ37" s="72">
        <v>8</v>
      </c>
      <c r="FK37" s="72">
        <v>8</v>
      </c>
      <c r="FL37" s="72">
        <v>0</v>
      </c>
      <c r="FM37" s="72">
        <v>6</v>
      </c>
      <c r="FN37" s="72">
        <v>4</v>
      </c>
      <c r="FO37" s="72">
        <v>4</v>
      </c>
      <c r="FP37" s="72">
        <v>10</v>
      </c>
      <c r="FQ37" s="72">
        <v>0</v>
      </c>
      <c r="FR37" s="72">
        <v>8</v>
      </c>
      <c r="FS37" s="72">
        <v>2</v>
      </c>
      <c r="FT37" s="72">
        <v>14</v>
      </c>
      <c r="FU37" s="72">
        <v>2</v>
      </c>
      <c r="FV37" s="72">
        <v>8</v>
      </c>
      <c r="FW37" s="72">
        <v>14</v>
      </c>
      <c r="FX37" s="72">
        <v>6</v>
      </c>
      <c r="FY37" s="72">
        <v>12</v>
      </c>
      <c r="FZ37" s="72">
        <v>12</v>
      </c>
      <c r="GA37" s="72">
        <v>10</v>
      </c>
      <c r="GB37" s="72">
        <v>6</v>
      </c>
      <c r="GC37" s="72">
        <v>14</v>
      </c>
      <c r="GD37" s="72">
        <v>8</v>
      </c>
      <c r="GE37" s="72">
        <v>10</v>
      </c>
      <c r="GF37" s="72">
        <v>16</v>
      </c>
      <c r="GG37" s="72">
        <v>22</v>
      </c>
      <c r="GH37" s="72">
        <v>18</v>
      </c>
      <c r="GI37" s="72">
        <v>20</v>
      </c>
      <c r="GJ37" s="72">
        <v>20</v>
      </c>
      <c r="GK37" s="72">
        <v>18</v>
      </c>
      <c r="GL37" s="72">
        <v>14</v>
      </c>
      <c r="GM37" s="72">
        <v>20</v>
      </c>
      <c r="GN37" s="72">
        <v>12</v>
      </c>
      <c r="GO37" s="72">
        <v>18</v>
      </c>
      <c r="GP37" s="72">
        <v>24</v>
      </c>
      <c r="GQ37" s="72">
        <v>28</v>
      </c>
      <c r="GR37" s="72">
        <v>20</v>
      </c>
      <c r="GS37" s="72">
        <v>18</v>
      </c>
      <c r="GT37" s="72">
        <v>28</v>
      </c>
      <c r="GU37" s="72">
        <v>16</v>
      </c>
      <c r="GV37" s="72"/>
      <c r="GW37" s="72"/>
      <c r="GX37" s="72"/>
      <c r="GY37" s="64" t="s">
        <v>328</v>
      </c>
      <c r="GZ37" s="64">
        <v>0</v>
      </c>
      <c r="HA37" s="64">
        <v>0</v>
      </c>
      <c r="HB37" s="64">
        <v>0</v>
      </c>
      <c r="HC37" s="64">
        <v>2</v>
      </c>
      <c r="HD37" s="64">
        <v>2</v>
      </c>
      <c r="HE37" s="64">
        <v>2</v>
      </c>
      <c r="HF37" s="64">
        <v>4</v>
      </c>
      <c r="HG37" s="64">
        <v>4</v>
      </c>
      <c r="HH37" s="64">
        <v>6</v>
      </c>
      <c r="HI37" s="64">
        <v>6</v>
      </c>
      <c r="HJ37" s="64">
        <v>6</v>
      </c>
      <c r="HK37" s="64">
        <v>8</v>
      </c>
      <c r="HL37" s="64">
        <v>8</v>
      </c>
      <c r="HM37" s="64">
        <v>10</v>
      </c>
      <c r="HN37" s="64">
        <v>10</v>
      </c>
      <c r="HO37" s="64">
        <v>10</v>
      </c>
      <c r="HP37" s="64">
        <v>12</v>
      </c>
      <c r="HQ37" s="64">
        <v>12</v>
      </c>
      <c r="HR37" s="64">
        <v>12</v>
      </c>
      <c r="HS37" s="64">
        <v>14</v>
      </c>
      <c r="HT37" s="64">
        <v>14</v>
      </c>
      <c r="HV37" s="64" t="s">
        <v>406</v>
      </c>
      <c r="HW37" s="64">
        <v>0</v>
      </c>
      <c r="HX37" s="64">
        <v>0</v>
      </c>
      <c r="HY37" s="64">
        <v>2</v>
      </c>
      <c r="HZ37" s="64">
        <v>2</v>
      </c>
      <c r="IA37" s="64">
        <v>4</v>
      </c>
      <c r="IB37" s="64">
        <v>4</v>
      </c>
      <c r="IC37" s="64">
        <v>6</v>
      </c>
      <c r="ID37" s="64">
        <v>6</v>
      </c>
      <c r="IE37" s="64">
        <v>8</v>
      </c>
      <c r="IF37" s="64">
        <v>10</v>
      </c>
      <c r="IG37" s="64">
        <v>10</v>
      </c>
      <c r="IH37" s="64">
        <v>12</v>
      </c>
      <c r="II37" s="64">
        <v>12</v>
      </c>
      <c r="IJ37" s="64">
        <v>14</v>
      </c>
      <c r="IK37" s="64">
        <v>14</v>
      </c>
      <c r="IL37" s="64">
        <v>16</v>
      </c>
      <c r="IM37" s="64">
        <v>18</v>
      </c>
      <c r="IN37" s="64">
        <v>18</v>
      </c>
      <c r="IO37" s="64">
        <v>20</v>
      </c>
      <c r="IP37" s="64">
        <v>20</v>
      </c>
      <c r="IQ37" s="64">
        <v>22</v>
      </c>
      <c r="IS37" s="64" t="s">
        <v>406</v>
      </c>
      <c r="IT37" s="64">
        <f t="shared" si="42"/>
        <v>0</v>
      </c>
      <c r="IU37" s="64">
        <f t="shared" si="43"/>
        <v>0</v>
      </c>
      <c r="IV37" s="64">
        <f t="shared" si="44"/>
        <v>4</v>
      </c>
      <c r="IW37" s="64">
        <f t="shared" si="45"/>
        <v>4</v>
      </c>
      <c r="IX37" s="64">
        <f t="shared" si="46"/>
        <v>8</v>
      </c>
      <c r="IY37" s="64">
        <f t="shared" si="47"/>
        <v>8</v>
      </c>
      <c r="IZ37" s="64">
        <f t="shared" si="48"/>
        <v>12</v>
      </c>
      <c r="JA37" s="64">
        <f t="shared" si="49"/>
        <v>12</v>
      </c>
      <c r="JB37" s="64">
        <f t="shared" si="50"/>
        <v>16</v>
      </c>
      <c r="JC37" s="64">
        <f t="shared" si="51"/>
        <v>20</v>
      </c>
      <c r="JD37" s="64">
        <f t="shared" si="52"/>
        <v>20</v>
      </c>
      <c r="JE37" s="64">
        <f t="shared" si="53"/>
        <v>24</v>
      </c>
      <c r="JF37" s="64">
        <f t="shared" si="54"/>
        <v>24</v>
      </c>
      <c r="JG37" s="64">
        <f t="shared" si="55"/>
        <v>28</v>
      </c>
      <c r="JH37" s="64">
        <f t="shared" si="56"/>
        <v>28</v>
      </c>
      <c r="JI37" s="64">
        <f t="shared" si="57"/>
        <v>32</v>
      </c>
      <c r="JJ37" s="64">
        <f t="shared" si="58"/>
        <v>36</v>
      </c>
      <c r="JK37" s="64">
        <f t="shared" si="59"/>
        <v>36</v>
      </c>
      <c r="JL37" s="64">
        <f t="shared" si="60"/>
        <v>40</v>
      </c>
      <c r="JM37" s="64">
        <f t="shared" si="61"/>
        <v>40</v>
      </c>
      <c r="JN37" s="64">
        <f t="shared" si="62"/>
        <v>44</v>
      </c>
      <c r="JQ37" s="88"/>
      <c r="KG37" s="88"/>
    </row>
    <row r="38" spans="1:295" x14ac:dyDescent="0.25">
      <c r="A38" s="8"/>
      <c r="B38" s="5" t="s">
        <v>61</v>
      </c>
      <c r="C38" s="8"/>
      <c r="D38" s="44" t="s">
        <v>575</v>
      </c>
      <c r="E38" s="9"/>
      <c r="F38" s="9"/>
      <c r="G38" s="9"/>
      <c r="H38" s="9"/>
      <c r="I38" s="9"/>
      <c r="J38" s="9"/>
      <c r="K38" s="9"/>
      <c r="L38" s="6" t="s">
        <v>149</v>
      </c>
      <c r="M38" s="11">
        <f>INDEX(cenník!$C$2:$I$568,MATCH($L38,cenník!$B$2:$B$557,0),MATCH(M$2,cenník!$C$1:$I$1,0))</f>
        <v>897304</v>
      </c>
      <c r="N38" s="11" t="str">
        <f>INDEX(cenník!$C$2:$I$568,MATCH($L38,cenník!$B$2:$B$557,0),MATCH(N$2,cenník!$C$1:$I$1,0))</f>
        <v>ks</v>
      </c>
      <c r="O38" s="10">
        <f>O32/2</f>
        <v>0</v>
      </c>
      <c r="P38" s="36">
        <f>INDEX(cenník!$C$2:$I$568,MATCH($L38,cenník!$B$2:$B$557,0),MATCH(P$2,cenník!$C$1:$I$1,0))</f>
        <v>0.83</v>
      </c>
      <c r="Q38" s="36">
        <f t="shared" si="77"/>
        <v>0</v>
      </c>
      <c r="R38" s="37">
        <f t="shared" si="75"/>
        <v>0</v>
      </c>
      <c r="S38" s="36">
        <f t="shared" si="76"/>
        <v>0.83</v>
      </c>
      <c r="T38" s="36">
        <f t="shared" si="78"/>
        <v>0</v>
      </c>
      <c r="U38" s="36">
        <f>INDEX(cenník!$C$2:$I$568,MATCH($L38,cenník!$B$2:$B$557,0),MATCH(U$2,cenník!$C$1:$I$1,0))*O38</f>
        <v>0</v>
      </c>
      <c r="V38" s="72"/>
      <c r="W38" s="72"/>
      <c r="X38" s="72"/>
      <c r="Y38" s="72"/>
      <c r="Z38" s="72"/>
      <c r="AA38" s="72"/>
      <c r="AB38" s="72"/>
      <c r="AC38" s="72"/>
      <c r="AD38" s="72"/>
      <c r="AE38" s="72"/>
      <c r="AF38" s="72">
        <v>45</v>
      </c>
      <c r="AG38" s="72" t="s">
        <v>426</v>
      </c>
      <c r="AH38" s="72">
        <v>0</v>
      </c>
      <c r="AI38" s="72"/>
      <c r="AJ38" s="72">
        <f t="shared" si="79"/>
        <v>0</v>
      </c>
      <c r="AK38" s="72">
        <f t="shared" si="80"/>
        <v>0</v>
      </c>
      <c r="AL38" s="72" t="s">
        <v>56</v>
      </c>
      <c r="AM38" s="72"/>
      <c r="AN38" s="72"/>
      <c r="AO38" s="72"/>
      <c r="AP38" s="72"/>
      <c r="AQ38" s="72"/>
      <c r="AR38" s="72"/>
      <c r="AS38" s="72"/>
      <c r="AT38" s="72"/>
      <c r="AU38" s="72"/>
      <c r="AV38" s="72"/>
      <c r="AW38" s="72"/>
      <c r="AX38" s="72"/>
      <c r="AY38" s="72"/>
      <c r="AZ38" s="72"/>
      <c r="BA38" s="72"/>
      <c r="BB38" s="72"/>
      <c r="BC38" s="72"/>
      <c r="BD38" s="72"/>
      <c r="BE38" s="72"/>
      <c r="BF38" s="72"/>
      <c r="BG38" s="72"/>
      <c r="BH38" s="72"/>
      <c r="BI38" s="72"/>
      <c r="BJ38" s="72"/>
      <c r="BK38" s="72"/>
      <c r="BL38" s="72"/>
      <c r="BM38" s="72"/>
      <c r="BN38" s="72"/>
      <c r="BO38" s="72"/>
      <c r="BP38" s="72"/>
      <c r="BQ38" s="72"/>
      <c r="BR38" s="72"/>
      <c r="BS38" s="72"/>
      <c r="BT38" s="72"/>
      <c r="BU38" s="72"/>
      <c r="BV38" s="72"/>
      <c r="BW38" s="72"/>
      <c r="BX38" s="72"/>
      <c r="BY38" s="72"/>
      <c r="BZ38" s="72"/>
      <c r="CA38" s="72"/>
      <c r="CB38" s="72"/>
      <c r="CC38" s="72"/>
      <c r="CD38" s="72"/>
      <c r="CE38" s="72"/>
      <c r="CF38" s="72"/>
      <c r="CG38" s="72"/>
      <c r="CH38" s="72"/>
      <c r="CI38" s="72"/>
      <c r="CJ38" s="72"/>
      <c r="CK38" s="72"/>
      <c r="CL38" s="72"/>
      <c r="CM38" s="72"/>
      <c r="CN38" s="72"/>
      <c r="CO38" s="72"/>
      <c r="CP38" s="72"/>
      <c r="CQ38" s="72"/>
      <c r="CR38" s="72"/>
      <c r="CS38" s="72"/>
      <c r="CT38" s="72"/>
      <c r="CU38" s="72"/>
      <c r="CV38" s="72"/>
      <c r="CW38" s="72"/>
      <c r="CX38" s="72"/>
      <c r="CY38" s="72"/>
      <c r="CZ38" s="72"/>
      <c r="DA38" s="72"/>
      <c r="DB38" s="72"/>
      <c r="DC38" s="72"/>
      <c r="DD38" s="72"/>
      <c r="DE38" s="72"/>
      <c r="DF38" s="72"/>
      <c r="DG38" s="72"/>
      <c r="DH38" s="72"/>
      <c r="DI38" s="72"/>
      <c r="DJ38" s="72"/>
      <c r="DK38" s="72"/>
      <c r="DL38" s="72"/>
      <c r="DM38" s="72"/>
      <c r="DN38" s="72"/>
      <c r="DO38" s="72"/>
      <c r="DP38" s="72"/>
      <c r="DQ38" s="72"/>
      <c r="DR38" s="72"/>
      <c r="DS38" s="72"/>
      <c r="DT38" s="72"/>
      <c r="DU38" s="72"/>
      <c r="DV38" s="72"/>
      <c r="DW38" s="72"/>
      <c r="DX38" s="72"/>
      <c r="DY38" s="72"/>
      <c r="DZ38" s="81">
        <v>37</v>
      </c>
      <c r="EA38" s="81"/>
      <c r="EB38" s="81"/>
      <c r="EC38" s="72"/>
      <c r="ED38" s="72"/>
      <c r="EE38" s="72"/>
      <c r="EF38" s="72"/>
      <c r="EG38" s="72"/>
      <c r="EH38" s="72"/>
      <c r="EI38" s="72"/>
      <c r="EJ38" s="72"/>
      <c r="EK38" s="72"/>
      <c r="EL38" s="72"/>
      <c r="EM38" s="72"/>
      <c r="EN38" s="72"/>
      <c r="EO38" s="72"/>
      <c r="EP38" s="72"/>
      <c r="EQ38" s="72"/>
      <c r="ER38" s="72"/>
      <c r="ES38" s="72"/>
      <c r="ET38" s="72"/>
      <c r="EU38" s="72"/>
      <c r="EV38" s="72" t="s">
        <v>10</v>
      </c>
      <c r="EW38" s="72">
        <v>0</v>
      </c>
      <c r="EX38" s="72">
        <v>0</v>
      </c>
      <c r="EY38" s="72">
        <v>2</v>
      </c>
      <c r="EZ38" s="72">
        <v>0</v>
      </c>
      <c r="FA38" s="72">
        <v>2</v>
      </c>
      <c r="FB38" s="72">
        <v>2</v>
      </c>
      <c r="FC38" s="72">
        <v>2</v>
      </c>
      <c r="FD38" s="72">
        <v>4</v>
      </c>
      <c r="FE38" s="72">
        <v>4</v>
      </c>
      <c r="FF38" s="72">
        <v>4</v>
      </c>
      <c r="FG38" s="72">
        <v>6</v>
      </c>
      <c r="FH38" s="72">
        <v>6</v>
      </c>
      <c r="FI38" s="72">
        <v>6</v>
      </c>
      <c r="FJ38" s="72">
        <v>6</v>
      </c>
      <c r="FK38" s="72">
        <v>8</v>
      </c>
      <c r="FL38" s="72">
        <v>8</v>
      </c>
      <c r="FM38" s="72">
        <v>8</v>
      </c>
      <c r="FN38" s="72">
        <v>10</v>
      </c>
      <c r="FO38" s="72">
        <v>10</v>
      </c>
      <c r="FP38" s="72">
        <v>10</v>
      </c>
      <c r="FQ38" s="72">
        <v>12</v>
      </c>
      <c r="FR38" s="72">
        <v>12</v>
      </c>
      <c r="FS38" s="72">
        <v>12</v>
      </c>
      <c r="FT38" s="72">
        <v>12</v>
      </c>
      <c r="FU38" s="72">
        <v>14</v>
      </c>
      <c r="FV38" s="72">
        <v>14</v>
      </c>
      <c r="FW38" s="72">
        <v>14</v>
      </c>
      <c r="FX38" s="72">
        <v>16</v>
      </c>
      <c r="FY38" s="72">
        <v>16</v>
      </c>
      <c r="FZ38" s="72">
        <v>16</v>
      </c>
      <c r="GA38" s="72">
        <v>18</v>
      </c>
      <c r="GB38" s="72">
        <v>18</v>
      </c>
      <c r="GC38" s="72">
        <v>18</v>
      </c>
      <c r="GD38" s="72">
        <v>20</v>
      </c>
      <c r="GE38" s="72">
        <v>20</v>
      </c>
      <c r="GF38" s="72">
        <v>20</v>
      </c>
      <c r="GG38" s="72">
        <v>20</v>
      </c>
      <c r="GH38" s="72">
        <v>22</v>
      </c>
      <c r="GI38" s="72">
        <v>22</v>
      </c>
      <c r="GJ38" s="72">
        <v>22</v>
      </c>
      <c r="GK38" s="72">
        <v>24</v>
      </c>
      <c r="GL38" s="72">
        <v>24</v>
      </c>
      <c r="GM38" s="72">
        <v>24</v>
      </c>
      <c r="GN38" s="72">
        <v>26</v>
      </c>
      <c r="GO38" s="72">
        <v>26</v>
      </c>
      <c r="GP38" s="72">
        <v>26</v>
      </c>
      <c r="GQ38" s="72">
        <v>26</v>
      </c>
      <c r="GR38" s="72">
        <v>28</v>
      </c>
      <c r="GS38" s="72">
        <v>28</v>
      </c>
      <c r="GT38" s="72">
        <v>28</v>
      </c>
      <c r="GU38" s="72">
        <v>30</v>
      </c>
      <c r="GV38" s="72"/>
      <c r="GW38" s="72"/>
      <c r="GX38" s="72"/>
      <c r="JQ38" s="88"/>
      <c r="KG38" s="88"/>
    </row>
    <row r="39" spans="1:295" x14ac:dyDescent="0.25">
      <c r="A39" s="8"/>
      <c r="B39" s="5" t="s">
        <v>61</v>
      </c>
      <c r="C39" s="8"/>
      <c r="D39" s="9"/>
      <c r="E39" s="9"/>
      <c r="F39" s="9"/>
      <c r="G39" s="9"/>
      <c r="H39" s="9"/>
      <c r="I39" s="9"/>
      <c r="J39" s="9"/>
      <c r="K39" s="9"/>
      <c r="L39" s="6" t="str">
        <f>IF(E30=$Z$2,"-------",IF(E30=$Z$3,"SBV50X500",IF(E30=$Z$4,"-------",IF(E30=$Z$5,"-------",0))))</f>
        <v>SBV50X500</v>
      </c>
      <c r="M39" s="11">
        <f>INDEX(cenník!$C$2:$I$568,MATCH($L39,cenník!$B$2:$B$557,0),MATCH(M$2,cenník!$C$1:$I$1,0))</f>
        <v>895501</v>
      </c>
      <c r="N39" s="11" t="str">
        <f>INDEX(cenník!$C$2:$I$568,MATCH($L39,cenník!$B$2:$B$557,0),MATCH(N$2,cenník!$C$1:$I$1,0))</f>
        <v>ks</v>
      </c>
      <c r="O39" s="11">
        <f>IF(E30=$Z$2,0,IF(E30=$Z$3,O28*2,IF(E30=$Z$4,0,IF(E30=$Z$5,0,0))))</f>
        <v>0</v>
      </c>
      <c r="P39" s="36">
        <f>INDEX(cenník!$C$2:$I$568,MATCH($L39,cenník!$B$2:$B$557,0),MATCH(P$2,cenník!$C$1:$I$1,0))</f>
        <v>0.44</v>
      </c>
      <c r="Q39" s="36">
        <f t="shared" ref="Q39:Q46" si="83">O39*P39</f>
        <v>0</v>
      </c>
      <c r="R39" s="37">
        <f t="shared" si="75"/>
        <v>0</v>
      </c>
      <c r="S39" s="36">
        <f t="shared" si="76"/>
        <v>0.44</v>
      </c>
      <c r="T39" s="36">
        <f t="shared" ref="T39:T46" si="84">O39*S39</f>
        <v>0</v>
      </c>
      <c r="U39" s="36">
        <f>INDEX(cenník!$C$2:$I$568,MATCH($L39,cenník!$B$2:$B$557,0),MATCH(U$2,cenník!$C$1:$I$1,0))*O39</f>
        <v>0</v>
      </c>
      <c r="V39" s="72"/>
      <c r="W39" s="72"/>
      <c r="X39" s="72"/>
      <c r="Y39" s="72"/>
      <c r="Z39" s="72"/>
      <c r="AA39" s="72"/>
      <c r="AB39" s="72"/>
      <c r="AC39" s="72"/>
      <c r="AD39" s="72"/>
      <c r="AE39" s="72"/>
      <c r="AF39" s="72">
        <v>50</v>
      </c>
      <c r="AG39" s="72" t="s">
        <v>426</v>
      </c>
      <c r="AH39" s="72">
        <v>0</v>
      </c>
      <c r="AI39" s="72"/>
      <c r="AJ39" s="72">
        <f t="shared" si="79"/>
        <v>0</v>
      </c>
      <c r="AK39" s="72">
        <f t="shared" si="80"/>
        <v>0</v>
      </c>
      <c r="AL39" s="72"/>
      <c r="AM39" s="72">
        <v>0</v>
      </c>
      <c r="AN39" s="72">
        <v>1</v>
      </c>
      <c r="AO39" s="72">
        <v>2</v>
      </c>
      <c r="AP39" s="72">
        <v>3</v>
      </c>
      <c r="AQ39" s="72">
        <v>4</v>
      </c>
      <c r="AR39" s="72">
        <v>5</v>
      </c>
      <c r="AS39" s="72">
        <v>6</v>
      </c>
      <c r="AT39" s="72">
        <v>7</v>
      </c>
      <c r="AU39" s="72">
        <v>8</v>
      </c>
      <c r="AV39" s="72">
        <v>9</v>
      </c>
      <c r="AW39" s="72">
        <v>10</v>
      </c>
      <c r="AX39" s="72">
        <v>11</v>
      </c>
      <c r="AY39" s="72">
        <v>12</v>
      </c>
      <c r="AZ39" s="72">
        <v>13</v>
      </c>
      <c r="BA39" s="72">
        <v>14</v>
      </c>
      <c r="BB39" s="72">
        <v>15</v>
      </c>
      <c r="BC39" s="72">
        <v>16</v>
      </c>
      <c r="BD39" s="72">
        <v>17</v>
      </c>
      <c r="BE39" s="72">
        <v>18</v>
      </c>
      <c r="BF39" s="72">
        <v>19</v>
      </c>
      <c r="BG39" s="72">
        <v>20</v>
      </c>
      <c r="BH39" s="72">
        <v>21</v>
      </c>
      <c r="BI39" s="72">
        <v>22</v>
      </c>
      <c r="BJ39" s="72">
        <v>23</v>
      </c>
      <c r="BK39" s="72">
        <v>24</v>
      </c>
      <c r="BL39" s="72">
        <v>25</v>
      </c>
      <c r="BM39" s="72">
        <v>26</v>
      </c>
      <c r="BN39" s="72">
        <v>27</v>
      </c>
      <c r="BO39" s="72">
        <v>28</v>
      </c>
      <c r="BP39" s="72">
        <v>29</v>
      </c>
      <c r="BQ39" s="72">
        <v>30</v>
      </c>
      <c r="BR39" s="72">
        <v>31</v>
      </c>
      <c r="BS39" s="72">
        <v>32</v>
      </c>
      <c r="BT39" s="72">
        <v>33</v>
      </c>
      <c r="BU39" s="72">
        <v>34</v>
      </c>
      <c r="BV39" s="72">
        <v>35</v>
      </c>
      <c r="BW39" s="72">
        <v>36</v>
      </c>
      <c r="BX39" s="72">
        <v>37</v>
      </c>
      <c r="BY39" s="72">
        <v>38</v>
      </c>
      <c r="BZ39" s="72">
        <v>39</v>
      </c>
      <c r="CA39" s="72">
        <v>40</v>
      </c>
      <c r="CB39" s="72">
        <v>41</v>
      </c>
      <c r="CC39" s="72">
        <v>42</v>
      </c>
      <c r="CD39" s="72">
        <v>43</v>
      </c>
      <c r="CE39" s="72">
        <v>44</v>
      </c>
      <c r="CF39" s="72">
        <v>45</v>
      </c>
      <c r="CG39" s="72">
        <v>46</v>
      </c>
      <c r="CH39" s="72">
        <v>47</v>
      </c>
      <c r="CI39" s="72">
        <v>48</v>
      </c>
      <c r="CJ39" s="72">
        <v>49</v>
      </c>
      <c r="CK39" s="72">
        <v>50</v>
      </c>
      <c r="CL39" s="72"/>
      <c r="CM39" s="72"/>
      <c r="CN39" s="72"/>
      <c r="CO39" s="72"/>
      <c r="CP39" s="72"/>
      <c r="CQ39" s="72"/>
      <c r="CR39" s="72"/>
      <c r="CS39" s="72"/>
      <c r="CT39" s="72"/>
      <c r="CU39" s="72"/>
      <c r="CV39" s="72"/>
      <c r="CW39" s="72"/>
      <c r="CX39" s="72"/>
      <c r="CY39" s="72"/>
      <c r="CZ39" s="72"/>
      <c r="DA39" s="72"/>
      <c r="DB39" s="72"/>
      <c r="DC39" s="72"/>
      <c r="DD39" s="72"/>
      <c r="DE39" s="72"/>
      <c r="DF39" s="72"/>
      <c r="DG39" s="72"/>
      <c r="DH39" s="72"/>
      <c r="DI39" s="72"/>
      <c r="DJ39" s="72"/>
      <c r="DK39" s="72"/>
      <c r="DL39" s="72"/>
      <c r="DM39" s="72"/>
      <c r="DN39" s="72"/>
      <c r="DO39" s="72"/>
      <c r="DP39" s="72"/>
      <c r="DQ39" s="72"/>
      <c r="DR39" s="72"/>
      <c r="DS39" s="72"/>
      <c r="DT39" s="72"/>
      <c r="DU39" s="72"/>
      <c r="DV39" s="72"/>
      <c r="DW39" s="72"/>
      <c r="DX39" s="72"/>
      <c r="DY39" s="72"/>
      <c r="DZ39" s="81">
        <v>38</v>
      </c>
      <c r="EA39" s="81"/>
      <c r="EB39" s="81"/>
      <c r="EC39" s="72"/>
      <c r="ED39" s="72"/>
      <c r="EE39" s="72"/>
      <c r="EF39" s="72"/>
      <c r="EG39" s="72"/>
      <c r="EH39" s="72"/>
      <c r="EI39" s="72"/>
      <c r="EJ39" s="72"/>
      <c r="EK39" s="72"/>
      <c r="EL39" s="72"/>
      <c r="EM39" s="72"/>
      <c r="EN39" s="72"/>
      <c r="EO39" s="72"/>
      <c r="EP39" s="72"/>
      <c r="EQ39" s="72"/>
      <c r="ER39" s="72"/>
      <c r="ES39" s="72"/>
      <c r="ET39" s="72"/>
      <c r="EU39" s="72"/>
      <c r="EV39" s="72"/>
      <c r="EW39" s="72"/>
      <c r="EX39" s="72"/>
      <c r="EY39" s="72"/>
      <c r="EZ39" s="72"/>
      <c r="FA39" s="72"/>
      <c r="FB39" s="72"/>
      <c r="FC39" s="72"/>
      <c r="FD39" s="72"/>
      <c r="FE39" s="72"/>
      <c r="FF39" s="72"/>
      <c r="FG39" s="72"/>
      <c r="FH39" s="72"/>
      <c r="FI39" s="72"/>
      <c r="FJ39" s="72"/>
      <c r="FK39" s="72"/>
      <c r="FL39" s="72"/>
      <c r="FM39" s="72"/>
      <c r="FN39" s="72"/>
      <c r="FO39" s="72"/>
      <c r="FP39" s="72"/>
      <c r="FQ39" s="72"/>
      <c r="FR39" s="72"/>
      <c r="FS39" s="72"/>
      <c r="FT39" s="72"/>
      <c r="FU39" s="72"/>
      <c r="FV39" s="72"/>
      <c r="FW39" s="72"/>
      <c r="FX39" s="72"/>
      <c r="FY39" s="72"/>
      <c r="FZ39" s="72"/>
      <c r="GA39" s="72"/>
      <c r="GB39" s="72"/>
      <c r="GC39" s="72"/>
      <c r="GD39" s="72"/>
      <c r="GE39" s="72"/>
      <c r="GF39" s="72"/>
      <c r="GG39" s="72"/>
      <c r="GH39" s="72"/>
      <c r="GI39" s="72"/>
      <c r="GJ39" s="72"/>
      <c r="GK39" s="72"/>
      <c r="GL39" s="72"/>
      <c r="GM39" s="72"/>
      <c r="GN39" s="72"/>
      <c r="GO39" s="72"/>
      <c r="GP39" s="72"/>
      <c r="GQ39" s="72"/>
      <c r="GR39" s="72"/>
      <c r="GS39" s="72"/>
      <c r="GT39" s="72"/>
      <c r="GU39" s="72"/>
      <c r="GV39" s="72"/>
      <c r="GW39" s="72"/>
      <c r="GX39" s="72"/>
      <c r="GY39" s="64" t="s">
        <v>331</v>
      </c>
      <c r="HU39" s="124"/>
      <c r="HV39" s="83" t="s">
        <v>198</v>
      </c>
      <c r="IS39" s="64" t="s">
        <v>198</v>
      </c>
      <c r="KG39" s="88"/>
    </row>
    <row r="40" spans="1:295" x14ac:dyDescent="0.25">
      <c r="A40" s="8"/>
      <c r="B40" s="5" t="s">
        <v>61</v>
      </c>
      <c r="C40" s="8"/>
      <c r="D40" s="9"/>
      <c r="E40" s="9"/>
      <c r="F40" s="16" t="str">
        <f>IF(L40="PSRM10X90F","POTREBNÉ OVERIŤ VHODNOSŤ KOTIEV",IF(L40="-------","",""))</f>
        <v>POTREBNÉ OVERIŤ VHODNOSŤ KOTIEV</v>
      </c>
      <c r="G40" s="9"/>
      <c r="H40" s="9"/>
      <c r="I40" s="9"/>
      <c r="J40" s="9"/>
      <c r="K40" s="9"/>
      <c r="L40" s="6" t="str">
        <f>IF(E30=$Z$2,"-------",IF(E30=$Z$3,"PSRM10X90F",IF(E30=$Z$4,"-------",IF(E30=$Z$5,"SSZ8X30E A2",0))))</f>
        <v>PSRM10X90F</v>
      </c>
      <c r="M40" s="11">
        <f>INDEX(cenník!$C$2:$I$568,MATCH($L40,cenník!$B$2:$B$557,0),MATCH(M$2,cenník!$C$1:$I$1,0))</f>
        <v>650093</v>
      </c>
      <c r="N40" s="11" t="str">
        <f>INDEX(cenník!$C$2:$I$568,MATCH($L40,cenník!$B$2:$B$557,0),MATCH(N$2,cenník!$C$1:$I$1,0))</f>
        <v>ks</v>
      </c>
      <c r="O40" s="11">
        <f>IF(E30=$Z$2,0,IF(E30=$Z$3,O28*6,IF(E30=$Z$4,0,IF(E30=$Z$5,ROUNDUP((O28*4)/100,0),0))))</f>
        <v>0</v>
      </c>
      <c r="P40" s="36">
        <f>INDEX(cenník!$C$2:$I$568,MATCH($L40,cenník!$B$2:$B$557,0),MATCH(P$2,cenník!$C$1:$I$1,0))</f>
        <v>1.53</v>
      </c>
      <c r="Q40" s="36">
        <f t="shared" si="83"/>
        <v>0</v>
      </c>
      <c r="R40" s="37">
        <f t="shared" si="75"/>
        <v>0</v>
      </c>
      <c r="S40" s="36">
        <f>P40*((100-$E$8)/100)</f>
        <v>1.53</v>
      </c>
      <c r="T40" s="36">
        <f t="shared" si="84"/>
        <v>0</v>
      </c>
      <c r="U40" s="36">
        <f>INDEX(cenník!$C$2:$I$568,MATCH($L40,cenník!$B$2:$B$557,0),MATCH(U$2,cenník!$C$1:$I$1,0))*O40</f>
        <v>0</v>
      </c>
      <c r="V40" s="72"/>
      <c r="W40" s="82" t="s">
        <v>130</v>
      </c>
      <c r="X40" s="82" t="s">
        <v>131</v>
      </c>
      <c r="Y40" s="72"/>
      <c r="Z40" s="85" t="s">
        <v>10</v>
      </c>
      <c r="AA40" s="72" t="s">
        <v>99</v>
      </c>
      <c r="AB40" s="72" t="s">
        <v>8</v>
      </c>
      <c r="AC40" s="85" t="s">
        <v>98</v>
      </c>
      <c r="AD40" s="85" t="s">
        <v>100</v>
      </c>
      <c r="AE40" s="85" t="s">
        <v>114</v>
      </c>
      <c r="AF40" s="85" t="s">
        <v>9</v>
      </c>
      <c r="AG40" s="85" t="s">
        <v>101</v>
      </c>
      <c r="AH40" s="85" t="s">
        <v>102</v>
      </c>
      <c r="AI40" s="72"/>
      <c r="AJ40" s="72">
        <f t="shared" si="79"/>
        <v>0</v>
      </c>
      <c r="AK40" s="72">
        <f t="shared" si="80"/>
        <v>0</v>
      </c>
      <c r="AL40" s="72" t="s">
        <v>63</v>
      </c>
      <c r="AM40" s="72">
        <v>0</v>
      </c>
      <c r="AN40" s="72">
        <v>0</v>
      </c>
      <c r="AO40" s="72">
        <v>6</v>
      </c>
      <c r="AP40" s="72">
        <v>0</v>
      </c>
      <c r="AQ40" s="72">
        <v>0</v>
      </c>
      <c r="AR40" s="72">
        <v>0</v>
      </c>
      <c r="AS40" s="72">
        <v>0</v>
      </c>
      <c r="AT40" s="72">
        <v>0</v>
      </c>
      <c r="AU40" s="72">
        <v>0</v>
      </c>
      <c r="AV40" s="72">
        <v>0</v>
      </c>
      <c r="AW40" s="72">
        <v>2</v>
      </c>
      <c r="AX40" s="72">
        <v>0</v>
      </c>
      <c r="AY40" s="72">
        <v>0</v>
      </c>
      <c r="AZ40" s="72">
        <v>0</v>
      </c>
      <c r="BA40" s="72">
        <v>0</v>
      </c>
      <c r="BB40" s="72">
        <v>0</v>
      </c>
      <c r="BC40" s="72">
        <v>0</v>
      </c>
      <c r="BD40" s="72">
        <v>0</v>
      </c>
      <c r="BE40" s="72">
        <v>0</v>
      </c>
      <c r="BF40" s="72">
        <v>0</v>
      </c>
      <c r="BG40" s="72">
        <v>0</v>
      </c>
      <c r="BH40" s="72">
        <v>0</v>
      </c>
      <c r="BI40" s="72">
        <v>0</v>
      </c>
      <c r="BJ40" s="72">
        <v>0</v>
      </c>
      <c r="BK40" s="72">
        <v>0</v>
      </c>
      <c r="BL40" s="72">
        <v>0</v>
      </c>
      <c r="BM40" s="72">
        <v>0</v>
      </c>
      <c r="BN40" s="72">
        <v>0</v>
      </c>
      <c r="BO40" s="72">
        <v>0</v>
      </c>
      <c r="BP40" s="72">
        <v>0</v>
      </c>
      <c r="BQ40" s="72">
        <v>0</v>
      </c>
      <c r="BR40" s="72">
        <v>0</v>
      </c>
      <c r="BS40" s="72">
        <v>2</v>
      </c>
      <c r="BT40" s="72">
        <v>0</v>
      </c>
      <c r="BU40" s="72">
        <v>0</v>
      </c>
      <c r="BV40" s="72">
        <v>0</v>
      </c>
      <c r="BW40" s="72">
        <v>0</v>
      </c>
      <c r="BX40" s="72">
        <v>0</v>
      </c>
      <c r="BY40" s="72">
        <v>0</v>
      </c>
      <c r="BZ40" s="72">
        <v>0</v>
      </c>
      <c r="CA40" s="72">
        <v>0</v>
      </c>
      <c r="CB40" s="72">
        <v>0</v>
      </c>
      <c r="CC40" s="72">
        <v>0</v>
      </c>
      <c r="CD40" s="72">
        <v>0</v>
      </c>
      <c r="CE40" s="72">
        <v>0</v>
      </c>
      <c r="CF40" s="72">
        <v>0</v>
      </c>
      <c r="CG40" s="72">
        <v>0</v>
      </c>
      <c r="CH40" s="72">
        <v>0</v>
      </c>
      <c r="CI40" s="72">
        <v>0</v>
      </c>
      <c r="CJ40" s="72">
        <v>0</v>
      </c>
      <c r="CK40" s="72">
        <v>0</v>
      </c>
      <c r="CL40" s="72"/>
      <c r="CM40" s="72"/>
      <c r="CN40" s="72"/>
      <c r="CO40" s="72"/>
      <c r="CP40" s="72"/>
      <c r="CQ40" s="72"/>
      <c r="CR40" s="72"/>
      <c r="CS40" s="72"/>
      <c r="CT40" s="72"/>
      <c r="CU40" s="72"/>
      <c r="CV40" s="72"/>
      <c r="CW40" s="72"/>
      <c r="CX40" s="72"/>
      <c r="CY40" s="72"/>
      <c r="CZ40" s="72"/>
      <c r="DA40" s="72"/>
      <c r="DB40" s="72"/>
      <c r="DC40" s="72"/>
      <c r="DD40" s="72"/>
      <c r="DE40" s="72"/>
      <c r="DF40" s="72"/>
      <c r="DG40" s="72"/>
      <c r="DH40" s="72"/>
      <c r="DI40" s="72"/>
      <c r="DJ40" s="72"/>
      <c r="DK40" s="72"/>
      <c r="DL40" s="72"/>
      <c r="DM40" s="72"/>
      <c r="DN40" s="72"/>
      <c r="DO40" s="72"/>
      <c r="DP40" s="72"/>
      <c r="DQ40" s="72"/>
      <c r="DR40" s="72"/>
      <c r="DS40" s="72"/>
      <c r="DT40" s="72"/>
      <c r="DU40" s="72"/>
      <c r="DV40" s="72"/>
      <c r="DW40" s="72"/>
      <c r="DX40" s="72"/>
      <c r="DY40" s="72"/>
      <c r="DZ40" s="81">
        <v>39</v>
      </c>
      <c r="EA40" s="81"/>
      <c r="EB40" s="81">
        <v>1</v>
      </c>
      <c r="EC40" s="72"/>
      <c r="ED40" s="72"/>
      <c r="EE40" s="72"/>
      <c r="EF40" s="72"/>
      <c r="EG40" s="72"/>
      <c r="EH40" s="72"/>
      <c r="EI40" s="72"/>
      <c r="EJ40" s="72"/>
      <c r="EK40" s="72"/>
      <c r="EL40" s="72"/>
      <c r="EM40" s="72"/>
      <c r="EN40" s="72"/>
      <c r="EO40" s="72"/>
      <c r="EP40" s="72"/>
      <c r="EQ40" s="72"/>
      <c r="ER40" s="72"/>
      <c r="ES40" s="72"/>
      <c r="ET40" s="72"/>
      <c r="EU40" s="72"/>
      <c r="EV40" s="72" t="s">
        <v>205</v>
      </c>
      <c r="EW40" s="72"/>
      <c r="EX40" s="72"/>
      <c r="EY40" s="72"/>
      <c r="EZ40" s="72"/>
      <c r="FA40" s="72"/>
      <c r="FB40" s="72"/>
      <c r="FC40" s="72"/>
      <c r="FD40" s="72"/>
      <c r="FE40" s="72"/>
      <c r="FF40" s="72"/>
      <c r="FG40" s="72"/>
      <c r="FH40" s="72"/>
      <c r="FI40" s="72"/>
      <c r="FJ40" s="72"/>
      <c r="FK40" s="72"/>
      <c r="FL40" s="72"/>
      <c r="FM40" s="72"/>
      <c r="FN40" s="72"/>
      <c r="FO40" s="72"/>
      <c r="FP40" s="72"/>
      <c r="FQ40" s="72"/>
      <c r="FR40" s="72"/>
      <c r="FS40" s="72"/>
      <c r="FT40" s="72"/>
      <c r="FU40" s="72"/>
      <c r="FV40" s="72"/>
      <c r="FW40" s="72"/>
      <c r="FX40" s="72"/>
      <c r="FY40" s="72"/>
      <c r="FZ40" s="72"/>
      <c r="GA40" s="72"/>
      <c r="GB40" s="72"/>
      <c r="GC40" s="72"/>
      <c r="GD40" s="72"/>
      <c r="GE40" s="72"/>
      <c r="GF40" s="72"/>
      <c r="GG40" s="72"/>
      <c r="GH40" s="72"/>
      <c r="GI40" s="72"/>
      <c r="GJ40" s="72"/>
      <c r="GK40" s="72"/>
      <c r="GL40" s="72"/>
      <c r="GM40" s="72"/>
      <c r="GN40" s="72"/>
      <c r="GO40" s="72"/>
      <c r="GP40" s="72"/>
      <c r="GQ40" s="72"/>
      <c r="GR40" s="72"/>
      <c r="GS40" s="72"/>
      <c r="GT40" s="72"/>
      <c r="GU40" s="72"/>
      <c r="GV40" s="72"/>
      <c r="GW40" s="72"/>
      <c r="GX40" s="72"/>
      <c r="GZ40" s="64">
        <v>0</v>
      </c>
      <c r="HA40" s="64">
        <v>1</v>
      </c>
      <c r="HB40" s="64">
        <v>2</v>
      </c>
      <c r="HC40" s="64">
        <v>3</v>
      </c>
      <c r="HD40" s="64">
        <v>4</v>
      </c>
      <c r="HE40" s="64">
        <v>5</v>
      </c>
      <c r="HF40" s="64">
        <v>6</v>
      </c>
      <c r="HG40" s="64">
        <v>7</v>
      </c>
      <c r="HH40" s="64">
        <v>8</v>
      </c>
      <c r="HI40" s="64">
        <v>9</v>
      </c>
      <c r="HJ40" s="64">
        <v>10</v>
      </c>
      <c r="HK40" s="64">
        <v>11</v>
      </c>
      <c r="HL40" s="64">
        <v>12</v>
      </c>
      <c r="HM40" s="64">
        <v>13</v>
      </c>
      <c r="HN40" s="64">
        <v>14</v>
      </c>
      <c r="HO40" s="64">
        <v>15</v>
      </c>
      <c r="HP40" s="64">
        <v>16</v>
      </c>
      <c r="HQ40" s="64">
        <v>17</v>
      </c>
      <c r="HR40" s="64">
        <v>18</v>
      </c>
      <c r="HS40" s="64">
        <v>19</v>
      </c>
      <c r="HT40" s="64">
        <v>20</v>
      </c>
      <c r="HW40" s="64">
        <v>0</v>
      </c>
      <c r="HX40" s="64">
        <v>1</v>
      </c>
      <c r="HY40" s="64">
        <v>2</v>
      </c>
      <c r="HZ40" s="64">
        <v>3</v>
      </c>
      <c r="IA40" s="64">
        <v>4</v>
      </c>
      <c r="IB40" s="64">
        <v>5</v>
      </c>
      <c r="IC40" s="64">
        <v>6</v>
      </c>
      <c r="ID40" s="64">
        <v>7</v>
      </c>
      <c r="IE40" s="64">
        <v>8</v>
      </c>
      <c r="IF40" s="64">
        <v>9</v>
      </c>
      <c r="IG40" s="64">
        <v>10</v>
      </c>
      <c r="IH40" s="64">
        <v>11</v>
      </c>
      <c r="II40" s="64">
        <v>12</v>
      </c>
      <c r="IJ40" s="64">
        <v>13</v>
      </c>
      <c r="IK40" s="64">
        <v>14</v>
      </c>
      <c r="IL40" s="64">
        <v>15</v>
      </c>
      <c r="IM40" s="64">
        <v>16</v>
      </c>
      <c r="IN40" s="64">
        <v>17</v>
      </c>
      <c r="IO40" s="64">
        <v>18</v>
      </c>
      <c r="IP40" s="64">
        <v>19</v>
      </c>
      <c r="IQ40" s="64">
        <v>20</v>
      </c>
      <c r="IT40" s="64">
        <f t="shared" si="42"/>
        <v>0</v>
      </c>
      <c r="IU40" s="64">
        <f t="shared" si="43"/>
        <v>2</v>
      </c>
      <c r="IV40" s="64">
        <f t="shared" si="44"/>
        <v>4</v>
      </c>
      <c r="IW40" s="64">
        <f t="shared" si="45"/>
        <v>6</v>
      </c>
      <c r="IX40" s="64">
        <f t="shared" si="46"/>
        <v>8</v>
      </c>
      <c r="IY40" s="64">
        <f t="shared" si="47"/>
        <v>10</v>
      </c>
      <c r="IZ40" s="64">
        <f t="shared" si="48"/>
        <v>12</v>
      </c>
      <c r="JA40" s="64">
        <f t="shared" si="49"/>
        <v>14</v>
      </c>
      <c r="JB40" s="64">
        <f t="shared" si="50"/>
        <v>16</v>
      </c>
      <c r="JC40" s="64">
        <f t="shared" si="51"/>
        <v>18</v>
      </c>
      <c r="JD40" s="64">
        <f t="shared" si="52"/>
        <v>20</v>
      </c>
      <c r="JE40" s="64">
        <f t="shared" si="53"/>
        <v>22</v>
      </c>
      <c r="JF40" s="64">
        <f t="shared" si="54"/>
        <v>24</v>
      </c>
      <c r="JG40" s="64">
        <f t="shared" si="55"/>
        <v>26</v>
      </c>
      <c r="JH40" s="64">
        <f t="shared" si="56"/>
        <v>28</v>
      </c>
      <c r="JI40" s="64">
        <f t="shared" si="57"/>
        <v>30</v>
      </c>
      <c r="JJ40" s="64">
        <f t="shared" si="58"/>
        <v>32</v>
      </c>
      <c r="JK40" s="64">
        <f t="shared" si="59"/>
        <v>34</v>
      </c>
      <c r="JL40" s="64">
        <f t="shared" si="60"/>
        <v>36</v>
      </c>
      <c r="JM40" s="64">
        <f t="shared" si="61"/>
        <v>38</v>
      </c>
      <c r="JN40" s="64">
        <f t="shared" si="62"/>
        <v>40</v>
      </c>
    </row>
    <row r="41" spans="1:295" x14ac:dyDescent="0.25">
      <c r="A41" s="8"/>
      <c r="B41" s="5" t="s">
        <v>61</v>
      </c>
      <c r="C41" s="8"/>
      <c r="D41" s="9"/>
      <c r="E41" s="9"/>
      <c r="F41" s="9"/>
      <c r="G41" s="9"/>
      <c r="H41" s="9"/>
      <c r="I41" s="9"/>
      <c r="J41" s="9"/>
      <c r="K41" s="9"/>
      <c r="L41" s="6" t="str">
        <f>IF(E30=$Z$2,"-------",IF(E30=$Z$3,"-------",IF(E30=$Z$4,"-------",IF(E30=$Z$5,"PW8E A2",0))))</f>
        <v>-------</v>
      </c>
      <c r="M41" s="11" t="str">
        <f>INDEX(cenník!$C$2:$I$568,MATCH($L41,cenník!$B$2:$B$557,0),MATCH(M$2,cenník!$C$1:$I$1,0))</f>
        <v>-------</v>
      </c>
      <c r="N41" s="11">
        <f>INDEX(cenník!$C$2:$I$568,MATCH($L41,cenník!$B$2:$B$557,0),MATCH(N$2,cenník!$C$1:$I$1,0))</f>
        <v>0</v>
      </c>
      <c r="O41" s="11">
        <f>IF(E30=$Z$2,0,IF(E30=$Z$3,0,IF(E30=$Z$4,0,IF(E30=$Z$5,ROUNDUP((O28*4)/100,0),0))))</f>
        <v>0</v>
      </c>
      <c r="P41" s="36">
        <f>INDEX(cenník!$C$2:$I$568,MATCH($L41,cenník!$B$2:$B$557,0),MATCH(P$2,cenník!$C$1:$I$1,0))</f>
        <v>0</v>
      </c>
      <c r="Q41" s="36">
        <f t="shared" si="83"/>
        <v>0</v>
      </c>
      <c r="R41" s="37">
        <f t="shared" si="75"/>
        <v>0</v>
      </c>
      <c r="S41" s="36">
        <f>P41*((100-$E$8)/100)</f>
        <v>0</v>
      </c>
      <c r="T41" s="36">
        <f t="shared" si="84"/>
        <v>0</v>
      </c>
      <c r="U41" s="36">
        <f>INDEX(cenník!$C$2:$I$568,MATCH($L41,cenník!$B$2:$B$557,0),MATCH(U$2,cenník!$C$1:$I$1,0))*O41</f>
        <v>0</v>
      </c>
      <c r="V41" s="72"/>
      <c r="W41" s="85">
        <f t="shared" ref="W41:W56" si="85">(IF(((INT((((A49)*(IF($G$50=$X$26,$Y$26,IF($G$50=$X$27,$Y$27,IF($G$50=$X$28,$Y$28,IF($G$50=$X$29,$Y$29,0))))))+(((A49)-1)*20))/$E$57))*$E$57)+600&gt;((A49)*(IF($G$50=$X$26,$Y$26,IF($G$50=$X$27,$Y$27,IF($G$50=$X$28,$Y$28,IF($G$50=$X$29,$Y$29,0))))))+(((A49)-1)*20),(INT((((A49)*(IF($G$50=$X$26,$Y$26,IF($G$50=$X$27,$Y$27,IF($G$50=$X$28,$Y$28,IF($G$50=$X$29,$Y$29,0))))))+(((A49)-1)*20))/$E$57))+1,IF(((INT((((A49)*(IF($G$50=$X$26,$Y$26,IF($G$50=$X$27,$Y$27,IF($G$50=$X$28,$Y$28,IF($G$50=$X$29,$Y$29,0))))))+(((A49)-1)*20))/$E$57))*$E$57)+600&lt;((A49)*(IF($G$50=$X$26,$Y$26,IF($G$50=$X$27,$Y$27,IF($G$50=$X$28,$Y$28,IF($G$50=$X$29,$Y$29,0))))))+(((A49)-1)*20),(INT((((A49)*(IF($G$50=$X$26,$Y$26,IF($G$50=$X$27,$Y$27,IF($G$50=$X$28,$Y$28,IF($G$50=$X$29,$Y$29,0))))))+(((A49)-1)*20))/$E$57))+2,0)))*C49</f>
        <v>0</v>
      </c>
      <c r="X41" s="72">
        <f t="shared" ref="X41:X56" si="86">IF(A49=0,0,IF(A49&gt;0,(IF(W41=0,0,IF(W41&gt;0,(INDEX(($CN$42:$DX$42),MATCH($L$60,$CM$42,0),MATCH(W41/C49,$CN$41:$DX$41,0),1)*C49)))),0))</f>
        <v>0</v>
      </c>
      <c r="Y41" s="72"/>
      <c r="Z41" s="72">
        <f>(INDEX(($EW$5:$GU$13,$EW$17:$GU$25,$EW$30:$GU$38,$EW$42:$GU$50),MATCH($L$58,$EV$5:$EV$13,0),MATCH(A49,$EW$4:$GU$4,0),MATCH($G$50,$X$26:$X$29,0)))*C49</f>
        <v>0</v>
      </c>
      <c r="AA41" s="72">
        <f>(INDEX(($EW$5:$GU$13,$EW$17:$GU$25,$EW$30:$GU$38,$EW$42:$GU$50),MATCH($L$50,$EV$5:$EV$13,0),MATCH(A49,$EW$4:$GU$4,0),MATCH($G$50,$X$26:$X$29,0)))*C49</f>
        <v>0</v>
      </c>
      <c r="AB41" s="72">
        <f>(INDEX(($EW$5:$GU$13,$EW$17:$GU$25,$EW$30:$GU$38,$EW$42:$GU$50),MATCH($L$51,$EV$5:$EV$13,0),MATCH(A49,$EW$4:$GU$4,0),MATCH($G$50,$X$26:$X$29,0)))*C49</f>
        <v>0</v>
      </c>
      <c r="AC41" s="72">
        <f>(INDEX(($EW$5:$GU$13,$EW$17:$GU$25,$EW$30:$GU$38,$EW$42:$GU$50),MATCH($L$52,$EV$5:$EV$13,0),MATCH(A49,$EW$4:$GU$4,0),MATCH($G$50,$X$26:$X$29,0)))*C49</f>
        <v>0</v>
      </c>
      <c r="AD41" s="72">
        <f>(INDEX(($EW$5:$GU$13,$EW$17:$GU$25,$EW$30:$GU$38,$EW$42:$GU$50),MATCH($L$53,$EV$5:$EV$13,0),MATCH(A49,$EW$4:$GU$4,0),MATCH($G$50,$X$26:$X$29,0)))*C49</f>
        <v>0</v>
      </c>
      <c r="AE41" s="72">
        <f>(INDEX(($EW$5:$GU$13,$EW$17:$GU$25,$EW$30:$GU$38,$EW$42:$GU$50),MATCH($L$54,$EV$5:$EV$13,0),MATCH(A49,$EW$4:$GU$4,0),MATCH($G$50,$X$26:$X$29,0)))*C49</f>
        <v>0</v>
      </c>
      <c r="AF41" s="72">
        <f>(INDEX(($EW$5:$GU$13,$EW$17:$GU$25,$EW$30:$GU$38,$EW$42:$GU$50),MATCH($L$55,$EV$5:$EV$13,0),MATCH(A49,$EW$4:$GU$4,0),MATCH($G$50,$X$26:$X$29,0)))*C49</f>
        <v>0</v>
      </c>
      <c r="AG41" s="72">
        <f>(INDEX(($EW$5:$GU$13,$EW$17:$GU$25,$EW$30:$GU$38,$EW$42:$GU$50),MATCH($L$56,$EV$5:$EV$13,0),MATCH(A49,$EW$4:$GU$4,0),MATCH($G$50,$X$26:$X$29,0)))*C49</f>
        <v>0</v>
      </c>
      <c r="AH41" s="72">
        <f>(INDEX(($EW$5:$GU$13,$EW$17:$GU$25,$EW$30:$GU$38,$EW$42:$GU$50),MATCH($L$57,$EV$5:$EV$13,0),MATCH(A49,$EW$4:$GU$4,0),MATCH($G$50,$X$26:$X$29,0)))*C49</f>
        <v>0</v>
      </c>
      <c r="AI41" s="72"/>
      <c r="AJ41" s="72">
        <f t="shared" si="79"/>
        <v>0</v>
      </c>
      <c r="AK41" s="72">
        <f t="shared" si="80"/>
        <v>0</v>
      </c>
      <c r="AL41" s="72" t="s">
        <v>11</v>
      </c>
      <c r="AM41" s="72">
        <v>0</v>
      </c>
      <c r="AN41" s="72">
        <v>2</v>
      </c>
      <c r="AO41" s="72">
        <v>0</v>
      </c>
      <c r="AP41" s="72">
        <v>2</v>
      </c>
      <c r="AQ41" s="72">
        <v>4</v>
      </c>
      <c r="AR41" s="72">
        <v>0</v>
      </c>
      <c r="AS41" s="72">
        <v>4</v>
      </c>
      <c r="AT41" s="72">
        <v>2</v>
      </c>
      <c r="AU41" s="72">
        <v>4</v>
      </c>
      <c r="AV41" s="72">
        <v>2</v>
      </c>
      <c r="AW41" s="72">
        <v>0</v>
      </c>
      <c r="AX41" s="72">
        <v>2</v>
      </c>
      <c r="AY41" s="72">
        <v>4</v>
      </c>
      <c r="AZ41" s="72">
        <v>2</v>
      </c>
      <c r="BA41" s="72">
        <v>2</v>
      </c>
      <c r="BB41" s="72">
        <v>0</v>
      </c>
      <c r="BC41" s="72">
        <v>0</v>
      </c>
      <c r="BD41" s="72">
        <v>0</v>
      </c>
      <c r="BE41" s="72">
        <v>2</v>
      </c>
      <c r="BF41" s="72">
        <v>0</v>
      </c>
      <c r="BG41" s="72">
        <v>0</v>
      </c>
      <c r="BH41" s="72">
        <v>0</v>
      </c>
      <c r="BI41" s="72">
        <v>0</v>
      </c>
      <c r="BJ41" s="72">
        <v>0</v>
      </c>
      <c r="BK41" s="72">
        <v>2</v>
      </c>
      <c r="BL41" s="72">
        <v>0</v>
      </c>
      <c r="BM41" s="72">
        <v>0</v>
      </c>
      <c r="BN41" s="72">
        <v>0</v>
      </c>
      <c r="BO41" s="72">
        <v>0</v>
      </c>
      <c r="BP41" s="72">
        <v>0</v>
      </c>
      <c r="BQ41" s="72">
        <v>0</v>
      </c>
      <c r="BR41" s="72">
        <v>0</v>
      </c>
      <c r="BS41" s="72">
        <v>0</v>
      </c>
      <c r="BT41" s="72">
        <v>0</v>
      </c>
      <c r="BU41" s="72">
        <v>0</v>
      </c>
      <c r="BV41" s="72">
        <v>0</v>
      </c>
      <c r="BW41" s="72">
        <v>0</v>
      </c>
      <c r="BX41" s="72">
        <v>0</v>
      </c>
      <c r="BY41" s="72">
        <v>0</v>
      </c>
      <c r="BZ41" s="72">
        <v>0</v>
      </c>
      <c r="CA41" s="72">
        <v>0</v>
      </c>
      <c r="CB41" s="72">
        <v>0</v>
      </c>
      <c r="CC41" s="72">
        <v>4</v>
      </c>
      <c r="CD41" s="72">
        <v>0</v>
      </c>
      <c r="CE41" s="72">
        <v>0</v>
      </c>
      <c r="CF41" s="72">
        <v>0</v>
      </c>
      <c r="CG41" s="72">
        <v>0</v>
      </c>
      <c r="CH41" s="72">
        <v>0</v>
      </c>
      <c r="CI41" s="72">
        <v>0</v>
      </c>
      <c r="CJ41" s="72">
        <v>0</v>
      </c>
      <c r="CK41" s="72">
        <v>0</v>
      </c>
      <c r="CL41" s="72"/>
      <c r="CM41" s="72"/>
      <c r="CN41" s="72">
        <v>0</v>
      </c>
      <c r="CO41" s="72">
        <v>2</v>
      </c>
      <c r="CP41" s="72">
        <v>3</v>
      </c>
      <c r="CQ41" s="72">
        <v>4</v>
      </c>
      <c r="CR41" s="72">
        <v>5</v>
      </c>
      <c r="CS41" s="72">
        <v>6</v>
      </c>
      <c r="CT41" s="72">
        <v>7</v>
      </c>
      <c r="CU41" s="72">
        <v>8</v>
      </c>
      <c r="CV41" s="72">
        <v>9</v>
      </c>
      <c r="CW41" s="72">
        <v>10</v>
      </c>
      <c r="CX41" s="72">
        <v>11</v>
      </c>
      <c r="CY41" s="72">
        <v>12</v>
      </c>
      <c r="CZ41" s="72">
        <v>13</v>
      </c>
      <c r="DA41" s="72">
        <v>14</v>
      </c>
      <c r="DB41" s="72">
        <v>15</v>
      </c>
      <c r="DC41" s="72">
        <v>16</v>
      </c>
      <c r="DD41" s="72">
        <v>17</v>
      </c>
      <c r="DE41" s="72">
        <v>18</v>
      </c>
      <c r="DF41" s="72">
        <v>19</v>
      </c>
      <c r="DG41" s="72">
        <v>20</v>
      </c>
      <c r="DH41" s="72">
        <v>21</v>
      </c>
      <c r="DI41" s="72">
        <v>22</v>
      </c>
      <c r="DJ41" s="72">
        <v>23</v>
      </c>
      <c r="DK41" s="72">
        <v>24</v>
      </c>
      <c r="DL41" s="72">
        <v>25</v>
      </c>
      <c r="DM41" s="72">
        <v>26</v>
      </c>
      <c r="DN41" s="72">
        <v>27</v>
      </c>
      <c r="DO41" s="72">
        <v>28</v>
      </c>
      <c r="DP41" s="72">
        <v>29</v>
      </c>
      <c r="DQ41" s="72">
        <v>30</v>
      </c>
      <c r="DR41" s="72">
        <v>31</v>
      </c>
      <c r="DS41" s="72">
        <v>32</v>
      </c>
      <c r="DT41" s="72">
        <v>33</v>
      </c>
      <c r="DU41" s="72">
        <v>34</v>
      </c>
      <c r="DV41" s="72">
        <v>35</v>
      </c>
      <c r="DW41" s="72">
        <v>36</v>
      </c>
      <c r="DX41" s="72">
        <v>37</v>
      </c>
      <c r="DY41" s="72"/>
      <c r="DZ41" s="81">
        <v>40</v>
      </c>
      <c r="EA41" s="81"/>
      <c r="EB41" s="81">
        <v>2</v>
      </c>
      <c r="EC41" s="72"/>
      <c r="ED41" s="72"/>
      <c r="EE41" s="72"/>
      <c r="EF41" s="72"/>
      <c r="EG41" s="72"/>
      <c r="EH41" s="72"/>
      <c r="EI41" s="72"/>
      <c r="EJ41" s="72"/>
      <c r="EK41" s="72"/>
      <c r="EL41" s="72"/>
      <c r="EM41" s="72"/>
      <c r="EN41" s="72"/>
      <c r="EO41" s="72"/>
      <c r="EP41" s="72"/>
      <c r="EQ41" s="72"/>
      <c r="ER41" s="72"/>
      <c r="ES41" s="72"/>
      <c r="ET41" s="72"/>
      <c r="EU41" s="72"/>
      <c r="EV41" s="72"/>
      <c r="EW41" s="72">
        <v>0</v>
      </c>
      <c r="EX41" s="72">
        <v>1</v>
      </c>
      <c r="EY41" s="72">
        <v>2</v>
      </c>
      <c r="EZ41" s="72">
        <v>3</v>
      </c>
      <c r="FA41" s="72">
        <v>4</v>
      </c>
      <c r="FB41" s="72">
        <v>5</v>
      </c>
      <c r="FC41" s="72">
        <v>6</v>
      </c>
      <c r="FD41" s="72">
        <v>7</v>
      </c>
      <c r="FE41" s="72">
        <v>8</v>
      </c>
      <c r="FF41" s="72">
        <v>9</v>
      </c>
      <c r="FG41" s="72">
        <v>10</v>
      </c>
      <c r="FH41" s="72">
        <v>11</v>
      </c>
      <c r="FI41" s="72">
        <v>12</v>
      </c>
      <c r="FJ41" s="72">
        <v>13</v>
      </c>
      <c r="FK41" s="72">
        <v>14</v>
      </c>
      <c r="FL41" s="72">
        <v>15</v>
      </c>
      <c r="FM41" s="72">
        <v>16</v>
      </c>
      <c r="FN41" s="72">
        <v>17</v>
      </c>
      <c r="FO41" s="72">
        <v>18</v>
      </c>
      <c r="FP41" s="72">
        <v>19</v>
      </c>
      <c r="FQ41" s="72">
        <v>20</v>
      </c>
      <c r="FR41" s="72">
        <v>21</v>
      </c>
      <c r="FS41" s="72">
        <v>22</v>
      </c>
      <c r="FT41" s="72">
        <v>23</v>
      </c>
      <c r="FU41" s="72">
        <v>24</v>
      </c>
      <c r="FV41" s="72">
        <v>25</v>
      </c>
      <c r="FW41" s="72">
        <v>26</v>
      </c>
      <c r="FX41" s="72">
        <v>27</v>
      </c>
      <c r="FY41" s="72">
        <v>28</v>
      </c>
      <c r="FZ41" s="72">
        <v>29</v>
      </c>
      <c r="GA41" s="72">
        <v>30</v>
      </c>
      <c r="GB41" s="72">
        <v>31</v>
      </c>
      <c r="GC41" s="72">
        <v>32</v>
      </c>
      <c r="GD41" s="72">
        <v>33</v>
      </c>
      <c r="GE41" s="72">
        <v>34</v>
      </c>
      <c r="GF41" s="72">
        <v>35</v>
      </c>
      <c r="GG41" s="72">
        <v>36</v>
      </c>
      <c r="GH41" s="72">
        <v>37</v>
      </c>
      <c r="GI41" s="72">
        <v>38</v>
      </c>
      <c r="GJ41" s="72">
        <v>39</v>
      </c>
      <c r="GK41" s="72">
        <v>40</v>
      </c>
      <c r="GL41" s="72">
        <v>41</v>
      </c>
      <c r="GM41" s="72">
        <v>42</v>
      </c>
      <c r="GN41" s="72">
        <v>43</v>
      </c>
      <c r="GO41" s="72">
        <v>44</v>
      </c>
      <c r="GP41" s="72">
        <v>45</v>
      </c>
      <c r="GQ41" s="72">
        <v>46</v>
      </c>
      <c r="GR41" s="72">
        <v>47</v>
      </c>
      <c r="GS41" s="72">
        <v>48</v>
      </c>
      <c r="GT41" s="72">
        <v>49</v>
      </c>
      <c r="GU41" s="72">
        <v>50</v>
      </c>
      <c r="GV41" s="72"/>
      <c r="GW41" s="72"/>
      <c r="GX41" s="72"/>
      <c r="GY41" s="64" t="s">
        <v>326</v>
      </c>
      <c r="GZ41" s="64">
        <v>0</v>
      </c>
      <c r="HA41" s="64">
        <v>2</v>
      </c>
      <c r="HB41" s="64">
        <v>0</v>
      </c>
      <c r="HC41" s="64">
        <v>4</v>
      </c>
      <c r="HD41" s="64">
        <v>2</v>
      </c>
      <c r="HE41" s="64">
        <v>4</v>
      </c>
      <c r="HF41" s="64">
        <v>2</v>
      </c>
      <c r="HG41" s="64">
        <v>0</v>
      </c>
      <c r="HH41" s="64">
        <v>4</v>
      </c>
      <c r="HI41" s="64">
        <v>2</v>
      </c>
      <c r="HJ41" s="64">
        <v>4</v>
      </c>
      <c r="HK41" s="64">
        <v>2</v>
      </c>
      <c r="HL41" s="64">
        <v>0</v>
      </c>
      <c r="HM41" s="64">
        <v>4</v>
      </c>
      <c r="HN41" s="64">
        <v>2</v>
      </c>
      <c r="HO41" s="64">
        <v>4</v>
      </c>
      <c r="HP41" s="64">
        <v>2</v>
      </c>
      <c r="HQ41" s="64">
        <v>0</v>
      </c>
      <c r="HR41" s="64">
        <v>4</v>
      </c>
      <c r="HS41" s="64">
        <v>2</v>
      </c>
      <c r="HT41" s="64">
        <v>4</v>
      </c>
      <c r="HV41" s="64" t="s">
        <v>380</v>
      </c>
      <c r="HW41" s="64">
        <v>0</v>
      </c>
      <c r="HX41" s="64">
        <v>2</v>
      </c>
      <c r="HY41" s="64">
        <v>4</v>
      </c>
      <c r="HZ41" s="64">
        <v>2</v>
      </c>
      <c r="IA41" s="64">
        <v>4</v>
      </c>
      <c r="IB41" s="64">
        <v>0</v>
      </c>
      <c r="IC41" s="64">
        <v>2</v>
      </c>
      <c r="ID41" s="64">
        <v>4</v>
      </c>
      <c r="IE41" s="64">
        <v>2</v>
      </c>
      <c r="IF41" s="64">
        <v>4</v>
      </c>
      <c r="IG41" s="64">
        <v>0</v>
      </c>
      <c r="IH41" s="64">
        <v>2</v>
      </c>
      <c r="II41" s="64">
        <v>4</v>
      </c>
      <c r="IJ41" s="64">
        <v>2</v>
      </c>
      <c r="IK41" s="64">
        <v>4</v>
      </c>
      <c r="IL41" s="64">
        <v>0</v>
      </c>
      <c r="IM41" s="64">
        <v>2</v>
      </c>
      <c r="IN41" s="64">
        <v>0</v>
      </c>
      <c r="IO41" s="64">
        <v>2</v>
      </c>
      <c r="IP41" s="64">
        <v>4</v>
      </c>
      <c r="IQ41" s="64">
        <v>0</v>
      </c>
      <c r="IS41" s="64" t="s">
        <v>380</v>
      </c>
      <c r="IT41" s="64">
        <f t="shared" si="42"/>
        <v>0</v>
      </c>
      <c r="IU41" s="64">
        <f t="shared" si="43"/>
        <v>4</v>
      </c>
      <c r="IV41" s="64">
        <f t="shared" si="44"/>
        <v>8</v>
      </c>
      <c r="IW41" s="64">
        <f t="shared" si="45"/>
        <v>4</v>
      </c>
      <c r="IX41" s="64">
        <f t="shared" si="46"/>
        <v>8</v>
      </c>
      <c r="IY41" s="64">
        <f t="shared" si="47"/>
        <v>0</v>
      </c>
      <c r="IZ41" s="64">
        <f t="shared" si="48"/>
        <v>4</v>
      </c>
      <c r="JA41" s="64">
        <f t="shared" si="49"/>
        <v>8</v>
      </c>
      <c r="JB41" s="64">
        <f t="shared" si="50"/>
        <v>4</v>
      </c>
      <c r="JC41" s="64">
        <f t="shared" si="51"/>
        <v>8</v>
      </c>
      <c r="JD41" s="64">
        <f t="shared" si="52"/>
        <v>0</v>
      </c>
      <c r="JE41" s="64">
        <f t="shared" si="53"/>
        <v>4</v>
      </c>
      <c r="JF41" s="64">
        <f t="shared" si="54"/>
        <v>8</v>
      </c>
      <c r="JG41" s="64">
        <f t="shared" si="55"/>
        <v>4</v>
      </c>
      <c r="JH41" s="64">
        <f t="shared" si="56"/>
        <v>8</v>
      </c>
      <c r="JI41" s="64">
        <f t="shared" si="57"/>
        <v>0</v>
      </c>
      <c r="JJ41" s="64">
        <f t="shared" si="58"/>
        <v>4</v>
      </c>
      <c r="JK41" s="64">
        <f t="shared" si="59"/>
        <v>0</v>
      </c>
      <c r="JL41" s="64">
        <f t="shared" si="60"/>
        <v>4</v>
      </c>
      <c r="JM41" s="64">
        <f t="shared" si="61"/>
        <v>8</v>
      </c>
      <c r="JN41" s="64">
        <f t="shared" si="62"/>
        <v>0</v>
      </c>
    </row>
    <row r="42" spans="1:295" x14ac:dyDescent="0.25">
      <c r="A42" s="8"/>
      <c r="B42" s="5" t="s">
        <v>61</v>
      </c>
      <c r="C42" s="8"/>
      <c r="D42" s="9"/>
      <c r="E42" s="9"/>
      <c r="F42" s="9"/>
      <c r="G42" s="9"/>
      <c r="H42" s="9"/>
      <c r="I42" s="9"/>
      <c r="J42" s="9"/>
      <c r="K42" s="9"/>
      <c r="L42" s="6" t="str">
        <f>IF(E30=$Z$2,"-------",IF(E30=$Z$3,"-------",IF(E30=$Z$4,"-------",IF(E30=$Z$5,"NKZM8E A2",0))))</f>
        <v>-------</v>
      </c>
      <c r="M42" s="11" t="str">
        <f>INDEX(cenník!$C$2:$I$568,MATCH($L42,cenník!$B$2:$B$557,0),MATCH(M$2,cenník!$C$1:$I$1,0))</f>
        <v>-------</v>
      </c>
      <c r="N42" s="11">
        <f>INDEX(cenník!$C$2:$I$568,MATCH($L42,cenník!$B$2:$B$557,0),MATCH(N$2,cenník!$C$1:$I$1,0))</f>
        <v>0</v>
      </c>
      <c r="O42" s="11">
        <f>IF(E30=$Z$2,0,IF(E30=$Z$3,0,IF(E30=$Z$4,0,IF(E30=$Z$5,ROUNDUP((O28*4)/100,0),0))))</f>
        <v>0</v>
      </c>
      <c r="P42" s="36">
        <f>INDEX(cenník!$C$2:$I$568,MATCH($L42,cenník!$B$2:$B$557,0),MATCH(P$2,cenník!$C$1:$I$1,0))</f>
        <v>0</v>
      </c>
      <c r="Q42" s="36">
        <f t="shared" si="83"/>
        <v>0</v>
      </c>
      <c r="R42" s="37">
        <f t="shared" si="75"/>
        <v>0</v>
      </c>
      <c r="S42" s="36">
        <f>P42*((100-$E$8)/100)</f>
        <v>0</v>
      </c>
      <c r="T42" s="36">
        <f t="shared" si="84"/>
        <v>0</v>
      </c>
      <c r="U42" s="36">
        <f>INDEX(cenník!$C$2:$I$568,MATCH($L42,cenník!$B$2:$B$557,0),MATCH(U$2,cenník!$C$1:$I$1,0))*O42</f>
        <v>0</v>
      </c>
      <c r="V42" s="72"/>
      <c r="W42" s="85">
        <f t="shared" si="85"/>
        <v>0</v>
      </c>
      <c r="X42" s="72">
        <f t="shared" si="86"/>
        <v>0</v>
      </c>
      <c r="Y42" s="72"/>
      <c r="Z42" s="72">
        <f>(INDEX(($EW$5:$GU$13,$EW$17:$GU$25,$EW$30:$GU$38,$EW$42:$GU$50),MATCH($L$58,$EV$5:$EV$13,0),MATCH(A50,$EW$4:$GU$4,0),MATCH($G$50,$X$26:$X$29,0)))*C50</f>
        <v>0</v>
      </c>
      <c r="AA42" s="72">
        <f>(INDEX(($EW$5:$GU$13,$EW$17:$GU$25,$EW$30:$GU$38,$EW$42:$GU$50),MATCH($L$50,$EV$5:$EV$13,0),MATCH(A50,$EW$4:$GU$4,0),MATCH($G$50,$X$26:$X$29,0)))*C50</f>
        <v>0</v>
      </c>
      <c r="AB42" s="72">
        <f>(INDEX(($EW$5:$GU$13,$EW$17:$GU$25,$EW$30:$GU$38,$EW$42:$GU$50),MATCH($L$51,$EV$5:$EV$13,0),MATCH(A50,$EW$4:$GU$4,0),MATCH($G$50,$X$26:$X$29,0)))*C50</f>
        <v>0</v>
      </c>
      <c r="AC42" s="72">
        <f>(INDEX(($EW$5:$GU$13,$EW$17:$GU$25,$EW$30:$GU$38,$EW$42:$GU$50),MATCH($L$52,$EV$5:$EV$13,0),MATCH(A50,$EW$4:$GU$4,0),MATCH($G$50,$X$26:$X$29,0)))*C50</f>
        <v>0</v>
      </c>
      <c r="AD42" s="72">
        <f>(INDEX(($EW$5:$GU$13,$EW$17:$GU$25,$EW$30:$GU$38,$EW$42:$GU$50),MATCH($L$53,$EV$5:$EV$13,0),MATCH(A50,$EW$4:$GU$4,0),MATCH($G$50,$X$26:$X$29,0)))*C50</f>
        <v>0</v>
      </c>
      <c r="AE42" s="72">
        <f>(INDEX(($EW$5:$GU$13,$EW$17:$GU$25,$EW$30:$GU$38,$EW$42:$GU$50),MATCH($L$54,$EV$5:$EV$13,0),MATCH(A50,$EW$4:$GU$4,0),MATCH($G$50,$X$26:$X$29,0)))*C50</f>
        <v>0</v>
      </c>
      <c r="AF42" s="72">
        <f>(INDEX(($EW$5:$GU$13,$EW$17:$GU$25,$EW$30:$GU$38,$EW$42:$GU$50),MATCH($L$55,$EV$5:$EV$13,0),MATCH(A50,$EW$4:$GU$4,0),MATCH($G$50,$X$26:$X$29,0)))*C50</f>
        <v>0</v>
      </c>
      <c r="AG42" s="72">
        <f>(INDEX(($EW$5:$GU$13,$EW$17:$GU$25,$EW$30:$GU$38,$EW$42:$GU$50),MATCH($L$56,$EV$5:$EV$13,0),MATCH(A50,$EW$4:$GU$4,0),MATCH($G$50,$X$26:$X$29,0)))*C50</f>
        <v>0</v>
      </c>
      <c r="AH42" s="72">
        <f>(INDEX(($EW$5:$GU$13,$EW$17:$GU$25,$EW$30:$GU$38,$EW$42:$GU$50),MATCH($L$57,$EV$5:$EV$13,0),MATCH(A50,$EW$4:$GU$4,0),MATCH($G$50,$X$26:$X$29,0)))*C50</f>
        <v>0</v>
      </c>
      <c r="AI42" s="72"/>
      <c r="AJ42" s="72">
        <f t="shared" si="79"/>
        <v>0</v>
      </c>
      <c r="AK42" s="72">
        <f t="shared" si="80"/>
        <v>0</v>
      </c>
      <c r="AL42" s="72" t="s">
        <v>64</v>
      </c>
      <c r="AM42" s="72">
        <v>0</v>
      </c>
      <c r="AN42" s="72">
        <v>0</v>
      </c>
      <c r="AO42" s="72">
        <v>0</v>
      </c>
      <c r="AP42" s="72">
        <v>0</v>
      </c>
      <c r="AQ42" s="72">
        <v>0</v>
      </c>
      <c r="AR42" s="72">
        <v>2</v>
      </c>
      <c r="AS42" s="72">
        <v>0</v>
      </c>
      <c r="AT42" s="72">
        <v>0</v>
      </c>
      <c r="AU42" s="72">
        <v>0</v>
      </c>
      <c r="AV42" s="72">
        <v>0</v>
      </c>
      <c r="AW42" s="72">
        <v>0</v>
      </c>
      <c r="AX42" s="72">
        <v>0</v>
      </c>
      <c r="AY42" s="72">
        <v>0</v>
      </c>
      <c r="AZ42" s="72">
        <v>0</v>
      </c>
      <c r="BA42" s="72">
        <v>2</v>
      </c>
      <c r="BB42" s="72">
        <v>0</v>
      </c>
      <c r="BC42" s="72">
        <v>4</v>
      </c>
      <c r="BD42" s="72">
        <v>2</v>
      </c>
      <c r="BE42" s="72">
        <v>2</v>
      </c>
      <c r="BF42" s="72">
        <v>0</v>
      </c>
      <c r="BG42" s="72">
        <v>2</v>
      </c>
      <c r="BH42" s="72">
        <v>0</v>
      </c>
      <c r="BI42" s="72">
        <v>4</v>
      </c>
      <c r="BJ42" s="72">
        <v>0</v>
      </c>
      <c r="BK42" s="72">
        <v>0</v>
      </c>
      <c r="BL42" s="72">
        <v>0</v>
      </c>
      <c r="BM42" s="72">
        <v>2</v>
      </c>
      <c r="BN42" s="72">
        <v>0</v>
      </c>
      <c r="BO42" s="72">
        <v>0</v>
      </c>
      <c r="BP42" s="72">
        <v>0</v>
      </c>
      <c r="BQ42" s="72">
        <v>2</v>
      </c>
      <c r="BR42" s="72">
        <v>0</v>
      </c>
      <c r="BS42" s="72">
        <v>0</v>
      </c>
      <c r="BT42" s="72">
        <v>0</v>
      </c>
      <c r="BU42" s="72">
        <v>2</v>
      </c>
      <c r="BV42" s="72">
        <v>0</v>
      </c>
      <c r="BW42" s="72">
        <v>0</v>
      </c>
      <c r="BX42" s="72">
        <v>0</v>
      </c>
      <c r="BY42" s="72">
        <v>2</v>
      </c>
      <c r="BZ42" s="72">
        <v>0</v>
      </c>
      <c r="CA42" s="72">
        <v>0</v>
      </c>
      <c r="CB42" s="72">
        <v>0</v>
      </c>
      <c r="CC42" s="72">
        <v>0</v>
      </c>
      <c r="CD42" s="72">
        <v>0</v>
      </c>
      <c r="CE42" s="72">
        <v>0</v>
      </c>
      <c r="CF42" s="72">
        <v>0</v>
      </c>
      <c r="CG42" s="72">
        <v>2</v>
      </c>
      <c r="CH42" s="72">
        <v>0</v>
      </c>
      <c r="CI42" s="72">
        <v>0</v>
      </c>
      <c r="CJ42" s="72">
        <v>0</v>
      </c>
      <c r="CK42" s="72">
        <v>2</v>
      </c>
      <c r="CL42" s="72"/>
      <c r="CM42" s="88" t="s">
        <v>96</v>
      </c>
      <c r="CN42" s="72">
        <v>0</v>
      </c>
      <c r="CO42" s="72">
        <v>1</v>
      </c>
      <c r="CP42" s="72">
        <v>1</v>
      </c>
      <c r="CQ42" s="72">
        <v>1</v>
      </c>
      <c r="CR42" s="72">
        <v>2</v>
      </c>
      <c r="CS42" s="72">
        <v>2</v>
      </c>
      <c r="CT42" s="72">
        <v>2</v>
      </c>
      <c r="CU42" s="72">
        <v>3</v>
      </c>
      <c r="CV42" s="72">
        <v>3</v>
      </c>
      <c r="CW42" s="72">
        <v>3</v>
      </c>
      <c r="CX42" s="72">
        <v>4</v>
      </c>
      <c r="CY42" s="72">
        <v>4</v>
      </c>
      <c r="CZ42" s="72">
        <v>4</v>
      </c>
      <c r="DA42" s="72">
        <v>5</v>
      </c>
      <c r="DB42" s="72">
        <v>5</v>
      </c>
      <c r="DC42" s="72">
        <v>5</v>
      </c>
      <c r="DD42" s="72">
        <v>6</v>
      </c>
      <c r="DE42" s="72">
        <v>6</v>
      </c>
      <c r="DF42" s="72">
        <v>6</v>
      </c>
      <c r="DG42" s="72">
        <v>7</v>
      </c>
      <c r="DH42" s="72">
        <v>7</v>
      </c>
      <c r="DI42" s="72">
        <v>7</v>
      </c>
      <c r="DJ42" s="72">
        <v>8</v>
      </c>
      <c r="DK42" s="72">
        <v>8</v>
      </c>
      <c r="DL42" s="72">
        <v>8</v>
      </c>
      <c r="DM42" s="72">
        <v>9</v>
      </c>
      <c r="DN42" s="72">
        <v>9</v>
      </c>
      <c r="DO42" s="72">
        <v>9</v>
      </c>
      <c r="DP42" s="72">
        <v>10</v>
      </c>
      <c r="DQ42" s="72">
        <v>10</v>
      </c>
      <c r="DR42" s="72">
        <v>10</v>
      </c>
      <c r="DS42" s="72">
        <v>11</v>
      </c>
      <c r="DT42" s="72">
        <v>11</v>
      </c>
      <c r="DU42" s="72">
        <v>11</v>
      </c>
      <c r="DV42" s="72">
        <v>12</v>
      </c>
      <c r="DW42" s="72">
        <v>12</v>
      </c>
      <c r="DX42" s="72">
        <v>12</v>
      </c>
      <c r="DY42" s="72"/>
      <c r="DZ42" s="81">
        <v>41</v>
      </c>
      <c r="EA42" s="81"/>
      <c r="EB42" s="81">
        <v>3</v>
      </c>
      <c r="EC42" s="72"/>
      <c r="ED42" s="72"/>
      <c r="EE42" s="72"/>
      <c r="EF42" s="72"/>
      <c r="EG42" s="72"/>
      <c r="EH42" s="72"/>
      <c r="EI42" s="72"/>
      <c r="EJ42" s="72"/>
      <c r="EK42" s="72"/>
      <c r="EL42" s="72"/>
      <c r="EM42" s="72"/>
      <c r="EN42" s="72"/>
      <c r="EO42" s="72"/>
      <c r="EP42" s="72"/>
      <c r="EQ42" s="72"/>
      <c r="ER42" s="72"/>
      <c r="ES42" s="72"/>
      <c r="ET42" s="72"/>
      <c r="EU42" s="72"/>
      <c r="EV42" s="72" t="s">
        <v>99</v>
      </c>
      <c r="EW42" s="72">
        <v>0</v>
      </c>
      <c r="EX42" s="72">
        <v>0</v>
      </c>
      <c r="EY42" s="72">
        <v>0</v>
      </c>
      <c r="EZ42" s="72">
        <v>0</v>
      </c>
      <c r="FA42" s="72">
        <v>0</v>
      </c>
      <c r="FB42" s="72">
        <v>0</v>
      </c>
      <c r="FC42" s="72">
        <v>0</v>
      </c>
      <c r="FD42" s="72">
        <v>2</v>
      </c>
      <c r="FE42" s="72">
        <v>0</v>
      </c>
      <c r="FF42" s="72">
        <v>0</v>
      </c>
      <c r="FG42" s="72">
        <v>2</v>
      </c>
      <c r="FH42" s="72">
        <v>0</v>
      </c>
      <c r="FI42" s="72">
        <v>0</v>
      </c>
      <c r="FJ42" s="72">
        <v>2</v>
      </c>
      <c r="FK42" s="72">
        <v>0</v>
      </c>
      <c r="FL42" s="72">
        <v>0</v>
      </c>
      <c r="FM42" s="72">
        <v>0</v>
      </c>
      <c r="FN42" s="72">
        <v>0</v>
      </c>
      <c r="FO42" s="72">
        <v>0</v>
      </c>
      <c r="FP42" s="72">
        <v>0</v>
      </c>
      <c r="FQ42" s="72">
        <v>0</v>
      </c>
      <c r="FR42" s="72">
        <v>0</v>
      </c>
      <c r="FS42" s="72">
        <v>0</v>
      </c>
      <c r="FT42" s="72">
        <v>0</v>
      </c>
      <c r="FU42" s="72">
        <v>0</v>
      </c>
      <c r="FV42" s="72">
        <v>0</v>
      </c>
      <c r="FW42" s="72">
        <v>0</v>
      </c>
      <c r="FX42" s="72">
        <v>0</v>
      </c>
      <c r="FY42" s="72">
        <v>0</v>
      </c>
      <c r="FZ42" s="72">
        <v>0</v>
      </c>
      <c r="GA42" s="72">
        <v>0</v>
      </c>
      <c r="GB42" s="72">
        <v>0</v>
      </c>
      <c r="GC42" s="72">
        <v>0</v>
      </c>
      <c r="GD42" s="72">
        <v>0</v>
      </c>
      <c r="GE42" s="72">
        <v>0</v>
      </c>
      <c r="GF42" s="72">
        <v>0</v>
      </c>
      <c r="GG42" s="72">
        <v>0</v>
      </c>
      <c r="GH42" s="72">
        <v>0</v>
      </c>
      <c r="GI42" s="72">
        <v>0</v>
      </c>
      <c r="GJ42" s="72">
        <v>0</v>
      </c>
      <c r="GK42" s="72">
        <v>0</v>
      </c>
      <c r="GL42" s="72">
        <v>0</v>
      </c>
      <c r="GM42" s="72">
        <v>0</v>
      </c>
      <c r="GN42" s="72">
        <v>0</v>
      </c>
      <c r="GO42" s="72">
        <v>0</v>
      </c>
      <c r="GP42" s="72">
        <v>0</v>
      </c>
      <c r="GQ42" s="72">
        <v>0</v>
      </c>
      <c r="GR42" s="72">
        <v>0</v>
      </c>
      <c r="GS42" s="72">
        <v>0</v>
      </c>
      <c r="GT42" s="72">
        <v>0</v>
      </c>
      <c r="GU42" s="72">
        <v>0</v>
      </c>
      <c r="GV42" s="72"/>
      <c r="GW42" s="72"/>
      <c r="GX42" s="72"/>
      <c r="GY42" s="64" t="s">
        <v>327</v>
      </c>
      <c r="GZ42" s="64">
        <v>0</v>
      </c>
      <c r="HA42" s="64">
        <v>0</v>
      </c>
      <c r="HB42" s="64">
        <v>2</v>
      </c>
      <c r="HC42" s="64">
        <v>0</v>
      </c>
      <c r="HD42" s="64">
        <v>2</v>
      </c>
      <c r="HE42" s="64">
        <v>2</v>
      </c>
      <c r="HF42" s="64">
        <v>4</v>
      </c>
      <c r="HG42" s="64">
        <v>6</v>
      </c>
      <c r="HH42" s="64">
        <v>4</v>
      </c>
      <c r="HI42" s="64">
        <v>6</v>
      </c>
      <c r="HJ42" s="64">
        <v>6</v>
      </c>
      <c r="HK42" s="64">
        <v>8</v>
      </c>
      <c r="HL42" s="64">
        <v>10</v>
      </c>
      <c r="HM42" s="64">
        <v>8</v>
      </c>
      <c r="HN42" s="64">
        <v>10</v>
      </c>
      <c r="HO42" s="64">
        <v>10</v>
      </c>
      <c r="HP42" s="64">
        <v>12</v>
      </c>
      <c r="HQ42" s="64">
        <v>14</v>
      </c>
      <c r="HR42" s="64">
        <v>12</v>
      </c>
      <c r="HS42" s="64">
        <v>14</v>
      </c>
      <c r="HT42" s="64">
        <v>14</v>
      </c>
      <c r="HV42" s="64" t="s">
        <v>379</v>
      </c>
      <c r="HW42" s="64">
        <v>0</v>
      </c>
      <c r="HX42" s="64">
        <v>0</v>
      </c>
      <c r="HY42" s="64">
        <v>0</v>
      </c>
      <c r="HZ42" s="64">
        <v>2</v>
      </c>
      <c r="IA42" s="64">
        <v>2</v>
      </c>
      <c r="IB42" s="64">
        <v>6</v>
      </c>
      <c r="IC42" s="64">
        <v>6</v>
      </c>
      <c r="ID42" s="64">
        <v>6</v>
      </c>
      <c r="IE42" s="64">
        <v>8</v>
      </c>
      <c r="IF42" s="64">
        <v>8</v>
      </c>
      <c r="IG42" s="64">
        <v>12</v>
      </c>
      <c r="IH42" s="64">
        <v>12</v>
      </c>
      <c r="II42" s="64">
        <v>12</v>
      </c>
      <c r="IJ42" s="64">
        <v>14</v>
      </c>
      <c r="IK42" s="64">
        <v>14</v>
      </c>
      <c r="IL42" s="64">
        <v>18</v>
      </c>
      <c r="IM42" s="64">
        <v>18</v>
      </c>
      <c r="IN42" s="64">
        <v>20</v>
      </c>
      <c r="IO42" s="64">
        <v>20</v>
      </c>
      <c r="IP42" s="64">
        <v>20</v>
      </c>
      <c r="IQ42" s="64">
        <v>24</v>
      </c>
      <c r="IS42" s="64" t="s">
        <v>379</v>
      </c>
      <c r="IT42" s="64">
        <f t="shared" si="42"/>
        <v>0</v>
      </c>
      <c r="IU42" s="64">
        <f t="shared" si="43"/>
        <v>0</v>
      </c>
      <c r="IV42" s="64">
        <f t="shared" si="44"/>
        <v>0</v>
      </c>
      <c r="IW42" s="64">
        <f t="shared" si="45"/>
        <v>4</v>
      </c>
      <c r="IX42" s="64">
        <f t="shared" si="46"/>
        <v>4</v>
      </c>
      <c r="IY42" s="64">
        <f t="shared" si="47"/>
        <v>12</v>
      </c>
      <c r="IZ42" s="64">
        <f t="shared" si="48"/>
        <v>12</v>
      </c>
      <c r="JA42" s="64">
        <f t="shared" si="49"/>
        <v>12</v>
      </c>
      <c r="JB42" s="64">
        <f t="shared" si="50"/>
        <v>16</v>
      </c>
      <c r="JC42" s="64">
        <f t="shared" si="51"/>
        <v>16</v>
      </c>
      <c r="JD42" s="64">
        <f t="shared" si="52"/>
        <v>24</v>
      </c>
      <c r="JE42" s="64">
        <f t="shared" si="53"/>
        <v>24</v>
      </c>
      <c r="JF42" s="64">
        <f t="shared" si="54"/>
        <v>24</v>
      </c>
      <c r="JG42" s="64">
        <f t="shared" si="55"/>
        <v>28</v>
      </c>
      <c r="JH42" s="64">
        <f t="shared" si="56"/>
        <v>28</v>
      </c>
      <c r="JI42" s="64">
        <f t="shared" si="57"/>
        <v>36</v>
      </c>
      <c r="JJ42" s="64">
        <f t="shared" si="58"/>
        <v>36</v>
      </c>
      <c r="JK42" s="64">
        <f t="shared" si="59"/>
        <v>40</v>
      </c>
      <c r="JL42" s="64">
        <f t="shared" si="60"/>
        <v>40</v>
      </c>
      <c r="JM42" s="64">
        <f t="shared" si="61"/>
        <v>40</v>
      </c>
      <c r="JN42" s="64">
        <f t="shared" si="62"/>
        <v>48</v>
      </c>
      <c r="JQ42" s="88"/>
    </row>
    <row r="43" spans="1:295" x14ac:dyDescent="0.25">
      <c r="A43" s="8"/>
      <c r="B43" s="5"/>
      <c r="C43" s="8"/>
      <c r="D43" s="9"/>
      <c r="E43" s="9"/>
      <c r="F43" s="9"/>
      <c r="G43" s="9"/>
      <c r="H43" s="9"/>
      <c r="I43" s="9"/>
      <c r="J43" s="9"/>
      <c r="K43" s="9"/>
      <c r="L43" s="6" t="str">
        <f>IF(E30=$Z$2,"PC50P",IF(E30=$Z$3,"PC50P",IF(E30=$Z$4,"PC50P",IF(E30=$Z$5,"-------",0))))</f>
        <v>PC50P</v>
      </c>
      <c r="M43" s="11">
        <f>INDEX(cenník!$C$2:$I$568,MATCH($L43,cenník!$B$2:$B$557,0),MATCH(M$2,cenník!$C$1:$I$1,0))</f>
        <v>858434</v>
      </c>
      <c r="N43" s="11" t="str">
        <f>INDEX(cenník!$C$2:$I$568,MATCH($L43,cenník!$B$2:$B$557,0),MATCH(N$2,cenník!$C$1:$I$1,0))</f>
        <v>ks</v>
      </c>
      <c r="O43" s="11">
        <f>IF(E30=$Z$2,O28*3,IF(E30=$Z$3,O28*3,IF(E30=$Z$4,O28*3,IF(E30=$Z$5,0,0))))</f>
        <v>0</v>
      </c>
      <c r="P43" s="36">
        <f>INDEX(cenník!$C$2:$I$568,MATCH($L43,cenník!$B$2:$B$557,0),MATCH(P$2,cenník!$C$1:$I$1,0))</f>
        <v>1.79</v>
      </c>
      <c r="Q43" s="36">
        <f t="shared" si="83"/>
        <v>0</v>
      </c>
      <c r="R43" s="37">
        <f t="shared" si="75"/>
        <v>0</v>
      </c>
      <c r="S43" s="36">
        <f>P43*((100-$E$8)/100)</f>
        <v>1.79</v>
      </c>
      <c r="T43" s="36">
        <f t="shared" si="84"/>
        <v>0</v>
      </c>
      <c r="U43" s="36">
        <f>INDEX(cenník!$C$2:$I$568,MATCH($L43,cenník!$B$2:$B$557,0),MATCH(U$2,cenník!$C$1:$I$1,0))*O43</f>
        <v>0</v>
      </c>
      <c r="V43" s="72"/>
      <c r="W43" s="85">
        <f t="shared" si="85"/>
        <v>0</v>
      </c>
      <c r="X43" s="72">
        <f t="shared" si="86"/>
        <v>0</v>
      </c>
      <c r="Y43" s="72"/>
      <c r="Z43" s="72">
        <f>(INDEX(($EW$5:$GU$13,$EW$17:$GU$25,$EW$30:$GU$38,$EW$42:$GU$50),MATCH($L$58,$EV$5:$EV$13,0),MATCH(A51,$EW$4:$GU$4,0),MATCH($G$50,$X$26:$X$29,0)))*C51</f>
        <v>0</v>
      </c>
      <c r="AA43" s="72">
        <f>(INDEX(($EW$5:$GU$13,$EW$17:$GU$25,$EW$30:$GU$38,$EW$42:$GU$50),MATCH($L$50,$EV$5:$EV$13,0),MATCH(A51,$EW$4:$GU$4,0),MATCH($G$50,$X$26:$X$29,0)))*C51</f>
        <v>0</v>
      </c>
      <c r="AB43" s="72">
        <f>(INDEX(($EW$5:$GU$13,$EW$17:$GU$25,$EW$30:$GU$38,$EW$42:$GU$50),MATCH($L$51,$EV$5:$EV$13,0),MATCH(A51,$EW$4:$GU$4,0),MATCH($G$50,$X$26:$X$29,0)))*C51</f>
        <v>0</v>
      </c>
      <c r="AC43" s="72">
        <f>(INDEX(($EW$5:$GU$13,$EW$17:$GU$25,$EW$30:$GU$38,$EW$42:$GU$50),MATCH($L$52,$EV$5:$EV$13,0),MATCH(A51,$EW$4:$GU$4,0),MATCH($G$50,$X$26:$X$29,0)))*C51</f>
        <v>0</v>
      </c>
      <c r="AD43" s="72">
        <f>(INDEX(($EW$5:$GU$13,$EW$17:$GU$25,$EW$30:$GU$38,$EW$42:$GU$50),MATCH($L$53,$EV$5:$EV$13,0),MATCH(A51,$EW$4:$GU$4,0),MATCH($G$50,$X$26:$X$29,0)))*C51</f>
        <v>0</v>
      </c>
      <c r="AE43" s="72">
        <f>(INDEX(($EW$5:$GU$13,$EW$17:$GU$25,$EW$30:$GU$38,$EW$42:$GU$50),MATCH($L$54,$EV$5:$EV$13,0),MATCH(A51,$EW$4:$GU$4,0),MATCH($G$50,$X$26:$X$29,0)))*C51</f>
        <v>0</v>
      </c>
      <c r="AF43" s="72">
        <f>(INDEX(($EW$5:$GU$13,$EW$17:$GU$25,$EW$30:$GU$38,$EW$42:$GU$50),MATCH($L$55,$EV$5:$EV$13,0),MATCH(A51,$EW$4:$GU$4,0),MATCH($G$50,$X$26:$X$29,0)))*C51</f>
        <v>0</v>
      </c>
      <c r="AG43" s="72">
        <f>(INDEX(($EW$5:$GU$13,$EW$17:$GU$25,$EW$30:$GU$38,$EW$42:$GU$50),MATCH($L$56,$EV$5:$EV$13,0),MATCH(A51,$EW$4:$GU$4,0),MATCH($G$50,$X$26:$X$29,0)))*C51</f>
        <v>0</v>
      </c>
      <c r="AH43" s="72">
        <f>(INDEX(($EW$5:$GU$13,$EW$17:$GU$25,$EW$30:$GU$38,$EW$42:$GU$50),MATCH($L$57,$EV$5:$EV$13,0),MATCH(A51,$EW$4:$GU$4,0),MATCH($G$50,$X$26:$X$29,0)))*C51</f>
        <v>0</v>
      </c>
      <c r="AI43" s="72"/>
      <c r="AJ43" s="72">
        <f>IF(A16&lt;=1,0,IF(A16&gt;1,A16-1,0))</f>
        <v>0</v>
      </c>
      <c r="AK43" s="72">
        <f t="shared" si="80"/>
        <v>0</v>
      </c>
      <c r="AL43" s="72" t="s">
        <v>14</v>
      </c>
      <c r="AM43" s="72">
        <v>0</v>
      </c>
      <c r="AN43" s="72">
        <v>0</v>
      </c>
      <c r="AO43" s="72">
        <v>0</v>
      </c>
      <c r="AP43" s="72">
        <v>2</v>
      </c>
      <c r="AQ43" s="72">
        <v>2</v>
      </c>
      <c r="AR43" s="72">
        <v>4</v>
      </c>
      <c r="AS43" s="72">
        <v>4</v>
      </c>
      <c r="AT43" s="72">
        <v>2</v>
      </c>
      <c r="AU43" s="72">
        <v>6</v>
      </c>
      <c r="AV43" s="72">
        <v>2</v>
      </c>
      <c r="AW43" s="72">
        <v>10</v>
      </c>
      <c r="AX43" s="72">
        <v>0</v>
      </c>
      <c r="AY43" s="72">
        <v>8</v>
      </c>
      <c r="AZ43" s="72">
        <v>0</v>
      </c>
      <c r="BA43" s="72">
        <v>6</v>
      </c>
      <c r="BB43" s="72">
        <v>14</v>
      </c>
      <c r="BC43" s="72">
        <v>6</v>
      </c>
      <c r="BD43" s="72">
        <v>2</v>
      </c>
      <c r="BE43" s="72">
        <v>4</v>
      </c>
      <c r="BF43" s="72">
        <v>12</v>
      </c>
      <c r="BG43" s="72">
        <v>20</v>
      </c>
      <c r="BH43" s="72">
        <v>12</v>
      </c>
      <c r="BI43" s="72">
        <v>8</v>
      </c>
      <c r="BJ43" s="72">
        <v>10</v>
      </c>
      <c r="BK43" s="72">
        <v>16</v>
      </c>
      <c r="BL43" s="72">
        <v>10</v>
      </c>
      <c r="BM43" s="72">
        <v>16</v>
      </c>
      <c r="BN43" s="72">
        <v>8</v>
      </c>
      <c r="BO43" s="72">
        <v>30</v>
      </c>
      <c r="BP43" s="72">
        <v>8</v>
      </c>
      <c r="BQ43" s="72">
        <v>14</v>
      </c>
      <c r="BR43" s="72">
        <v>6</v>
      </c>
      <c r="BS43" s="72">
        <v>6</v>
      </c>
      <c r="BT43" s="72">
        <v>6</v>
      </c>
      <c r="BU43" s="72">
        <v>12</v>
      </c>
      <c r="BV43" s="72">
        <v>4</v>
      </c>
      <c r="BW43" s="72">
        <v>26</v>
      </c>
      <c r="BX43" s="72">
        <v>4</v>
      </c>
      <c r="BY43" s="72">
        <v>10</v>
      </c>
      <c r="BZ43" s="72">
        <v>2</v>
      </c>
      <c r="CA43" s="72">
        <v>24</v>
      </c>
      <c r="CB43" s="72">
        <v>2</v>
      </c>
      <c r="CC43" s="72">
        <v>0</v>
      </c>
      <c r="CD43" s="72">
        <v>0</v>
      </c>
      <c r="CE43" s="72">
        <v>22</v>
      </c>
      <c r="CF43" s="72">
        <v>0</v>
      </c>
      <c r="CG43" s="72">
        <v>6</v>
      </c>
      <c r="CH43" s="72">
        <v>0</v>
      </c>
      <c r="CI43" s="72">
        <v>20</v>
      </c>
      <c r="CJ43" s="72">
        <v>0</v>
      </c>
      <c r="CK43" s="72">
        <v>4</v>
      </c>
      <c r="CL43" s="72"/>
      <c r="CM43" s="72"/>
      <c r="CN43" s="72"/>
      <c r="CO43" s="72"/>
      <c r="CP43" s="72"/>
      <c r="CQ43" s="72"/>
      <c r="CR43" s="72"/>
      <c r="CS43" s="72"/>
      <c r="CT43" s="72"/>
      <c r="CU43" s="72"/>
      <c r="CV43" s="72"/>
      <c r="CW43" s="72"/>
      <c r="CX43" s="72"/>
      <c r="CY43" s="72"/>
      <c r="CZ43" s="72"/>
      <c r="DA43" s="72"/>
      <c r="DB43" s="72"/>
      <c r="DC43" s="72"/>
      <c r="DD43" s="72"/>
      <c r="DE43" s="72"/>
      <c r="DF43" s="72"/>
      <c r="DG43" s="72"/>
      <c r="DH43" s="72"/>
      <c r="DI43" s="72"/>
      <c r="DJ43" s="72"/>
      <c r="DK43" s="72"/>
      <c r="DL43" s="72"/>
      <c r="DM43" s="72"/>
      <c r="DN43" s="72"/>
      <c r="DO43" s="72"/>
      <c r="DP43" s="72"/>
      <c r="DQ43" s="72"/>
      <c r="DR43" s="72"/>
      <c r="DS43" s="72"/>
      <c r="DT43" s="72"/>
      <c r="DU43" s="72"/>
      <c r="DV43" s="72"/>
      <c r="DW43" s="72"/>
      <c r="DX43" s="72"/>
      <c r="DY43" s="72"/>
      <c r="DZ43" s="81">
        <v>42</v>
      </c>
      <c r="EA43" s="81"/>
      <c r="EB43" s="81">
        <v>4</v>
      </c>
      <c r="EC43" s="72"/>
      <c r="ED43" s="72"/>
      <c r="EE43" s="72"/>
      <c r="EF43" s="72"/>
      <c r="EG43" s="72"/>
      <c r="EH43" s="72"/>
      <c r="EI43" s="72"/>
      <c r="EJ43" s="72"/>
      <c r="EK43" s="72"/>
      <c r="EL43" s="72"/>
      <c r="EM43" s="72"/>
      <c r="EN43" s="72"/>
      <c r="EO43" s="72"/>
      <c r="EP43" s="72"/>
      <c r="EQ43" s="72"/>
      <c r="ER43" s="72"/>
      <c r="ES43" s="72"/>
      <c r="ET43" s="72"/>
      <c r="EU43" s="72"/>
      <c r="EV43" s="72" t="s">
        <v>8</v>
      </c>
      <c r="EW43" s="72">
        <v>0</v>
      </c>
      <c r="EX43" s="72">
        <v>0</v>
      </c>
      <c r="EY43" s="72">
        <v>4</v>
      </c>
      <c r="EZ43" s="72">
        <v>0</v>
      </c>
      <c r="FA43" s="72">
        <v>2</v>
      </c>
      <c r="FB43" s="72">
        <v>0</v>
      </c>
      <c r="FC43" s="72">
        <v>0</v>
      </c>
      <c r="FD43" s="72">
        <v>0</v>
      </c>
      <c r="FE43" s="72">
        <v>0</v>
      </c>
      <c r="FF43" s="72">
        <v>0</v>
      </c>
      <c r="FG43" s="72">
        <v>0</v>
      </c>
      <c r="FH43" s="72">
        <v>0</v>
      </c>
      <c r="FI43" s="72">
        <v>0</v>
      </c>
      <c r="FJ43" s="72">
        <v>0</v>
      </c>
      <c r="FK43" s="72">
        <v>0</v>
      </c>
      <c r="FL43" s="72">
        <v>0</v>
      </c>
      <c r="FM43" s="72">
        <v>0</v>
      </c>
      <c r="FN43" s="72">
        <v>0</v>
      </c>
      <c r="FO43" s="72">
        <v>0</v>
      </c>
      <c r="FP43" s="72">
        <v>0</v>
      </c>
      <c r="FQ43" s="72">
        <v>0</v>
      </c>
      <c r="FR43" s="72">
        <v>0</v>
      </c>
      <c r="FS43" s="72">
        <v>0</v>
      </c>
      <c r="FT43" s="72">
        <v>0</v>
      </c>
      <c r="FU43" s="72">
        <v>0</v>
      </c>
      <c r="FV43" s="72">
        <v>0</v>
      </c>
      <c r="FW43" s="72">
        <v>0</v>
      </c>
      <c r="FX43" s="72">
        <v>0</v>
      </c>
      <c r="FY43" s="72">
        <v>0</v>
      </c>
      <c r="FZ43" s="72">
        <v>0</v>
      </c>
      <c r="GA43" s="72">
        <v>0</v>
      </c>
      <c r="GB43" s="72">
        <v>0</v>
      </c>
      <c r="GC43" s="72">
        <v>0</v>
      </c>
      <c r="GD43" s="72">
        <v>0</v>
      </c>
      <c r="GE43" s="72">
        <v>0</v>
      </c>
      <c r="GF43" s="72">
        <v>0</v>
      </c>
      <c r="GG43" s="72">
        <v>0</v>
      </c>
      <c r="GH43" s="72">
        <v>0</v>
      </c>
      <c r="GI43" s="72">
        <v>0</v>
      </c>
      <c r="GJ43" s="72">
        <v>0</v>
      </c>
      <c r="GK43" s="72">
        <v>0</v>
      </c>
      <c r="GL43" s="72">
        <v>0</v>
      </c>
      <c r="GM43" s="72">
        <v>0</v>
      </c>
      <c r="GN43" s="72">
        <v>0</v>
      </c>
      <c r="GO43" s="72">
        <v>0</v>
      </c>
      <c r="GP43" s="72">
        <v>0</v>
      </c>
      <c r="GQ43" s="72">
        <v>0</v>
      </c>
      <c r="GR43" s="72">
        <v>0</v>
      </c>
      <c r="GS43" s="72">
        <v>0</v>
      </c>
      <c r="GT43" s="72">
        <v>0</v>
      </c>
      <c r="GU43" s="72">
        <v>0</v>
      </c>
      <c r="GV43" s="72"/>
      <c r="GW43" s="72"/>
      <c r="GX43" s="72"/>
      <c r="GY43" s="64" t="s">
        <v>328</v>
      </c>
      <c r="GZ43" s="64">
        <v>0</v>
      </c>
      <c r="HA43" s="64">
        <v>0</v>
      </c>
      <c r="HB43" s="64">
        <v>0</v>
      </c>
      <c r="HC43" s="64">
        <v>2</v>
      </c>
      <c r="HD43" s="64">
        <v>2</v>
      </c>
      <c r="HE43" s="64">
        <v>4</v>
      </c>
      <c r="HF43" s="64">
        <v>4</v>
      </c>
      <c r="HG43" s="64">
        <v>4</v>
      </c>
      <c r="HH43" s="64">
        <v>6</v>
      </c>
      <c r="HI43" s="64">
        <v>6</v>
      </c>
      <c r="HJ43" s="64">
        <v>8</v>
      </c>
      <c r="HK43" s="64">
        <v>8</v>
      </c>
      <c r="HL43" s="64">
        <v>8</v>
      </c>
      <c r="HM43" s="64">
        <v>10</v>
      </c>
      <c r="HN43" s="64">
        <v>10</v>
      </c>
      <c r="HO43" s="64">
        <v>12</v>
      </c>
      <c r="HP43" s="64">
        <v>12</v>
      </c>
      <c r="HQ43" s="64">
        <v>12</v>
      </c>
      <c r="HR43" s="64">
        <v>14</v>
      </c>
      <c r="HS43" s="64">
        <v>14</v>
      </c>
      <c r="HT43" s="64">
        <v>16</v>
      </c>
      <c r="HV43" s="64" t="s">
        <v>406</v>
      </c>
      <c r="HW43" s="64">
        <v>0</v>
      </c>
      <c r="HX43" s="64">
        <v>0</v>
      </c>
      <c r="HY43" s="64">
        <v>2</v>
      </c>
      <c r="HZ43" s="64">
        <v>2</v>
      </c>
      <c r="IA43" s="64">
        <v>4</v>
      </c>
      <c r="IB43" s="64">
        <v>4</v>
      </c>
      <c r="IC43" s="64">
        <v>6</v>
      </c>
      <c r="ID43" s="64">
        <v>8</v>
      </c>
      <c r="IE43" s="64">
        <v>8</v>
      </c>
      <c r="IF43" s="64">
        <v>10</v>
      </c>
      <c r="IG43" s="64">
        <v>10</v>
      </c>
      <c r="IH43" s="64">
        <v>12</v>
      </c>
      <c r="II43" s="64">
        <v>14</v>
      </c>
      <c r="IJ43" s="64">
        <v>14</v>
      </c>
      <c r="IK43" s="64">
        <v>16</v>
      </c>
      <c r="IL43" s="64">
        <v>16</v>
      </c>
      <c r="IM43" s="64">
        <v>18</v>
      </c>
      <c r="IN43" s="64">
        <v>18</v>
      </c>
      <c r="IO43" s="64">
        <v>20</v>
      </c>
      <c r="IP43" s="64">
        <v>22</v>
      </c>
      <c r="IQ43" s="64">
        <v>22</v>
      </c>
      <c r="IS43" s="64" t="s">
        <v>406</v>
      </c>
      <c r="IT43" s="64">
        <f t="shared" si="42"/>
        <v>0</v>
      </c>
      <c r="IU43" s="64">
        <f t="shared" si="43"/>
        <v>0</v>
      </c>
      <c r="IV43" s="64">
        <f t="shared" si="44"/>
        <v>4</v>
      </c>
      <c r="IW43" s="64">
        <f t="shared" si="45"/>
        <v>4</v>
      </c>
      <c r="IX43" s="64">
        <f t="shared" si="46"/>
        <v>8</v>
      </c>
      <c r="IY43" s="64">
        <f t="shared" si="47"/>
        <v>8</v>
      </c>
      <c r="IZ43" s="64">
        <f t="shared" si="48"/>
        <v>12</v>
      </c>
      <c r="JA43" s="64">
        <f t="shared" si="49"/>
        <v>16</v>
      </c>
      <c r="JB43" s="64">
        <f t="shared" si="50"/>
        <v>16</v>
      </c>
      <c r="JC43" s="64">
        <f t="shared" si="51"/>
        <v>20</v>
      </c>
      <c r="JD43" s="64">
        <f t="shared" si="52"/>
        <v>20</v>
      </c>
      <c r="JE43" s="64">
        <f t="shared" si="53"/>
        <v>24</v>
      </c>
      <c r="JF43" s="64">
        <f t="shared" si="54"/>
        <v>28</v>
      </c>
      <c r="JG43" s="64">
        <f t="shared" si="55"/>
        <v>28</v>
      </c>
      <c r="JH43" s="64">
        <f t="shared" si="56"/>
        <v>32</v>
      </c>
      <c r="JI43" s="64">
        <f t="shared" si="57"/>
        <v>32</v>
      </c>
      <c r="JJ43" s="64">
        <f t="shared" si="58"/>
        <v>36</v>
      </c>
      <c r="JK43" s="64">
        <f t="shared" si="59"/>
        <v>36</v>
      </c>
      <c r="JL43" s="64">
        <f t="shared" si="60"/>
        <v>40</v>
      </c>
      <c r="JM43" s="64">
        <f t="shared" si="61"/>
        <v>44</v>
      </c>
      <c r="JN43" s="64">
        <f t="shared" si="62"/>
        <v>44</v>
      </c>
      <c r="JQ43" s="88"/>
      <c r="KG43" s="88"/>
    </row>
    <row r="44" spans="1:295" x14ac:dyDescent="0.25">
      <c r="A44" s="9"/>
      <c r="B44" s="6"/>
      <c r="C44" s="9"/>
      <c r="D44" s="9"/>
      <c r="E44" s="9"/>
      <c r="F44" s="9"/>
      <c r="G44" s="9"/>
      <c r="H44" s="9"/>
      <c r="I44" s="9"/>
      <c r="J44" s="9"/>
      <c r="K44" s="9"/>
      <c r="L44" s="6" t="s">
        <v>981</v>
      </c>
      <c r="M44" s="11">
        <f>INDEX(cenník!$C$2:$I$568,MATCH($L44,cenník!$B$2:$B$557,0),MATCH(M$2,cenník!$C$1:$I$1,0))</f>
        <v>760401</v>
      </c>
      <c r="N44" s="11" t="str">
        <f>INDEX(cenník!$C$2:$I$568,MATCH($L44,cenník!$B$2:$B$557,0),MATCH(N$2,cenník!$C$1:$I$1,0))</f>
        <v>ks</v>
      </c>
      <c r="O44" s="11">
        <f>O28*2</f>
        <v>0</v>
      </c>
      <c r="P44" s="36">
        <f>INDEX(cenník!$C$2:$I$568,MATCH($L44,cenník!$B$2:$B$557,0),MATCH(P$2,cenník!$C$1:$I$1,0))</f>
        <v>0.44</v>
      </c>
      <c r="Q44" s="36">
        <f t="shared" si="83"/>
        <v>0</v>
      </c>
      <c r="R44" s="37">
        <f t="shared" si="75"/>
        <v>0</v>
      </c>
      <c r="S44" s="36">
        <f>P44*((100-$E$8)/100)</f>
        <v>0.44</v>
      </c>
      <c r="T44" s="36">
        <f t="shared" si="84"/>
        <v>0</v>
      </c>
      <c r="U44" s="36">
        <f>INDEX(cenník!$C$2:$I$568,MATCH($L44,cenník!$B$2:$B$557,0),MATCH(U$2,cenník!$C$1:$I$1,0))*O44</f>
        <v>0</v>
      </c>
      <c r="V44" s="72"/>
      <c r="W44" s="85">
        <f t="shared" si="85"/>
        <v>0</v>
      </c>
      <c r="X44" s="72">
        <f t="shared" si="86"/>
        <v>0</v>
      </c>
      <c r="Y44" s="72"/>
      <c r="Z44" s="72">
        <f>(INDEX(($EW$5:$GU$13,$EW$17:$GU$25,$EW$30:$GU$38,$EW$42:$GU$50),MATCH($L$58,$EV$5:$EV$13,0),MATCH(A52,$EW$4:$GU$4,0),MATCH($G$50,$X$26:$X$29,0)))*C52</f>
        <v>0</v>
      </c>
      <c r="AA44" s="72">
        <f>(INDEX(($EW$5:$GU$13,$EW$17:$GU$25,$EW$30:$GU$38,$EW$42:$GU$50),MATCH($L$50,$EV$5:$EV$13,0),MATCH(A52,$EW$4:$GU$4,0),MATCH($G$50,$X$26:$X$29,0)))*C52</f>
        <v>0</v>
      </c>
      <c r="AB44" s="72">
        <f>(INDEX(($EW$5:$GU$13,$EW$17:$GU$25,$EW$30:$GU$38,$EW$42:$GU$50),MATCH($L$51,$EV$5:$EV$13,0),MATCH(A52,$EW$4:$GU$4,0),MATCH($G$50,$X$26:$X$29,0)))*C52</f>
        <v>0</v>
      </c>
      <c r="AC44" s="72">
        <f>(INDEX(($EW$5:$GU$13,$EW$17:$GU$25,$EW$30:$GU$38,$EW$42:$GU$50),MATCH($L$52,$EV$5:$EV$13,0),MATCH(A52,$EW$4:$GU$4,0),MATCH($G$50,$X$26:$X$29,0)))*C52</f>
        <v>0</v>
      </c>
      <c r="AD44" s="72">
        <f>(INDEX(($EW$5:$GU$13,$EW$17:$GU$25,$EW$30:$GU$38,$EW$42:$GU$50),MATCH($L$53,$EV$5:$EV$13,0),MATCH(A52,$EW$4:$GU$4,0),MATCH($G$50,$X$26:$X$29,0)))*C52</f>
        <v>0</v>
      </c>
      <c r="AE44" s="72">
        <f>(INDEX(($EW$5:$GU$13,$EW$17:$GU$25,$EW$30:$GU$38,$EW$42:$GU$50),MATCH($L$54,$EV$5:$EV$13,0),MATCH(A52,$EW$4:$GU$4,0),MATCH($G$50,$X$26:$X$29,0)))*C52</f>
        <v>0</v>
      </c>
      <c r="AF44" s="72">
        <f>(INDEX(($EW$5:$GU$13,$EW$17:$GU$25,$EW$30:$GU$38,$EW$42:$GU$50),MATCH($L$55,$EV$5:$EV$13,0),MATCH(A52,$EW$4:$GU$4,0),MATCH($G$50,$X$26:$X$29,0)))*C52</f>
        <v>0</v>
      </c>
      <c r="AG44" s="72">
        <f>(INDEX(($EW$5:$GU$13,$EW$17:$GU$25,$EW$30:$GU$38,$EW$42:$GU$50),MATCH($L$56,$EV$5:$EV$13,0),MATCH(A52,$EW$4:$GU$4,0),MATCH($G$50,$X$26:$X$29,0)))*C52</f>
        <v>0</v>
      </c>
      <c r="AH44" s="72">
        <f>(INDEX(($EW$5:$GU$13,$EW$17:$GU$25,$EW$30:$GU$38,$EW$42:$GU$50),MATCH($L$57,$EV$5:$EV$13,0),MATCH(A52,$EW$4:$GU$4,0),MATCH($G$50,$X$26:$X$29,0)))*C52</f>
        <v>0</v>
      </c>
      <c r="AI44" s="72"/>
      <c r="AJ44" s="72">
        <f>IF(A17&lt;=1,0,IF(A17&gt;1,A17-1,0))</f>
        <v>0</v>
      </c>
      <c r="AK44" s="72">
        <f t="shared" si="80"/>
        <v>0</v>
      </c>
      <c r="AL44" s="72" t="s">
        <v>18</v>
      </c>
      <c r="AM44" s="72">
        <v>0</v>
      </c>
      <c r="AN44" s="72">
        <v>0</v>
      </c>
      <c r="AO44" s="72">
        <v>0</v>
      </c>
      <c r="AP44" s="72">
        <v>0</v>
      </c>
      <c r="AQ44" s="72">
        <v>0</v>
      </c>
      <c r="AR44" s="72">
        <v>0</v>
      </c>
      <c r="AS44" s="72">
        <v>0</v>
      </c>
      <c r="AT44" s="72">
        <v>4</v>
      </c>
      <c r="AU44" s="72">
        <v>0</v>
      </c>
      <c r="AV44" s="72">
        <v>6</v>
      </c>
      <c r="AW44" s="72">
        <v>0</v>
      </c>
      <c r="AX44" s="72">
        <v>10</v>
      </c>
      <c r="AY44" s="72">
        <v>2</v>
      </c>
      <c r="AZ44" s="72">
        <v>12</v>
      </c>
      <c r="BA44" s="72">
        <v>6</v>
      </c>
      <c r="BB44" s="72">
        <v>2</v>
      </c>
      <c r="BC44" s="72">
        <v>8</v>
      </c>
      <c r="BD44" s="72">
        <v>14</v>
      </c>
      <c r="BE44" s="72">
        <v>12</v>
      </c>
      <c r="BF44" s="72">
        <v>8</v>
      </c>
      <c r="BG44" s="72">
        <v>0</v>
      </c>
      <c r="BH44" s="72">
        <v>10</v>
      </c>
      <c r="BI44" s="72">
        <v>12</v>
      </c>
      <c r="BJ44" s="72">
        <v>14</v>
      </c>
      <c r="BK44" s="72">
        <v>8</v>
      </c>
      <c r="BL44" s="72">
        <v>16</v>
      </c>
      <c r="BM44" s="72">
        <v>10</v>
      </c>
      <c r="BN44" s="72">
        <v>20</v>
      </c>
      <c r="BO44" s="72">
        <v>0</v>
      </c>
      <c r="BP44" s="72">
        <v>22</v>
      </c>
      <c r="BQ44" s="72">
        <v>16</v>
      </c>
      <c r="BR44" s="72">
        <v>26</v>
      </c>
      <c r="BS44" s="72">
        <v>26</v>
      </c>
      <c r="BT44" s="72">
        <v>28</v>
      </c>
      <c r="BU44" s="72">
        <v>22</v>
      </c>
      <c r="BV44" s="72">
        <v>32</v>
      </c>
      <c r="BW44" s="72">
        <v>12</v>
      </c>
      <c r="BX44" s="72">
        <v>34</v>
      </c>
      <c r="BY44" s="72">
        <v>28</v>
      </c>
      <c r="BZ44" s="72">
        <v>38</v>
      </c>
      <c r="CA44" s="72">
        <v>18</v>
      </c>
      <c r="CB44" s="72">
        <v>40</v>
      </c>
      <c r="CC44" s="72">
        <v>40</v>
      </c>
      <c r="CD44" s="72">
        <v>44</v>
      </c>
      <c r="CE44" s="72">
        <v>24</v>
      </c>
      <c r="CF44" s="72">
        <v>46</v>
      </c>
      <c r="CG44" s="72">
        <v>40</v>
      </c>
      <c r="CH44" s="72">
        <v>48</v>
      </c>
      <c r="CI44" s="72">
        <v>30</v>
      </c>
      <c r="CJ44" s="72">
        <v>50</v>
      </c>
      <c r="CK44" s="72">
        <v>46</v>
      </c>
      <c r="CL44" s="72"/>
      <c r="CM44" s="72"/>
      <c r="CN44" s="72">
        <v>0</v>
      </c>
      <c r="CO44" s="72">
        <v>2</v>
      </c>
      <c r="CP44" s="72">
        <v>3</v>
      </c>
      <c r="CQ44" s="72">
        <v>4</v>
      </c>
      <c r="CR44" s="72">
        <v>5</v>
      </c>
      <c r="CS44" s="72">
        <v>6</v>
      </c>
      <c r="CT44" s="72">
        <v>7</v>
      </c>
      <c r="CU44" s="72">
        <v>8</v>
      </c>
      <c r="CV44" s="72">
        <v>9</v>
      </c>
      <c r="CW44" s="72">
        <v>10</v>
      </c>
      <c r="CX44" s="72">
        <v>11</v>
      </c>
      <c r="CY44" s="72">
        <v>12</v>
      </c>
      <c r="CZ44" s="72">
        <v>13</v>
      </c>
      <c r="DA44" s="72">
        <v>14</v>
      </c>
      <c r="DB44" s="72">
        <v>15</v>
      </c>
      <c r="DC44" s="72">
        <v>16</v>
      </c>
      <c r="DD44" s="72">
        <v>17</v>
      </c>
      <c r="DE44" s="72">
        <v>18</v>
      </c>
      <c r="DF44" s="72">
        <v>19</v>
      </c>
      <c r="DG44" s="72">
        <v>20</v>
      </c>
      <c r="DH44" s="72">
        <v>21</v>
      </c>
      <c r="DI44" s="72">
        <v>22</v>
      </c>
      <c r="DJ44" s="72">
        <v>23</v>
      </c>
      <c r="DK44" s="72">
        <v>24</v>
      </c>
      <c r="DL44" s="72">
        <v>25</v>
      </c>
      <c r="DM44" s="72">
        <v>26</v>
      </c>
      <c r="DN44" s="72">
        <v>27</v>
      </c>
      <c r="DO44" s="72">
        <v>28</v>
      </c>
      <c r="DP44" s="72">
        <v>29</v>
      </c>
      <c r="DQ44" s="72">
        <v>30</v>
      </c>
      <c r="DR44" s="72">
        <v>31</v>
      </c>
      <c r="DS44" s="72">
        <v>32</v>
      </c>
      <c r="DT44" s="72">
        <v>33</v>
      </c>
      <c r="DU44" s="72">
        <v>34</v>
      </c>
      <c r="DV44" s="72">
        <v>35</v>
      </c>
      <c r="DW44" s="72">
        <v>36</v>
      </c>
      <c r="DX44" s="72">
        <v>37</v>
      </c>
      <c r="DY44" s="72"/>
      <c r="DZ44" s="81">
        <v>43</v>
      </c>
      <c r="EA44" s="81"/>
      <c r="EB44" s="81">
        <v>5</v>
      </c>
      <c r="EC44" s="72"/>
      <c r="ED44" s="72"/>
      <c r="EE44" s="72"/>
      <c r="EF44" s="72"/>
      <c r="EG44" s="72"/>
      <c r="EH44" s="72"/>
      <c r="EI44" s="72"/>
      <c r="EJ44" s="72"/>
      <c r="EK44" s="72"/>
      <c r="EL44" s="72"/>
      <c r="EM44" s="72"/>
      <c r="EN44" s="72"/>
      <c r="EO44" s="72"/>
      <c r="EP44" s="72"/>
      <c r="EQ44" s="72"/>
      <c r="ER44" s="72"/>
      <c r="ES44" s="72"/>
      <c r="ET44" s="72"/>
      <c r="EU44" s="72"/>
      <c r="EV44" s="72" t="s">
        <v>98</v>
      </c>
      <c r="EW44" s="72">
        <v>0</v>
      </c>
      <c r="EX44" s="72">
        <v>2</v>
      </c>
      <c r="EY44" s="72">
        <v>0</v>
      </c>
      <c r="EZ44" s="72">
        <v>0</v>
      </c>
      <c r="FA44" s="72">
        <v>0</v>
      </c>
      <c r="FB44" s="72">
        <v>0</v>
      </c>
      <c r="FC44" s="72">
        <v>0</v>
      </c>
      <c r="FD44" s="72">
        <v>0</v>
      </c>
      <c r="FE44" s="72">
        <v>0</v>
      </c>
      <c r="FF44" s="72">
        <v>0</v>
      </c>
      <c r="FG44" s="72">
        <v>0</v>
      </c>
      <c r="FH44" s="72">
        <v>0</v>
      </c>
      <c r="FI44" s="72">
        <v>0</v>
      </c>
      <c r="FJ44" s="72">
        <v>0</v>
      </c>
      <c r="FK44" s="72">
        <v>0</v>
      </c>
      <c r="FL44" s="72">
        <v>0</v>
      </c>
      <c r="FM44" s="72">
        <v>0</v>
      </c>
      <c r="FN44" s="72">
        <v>0</v>
      </c>
      <c r="FO44" s="72">
        <v>0</v>
      </c>
      <c r="FP44" s="72">
        <v>0</v>
      </c>
      <c r="FQ44" s="72">
        <v>0</v>
      </c>
      <c r="FR44" s="72">
        <v>0</v>
      </c>
      <c r="FS44" s="72">
        <v>0</v>
      </c>
      <c r="FT44" s="72">
        <v>0</v>
      </c>
      <c r="FU44" s="72">
        <v>0</v>
      </c>
      <c r="FV44" s="72">
        <v>0</v>
      </c>
      <c r="FW44" s="72">
        <v>0</v>
      </c>
      <c r="FX44" s="72">
        <v>0</v>
      </c>
      <c r="FY44" s="72">
        <v>0</v>
      </c>
      <c r="FZ44" s="72">
        <v>0</v>
      </c>
      <c r="GA44" s="72">
        <v>0</v>
      </c>
      <c r="GB44" s="72">
        <v>0</v>
      </c>
      <c r="GC44" s="72">
        <v>0</v>
      </c>
      <c r="GD44" s="72">
        <v>0</v>
      </c>
      <c r="GE44" s="72">
        <v>0</v>
      </c>
      <c r="GF44" s="72">
        <v>0</v>
      </c>
      <c r="GG44" s="72">
        <v>0</v>
      </c>
      <c r="GH44" s="72">
        <v>0</v>
      </c>
      <c r="GI44" s="72">
        <v>0</v>
      </c>
      <c r="GJ44" s="72">
        <v>0</v>
      </c>
      <c r="GK44" s="72">
        <v>0</v>
      </c>
      <c r="GL44" s="72">
        <v>0</v>
      </c>
      <c r="GM44" s="72">
        <v>0</v>
      </c>
      <c r="GN44" s="72">
        <v>0</v>
      </c>
      <c r="GO44" s="72">
        <v>0</v>
      </c>
      <c r="GP44" s="72">
        <v>0</v>
      </c>
      <c r="GQ44" s="72">
        <v>0</v>
      </c>
      <c r="GR44" s="72">
        <v>0</v>
      </c>
      <c r="GS44" s="72">
        <v>0</v>
      </c>
      <c r="GT44" s="72">
        <v>0</v>
      </c>
      <c r="GU44" s="72">
        <v>0</v>
      </c>
      <c r="GV44" s="72"/>
      <c r="GW44" s="72"/>
      <c r="GX44" s="72"/>
      <c r="JQ44" s="88"/>
      <c r="KG44" s="88"/>
    </row>
    <row r="45" spans="1:295" x14ac:dyDescent="0.25">
      <c r="A45" s="9"/>
      <c r="B45" s="6"/>
      <c r="C45" s="9"/>
      <c r="D45" s="9"/>
      <c r="E45" s="9"/>
      <c r="F45" s="9"/>
      <c r="G45" s="9"/>
      <c r="H45" s="9"/>
      <c r="I45" s="9"/>
      <c r="J45" s="9"/>
      <c r="K45" s="9"/>
      <c r="L45" s="6" t="str">
        <f>IF(L31="BUF30","SAM8X25E",IF(L31="BUF30L","SAM8X25E","-------"))</f>
        <v>-------</v>
      </c>
      <c r="M45" s="11" t="str">
        <f>INDEX(cenník!$C$2:$I$568,MATCH($L45,cenník!$B$2:$B$557,0),MATCH(M$2,cenník!$C$1:$I$1,0))</f>
        <v>-------</v>
      </c>
      <c r="N45" s="11">
        <f>INDEX(cenník!$C$2:$I$568,MATCH($L45,cenník!$B$2:$B$557,0),MATCH(N$2,cenník!$C$1:$I$1,0))</f>
        <v>0</v>
      </c>
      <c r="O45" s="11">
        <f>IF(L31="BUF30",O31,IF(L31="BUF30L",O31,0))</f>
        <v>0</v>
      </c>
      <c r="P45" s="36">
        <f>INDEX(cenník!$C$2:$I$568,MATCH($L45,cenník!$B$2:$B$557,0),MATCH(P$2,cenník!$C$1:$I$1,0))</f>
        <v>0</v>
      </c>
      <c r="Q45" s="36">
        <f t="shared" si="83"/>
        <v>0</v>
      </c>
      <c r="R45" s="37">
        <f t="shared" ref="R45" si="87">$E$8</f>
        <v>0</v>
      </c>
      <c r="S45" s="36">
        <f t="shared" ref="S45:S46" si="88">P45*((100-$E$8)/100)</f>
        <v>0</v>
      </c>
      <c r="T45" s="36">
        <f t="shared" si="84"/>
        <v>0</v>
      </c>
      <c r="U45" s="36">
        <f>INDEX(cenník!$C$2:$I$568,MATCH($L45,cenník!$B$2:$B$557,0),MATCH(U$2,cenník!$C$1:$I$1,0))*O45</f>
        <v>0</v>
      </c>
      <c r="V45" s="72"/>
      <c r="W45" s="85">
        <f t="shared" si="85"/>
        <v>0</v>
      </c>
      <c r="X45" s="72">
        <f t="shared" si="86"/>
        <v>0</v>
      </c>
      <c r="Y45" s="72"/>
      <c r="Z45" s="72">
        <f>(INDEX(($EW$5:$GU$13,$EW$17:$GU$25,$EW$30:$GU$38,$EW$42:$GU$50),MATCH($L$58,$EV$5:$EV$13,0),MATCH(A53,$EW$4:$GU$4,0),MATCH($G$50,$X$26:$X$29,0)))*C53</f>
        <v>0</v>
      </c>
      <c r="AA45" s="72">
        <f>(INDEX(($EW$5:$GU$13,$EW$17:$GU$25,$EW$30:$GU$38,$EW$42:$GU$50),MATCH($L$50,$EV$5:$EV$13,0),MATCH(A53,$EW$4:$GU$4,0),MATCH($G$50,$X$26:$X$29,0)))*C53</f>
        <v>0</v>
      </c>
      <c r="AB45" s="72">
        <f>(INDEX(($EW$5:$GU$13,$EW$17:$GU$25,$EW$30:$GU$38,$EW$42:$GU$50),MATCH($L$51,$EV$5:$EV$13,0),MATCH(A53,$EW$4:$GU$4,0),MATCH($G$50,$X$26:$X$29,0)))*C53</f>
        <v>0</v>
      </c>
      <c r="AC45" s="72">
        <f>(INDEX(($EW$5:$GU$13,$EW$17:$GU$25,$EW$30:$GU$38,$EW$42:$GU$50),MATCH($L$52,$EV$5:$EV$13,0),MATCH(A53,$EW$4:$GU$4,0),MATCH($G$50,$X$26:$X$29,0)))*C53</f>
        <v>0</v>
      </c>
      <c r="AD45" s="72">
        <f>(INDEX(($EW$5:$GU$13,$EW$17:$GU$25,$EW$30:$GU$38,$EW$42:$GU$50),MATCH($L$53,$EV$5:$EV$13,0),MATCH(A53,$EW$4:$GU$4,0),MATCH($G$50,$X$26:$X$29,0)))*C53</f>
        <v>0</v>
      </c>
      <c r="AE45" s="72">
        <f>(INDEX(($EW$5:$GU$13,$EW$17:$GU$25,$EW$30:$GU$38,$EW$42:$GU$50),MATCH($L$54,$EV$5:$EV$13,0),MATCH(A53,$EW$4:$GU$4,0),MATCH($G$50,$X$26:$X$29,0)))*C53</f>
        <v>0</v>
      </c>
      <c r="AF45" s="72">
        <f>(INDEX(($EW$5:$GU$13,$EW$17:$GU$25,$EW$30:$GU$38,$EW$42:$GU$50),MATCH($L$55,$EV$5:$EV$13,0),MATCH(A53,$EW$4:$GU$4,0),MATCH($G$50,$X$26:$X$29,0)))*C53</f>
        <v>0</v>
      </c>
      <c r="AG45" s="72">
        <f>(INDEX(($EW$5:$GU$13,$EW$17:$GU$25,$EW$30:$GU$38,$EW$42:$GU$50),MATCH($L$56,$EV$5:$EV$13,0),MATCH(A53,$EW$4:$GU$4,0),MATCH($G$50,$X$26:$X$29,0)))*C53</f>
        <v>0</v>
      </c>
      <c r="AH45" s="72">
        <f>(INDEX(($EW$5:$GU$13,$EW$17:$GU$25,$EW$30:$GU$38,$EW$42:$GU$50),MATCH($L$57,$EV$5:$EV$13,0),MATCH(A53,$EW$4:$GU$4,0),MATCH($G$50,$X$26:$X$29,0)))*C53</f>
        <v>0</v>
      </c>
      <c r="AI45" s="72"/>
      <c r="AJ45" s="72"/>
      <c r="AK45" s="72"/>
      <c r="AL45" s="72" t="s">
        <v>179</v>
      </c>
      <c r="AM45" s="72">
        <v>0</v>
      </c>
      <c r="AN45" s="72">
        <f>((((SUM(AN40:AN44))/2)-1))*4</f>
        <v>0</v>
      </c>
      <c r="AO45" s="72">
        <f t="shared" ref="AO45:CK45" si="89">((((SUM(AO40:AO44))/2)-1))*4</f>
        <v>8</v>
      </c>
      <c r="AP45" s="72">
        <f t="shared" si="89"/>
        <v>4</v>
      </c>
      <c r="AQ45" s="72">
        <f t="shared" si="89"/>
        <v>8</v>
      </c>
      <c r="AR45" s="72">
        <f t="shared" si="89"/>
        <v>8</v>
      </c>
      <c r="AS45" s="72">
        <f t="shared" si="89"/>
        <v>12</v>
      </c>
      <c r="AT45" s="72">
        <f t="shared" si="89"/>
        <v>12</v>
      </c>
      <c r="AU45" s="72">
        <f t="shared" si="89"/>
        <v>16</v>
      </c>
      <c r="AV45" s="72">
        <f t="shared" si="89"/>
        <v>16</v>
      </c>
      <c r="AW45" s="72">
        <f t="shared" si="89"/>
        <v>20</v>
      </c>
      <c r="AX45" s="72">
        <f t="shared" si="89"/>
        <v>20</v>
      </c>
      <c r="AY45" s="72">
        <f t="shared" si="89"/>
        <v>24</v>
      </c>
      <c r="AZ45" s="72">
        <f t="shared" si="89"/>
        <v>24</v>
      </c>
      <c r="BA45" s="72">
        <f t="shared" si="89"/>
        <v>28</v>
      </c>
      <c r="BB45" s="72">
        <f t="shared" si="89"/>
        <v>28</v>
      </c>
      <c r="BC45" s="72">
        <f t="shared" si="89"/>
        <v>32</v>
      </c>
      <c r="BD45" s="72">
        <f t="shared" si="89"/>
        <v>32</v>
      </c>
      <c r="BE45" s="72">
        <f t="shared" si="89"/>
        <v>36</v>
      </c>
      <c r="BF45" s="72">
        <f t="shared" si="89"/>
        <v>36</v>
      </c>
      <c r="BG45" s="72">
        <f t="shared" si="89"/>
        <v>40</v>
      </c>
      <c r="BH45" s="72">
        <f t="shared" si="89"/>
        <v>40</v>
      </c>
      <c r="BI45" s="72">
        <f t="shared" si="89"/>
        <v>44</v>
      </c>
      <c r="BJ45" s="72">
        <f t="shared" si="89"/>
        <v>44</v>
      </c>
      <c r="BK45" s="72">
        <f t="shared" si="89"/>
        <v>48</v>
      </c>
      <c r="BL45" s="72">
        <f t="shared" si="89"/>
        <v>48</v>
      </c>
      <c r="BM45" s="72">
        <f t="shared" si="89"/>
        <v>52</v>
      </c>
      <c r="BN45" s="72">
        <f t="shared" si="89"/>
        <v>52</v>
      </c>
      <c r="BO45" s="72">
        <f t="shared" si="89"/>
        <v>56</v>
      </c>
      <c r="BP45" s="72">
        <f t="shared" si="89"/>
        <v>56</v>
      </c>
      <c r="BQ45" s="72">
        <f t="shared" si="89"/>
        <v>60</v>
      </c>
      <c r="BR45" s="72">
        <f t="shared" si="89"/>
        <v>60</v>
      </c>
      <c r="BS45" s="72">
        <f t="shared" si="89"/>
        <v>64</v>
      </c>
      <c r="BT45" s="72">
        <f t="shared" si="89"/>
        <v>64</v>
      </c>
      <c r="BU45" s="72">
        <f t="shared" si="89"/>
        <v>68</v>
      </c>
      <c r="BV45" s="72">
        <f t="shared" si="89"/>
        <v>68</v>
      </c>
      <c r="BW45" s="72">
        <f t="shared" si="89"/>
        <v>72</v>
      </c>
      <c r="BX45" s="72">
        <f t="shared" si="89"/>
        <v>72</v>
      </c>
      <c r="BY45" s="72">
        <f t="shared" si="89"/>
        <v>76</v>
      </c>
      <c r="BZ45" s="72">
        <f t="shared" si="89"/>
        <v>76</v>
      </c>
      <c r="CA45" s="72">
        <f t="shared" si="89"/>
        <v>80</v>
      </c>
      <c r="CB45" s="72">
        <f t="shared" si="89"/>
        <v>80</v>
      </c>
      <c r="CC45" s="72">
        <f t="shared" si="89"/>
        <v>84</v>
      </c>
      <c r="CD45" s="72">
        <f t="shared" si="89"/>
        <v>84</v>
      </c>
      <c r="CE45" s="72">
        <f t="shared" si="89"/>
        <v>88</v>
      </c>
      <c r="CF45" s="72">
        <f t="shared" si="89"/>
        <v>88</v>
      </c>
      <c r="CG45" s="72">
        <f t="shared" si="89"/>
        <v>92</v>
      </c>
      <c r="CH45" s="72">
        <f t="shared" si="89"/>
        <v>92</v>
      </c>
      <c r="CI45" s="72">
        <f t="shared" si="89"/>
        <v>96</v>
      </c>
      <c r="CJ45" s="72">
        <f t="shared" si="89"/>
        <v>96</v>
      </c>
      <c r="CK45" s="72">
        <f t="shared" si="89"/>
        <v>100</v>
      </c>
      <c r="CL45" s="72"/>
      <c r="CM45" s="88" t="s">
        <v>107</v>
      </c>
      <c r="CN45" s="72">
        <v>0</v>
      </c>
      <c r="CO45" s="72">
        <v>1</v>
      </c>
      <c r="CP45" s="72">
        <v>1</v>
      </c>
      <c r="CQ45" s="72">
        <v>1</v>
      </c>
      <c r="CR45" s="72">
        <v>2</v>
      </c>
      <c r="CS45" s="72">
        <v>2</v>
      </c>
      <c r="CT45" s="72">
        <v>2</v>
      </c>
      <c r="CU45" s="72">
        <v>3</v>
      </c>
      <c r="CV45" s="72">
        <v>3</v>
      </c>
      <c r="CW45" s="72">
        <v>3</v>
      </c>
      <c r="CX45" s="72">
        <v>4</v>
      </c>
      <c r="CY45" s="72">
        <v>4</v>
      </c>
      <c r="CZ45" s="72">
        <v>4</v>
      </c>
      <c r="DA45" s="72">
        <v>5</v>
      </c>
      <c r="DB45" s="72">
        <v>5</v>
      </c>
      <c r="DC45" s="72">
        <v>5</v>
      </c>
      <c r="DD45" s="72">
        <v>6</v>
      </c>
      <c r="DE45" s="72">
        <v>6</v>
      </c>
      <c r="DF45" s="72">
        <v>6</v>
      </c>
      <c r="DG45" s="72">
        <v>7</v>
      </c>
      <c r="DH45" s="72">
        <v>7</v>
      </c>
      <c r="DI45" s="72">
        <v>7</v>
      </c>
      <c r="DJ45" s="72">
        <v>8</v>
      </c>
      <c r="DK45" s="72">
        <v>8</v>
      </c>
      <c r="DL45" s="72">
        <v>8</v>
      </c>
      <c r="DM45" s="72">
        <v>9</v>
      </c>
      <c r="DN45" s="72">
        <v>9</v>
      </c>
      <c r="DO45" s="72">
        <v>9</v>
      </c>
      <c r="DP45" s="72">
        <v>10</v>
      </c>
      <c r="DQ45" s="72">
        <v>10</v>
      </c>
      <c r="DR45" s="72">
        <v>10</v>
      </c>
      <c r="DS45" s="72">
        <v>11</v>
      </c>
      <c r="DT45" s="72">
        <v>11</v>
      </c>
      <c r="DU45" s="72">
        <v>11</v>
      </c>
      <c r="DV45" s="72">
        <v>12</v>
      </c>
      <c r="DW45" s="72">
        <v>12</v>
      </c>
      <c r="DX45" s="72">
        <v>12</v>
      </c>
      <c r="DY45" s="72"/>
      <c r="DZ45" s="81">
        <v>44</v>
      </c>
      <c r="EA45" s="81"/>
      <c r="EB45" s="81"/>
      <c r="EC45" s="72"/>
      <c r="ED45" s="72"/>
      <c r="EE45" s="72"/>
      <c r="EF45" s="72"/>
      <c r="EG45" s="72"/>
      <c r="EH45" s="72"/>
      <c r="EI45" s="72"/>
      <c r="EJ45" s="72"/>
      <c r="EK45" s="72"/>
      <c r="EL45" s="72"/>
      <c r="EM45" s="72"/>
      <c r="EN45" s="72"/>
      <c r="EO45" s="72"/>
      <c r="EP45" s="72"/>
      <c r="EQ45" s="72"/>
      <c r="ER45" s="72"/>
      <c r="ES45" s="72"/>
      <c r="ET45" s="72"/>
      <c r="EU45" s="72"/>
      <c r="EV45" s="72" t="s">
        <v>100</v>
      </c>
      <c r="EW45" s="72">
        <v>0</v>
      </c>
      <c r="EX45" s="72">
        <v>0</v>
      </c>
      <c r="EY45" s="72">
        <v>0</v>
      </c>
      <c r="EZ45" s="72">
        <v>0</v>
      </c>
      <c r="FA45" s="72">
        <v>0</v>
      </c>
      <c r="FB45" s="72">
        <v>0</v>
      </c>
      <c r="FC45" s="72">
        <v>0</v>
      </c>
      <c r="FD45" s="72">
        <v>0</v>
      </c>
      <c r="FE45" s="72">
        <v>0</v>
      </c>
      <c r="FF45" s="72">
        <v>0</v>
      </c>
      <c r="FG45" s="72">
        <v>0</v>
      </c>
      <c r="FH45" s="72">
        <v>0</v>
      </c>
      <c r="FI45" s="72">
        <v>0</v>
      </c>
      <c r="FJ45" s="72">
        <v>0</v>
      </c>
      <c r="FK45" s="72">
        <v>0</v>
      </c>
      <c r="FL45" s="72">
        <v>0</v>
      </c>
      <c r="FM45" s="72">
        <v>0</v>
      </c>
      <c r="FN45" s="72">
        <v>0</v>
      </c>
      <c r="FO45" s="72">
        <v>0</v>
      </c>
      <c r="FP45" s="72">
        <v>0</v>
      </c>
      <c r="FQ45" s="72">
        <v>0</v>
      </c>
      <c r="FR45" s="72">
        <v>0</v>
      </c>
      <c r="FS45" s="72">
        <v>0</v>
      </c>
      <c r="FT45" s="72">
        <v>0</v>
      </c>
      <c r="FU45" s="72">
        <v>0</v>
      </c>
      <c r="FV45" s="72">
        <v>0</v>
      </c>
      <c r="FW45" s="72">
        <v>0</v>
      </c>
      <c r="FX45" s="72">
        <v>0</v>
      </c>
      <c r="FY45" s="72">
        <v>0</v>
      </c>
      <c r="FZ45" s="72">
        <v>0</v>
      </c>
      <c r="GA45" s="72">
        <v>0</v>
      </c>
      <c r="GB45" s="72">
        <v>0</v>
      </c>
      <c r="GC45" s="72">
        <v>0</v>
      </c>
      <c r="GD45" s="72">
        <v>0</v>
      </c>
      <c r="GE45" s="72">
        <v>0</v>
      </c>
      <c r="GF45" s="72">
        <v>0</v>
      </c>
      <c r="GG45" s="72">
        <v>0</v>
      </c>
      <c r="GH45" s="72">
        <v>0</v>
      </c>
      <c r="GI45" s="72">
        <v>0</v>
      </c>
      <c r="GJ45" s="72">
        <v>0</v>
      </c>
      <c r="GK45" s="72">
        <v>0</v>
      </c>
      <c r="GL45" s="72">
        <v>0</v>
      </c>
      <c r="GM45" s="72">
        <v>0</v>
      </c>
      <c r="GN45" s="72">
        <v>0</v>
      </c>
      <c r="GO45" s="72">
        <v>0</v>
      </c>
      <c r="GP45" s="72">
        <v>0</v>
      </c>
      <c r="GQ45" s="72">
        <v>0</v>
      </c>
      <c r="GR45" s="72">
        <v>0</v>
      </c>
      <c r="GS45" s="72">
        <v>0</v>
      </c>
      <c r="GT45" s="72">
        <v>0</v>
      </c>
      <c r="GU45" s="72">
        <v>0</v>
      </c>
      <c r="GV45" s="72"/>
      <c r="GW45" s="72"/>
      <c r="GX45" s="72"/>
      <c r="GY45" s="64" t="s">
        <v>350</v>
      </c>
      <c r="HU45" s="124"/>
      <c r="HV45" s="83" t="s">
        <v>58</v>
      </c>
      <c r="IS45" s="64" t="s">
        <v>58</v>
      </c>
      <c r="KG45" s="88"/>
    </row>
    <row r="46" spans="1:295" x14ac:dyDescent="0.25">
      <c r="A46" s="9"/>
      <c r="B46" s="6"/>
      <c r="C46" s="9"/>
      <c r="D46" s="9"/>
      <c r="E46" s="9"/>
      <c r="F46" s="9"/>
      <c r="G46" s="9"/>
      <c r="H46" s="9"/>
      <c r="I46" s="9"/>
      <c r="J46" s="9"/>
      <c r="K46" s="9"/>
      <c r="L46" s="6" t="str">
        <f>IF(L31="BUF30","NKZM8E A2",IF(L31="BUF30L","NKZM8E A2","-------"))</f>
        <v>-------</v>
      </c>
      <c r="M46" s="11" t="str">
        <f>INDEX(cenník!$C$2:$I$568,MATCH($L46,cenník!$B$2:$B$557,0),MATCH(M$2,cenník!$C$1:$I$1,0))</f>
        <v>-------</v>
      </c>
      <c r="N46" s="11">
        <f>INDEX(cenník!$C$2:$I$568,MATCH($L46,cenník!$B$2:$B$557,0),MATCH(N$2,cenník!$C$1:$I$1,0))</f>
        <v>0</v>
      </c>
      <c r="O46" s="11">
        <f>ROUNDUP((IF(L31="BUF30",O31,IF(L31="BUF30L",O31,0)))/100,0)</f>
        <v>0</v>
      </c>
      <c r="P46" s="36">
        <f>INDEX(cenník!$C$2:$I$568,MATCH($L46,cenník!$B$2:$B$557,0),MATCH(P$2,cenník!$C$1:$I$1,0))</f>
        <v>0</v>
      </c>
      <c r="Q46" s="36">
        <f t="shared" si="83"/>
        <v>0</v>
      </c>
      <c r="R46" s="37">
        <f>$E$8</f>
        <v>0</v>
      </c>
      <c r="S46" s="36">
        <f t="shared" si="88"/>
        <v>0</v>
      </c>
      <c r="T46" s="36">
        <f t="shared" si="84"/>
        <v>0</v>
      </c>
      <c r="U46" s="36">
        <f>INDEX(cenník!$C$2:$I$568,MATCH($L46,cenník!$B$2:$B$557,0),MATCH(U$2,cenník!$C$1:$I$1,0))*O46</f>
        <v>0</v>
      </c>
      <c r="V46" s="72"/>
      <c r="W46" s="85">
        <f t="shared" si="85"/>
        <v>0</v>
      </c>
      <c r="X46" s="72">
        <f t="shared" si="86"/>
        <v>0</v>
      </c>
      <c r="Y46" s="72"/>
      <c r="Z46" s="72">
        <f>(INDEX(($EW$5:$GU$13,$EW$17:$GU$25,$EW$30:$GU$38,$EW$42:$GU$50),MATCH($L$58,$EV$5:$EV$13,0),MATCH(A54,$EW$4:$GU$4,0),MATCH($G$50,$X$26:$X$29,0)))*C54</f>
        <v>0</v>
      </c>
      <c r="AA46" s="72">
        <f>(INDEX(($EW$5:$GU$13,$EW$17:$GU$25,$EW$30:$GU$38,$EW$42:$GU$50),MATCH($L$50,$EV$5:$EV$13,0),MATCH(A54,$EW$4:$GU$4,0),MATCH($G$50,$X$26:$X$29,0)))*C54</f>
        <v>0</v>
      </c>
      <c r="AB46" s="72">
        <f>(INDEX(($EW$5:$GU$13,$EW$17:$GU$25,$EW$30:$GU$38,$EW$42:$GU$50),MATCH($L$51,$EV$5:$EV$13,0),MATCH(A54,$EW$4:$GU$4,0),MATCH($G$50,$X$26:$X$29,0)))*C54</f>
        <v>0</v>
      </c>
      <c r="AC46" s="72">
        <f>(INDEX(($EW$5:$GU$13,$EW$17:$GU$25,$EW$30:$GU$38,$EW$42:$GU$50),MATCH($L$52,$EV$5:$EV$13,0),MATCH(A54,$EW$4:$GU$4,0),MATCH($G$50,$X$26:$X$29,0)))*C54</f>
        <v>0</v>
      </c>
      <c r="AD46" s="72">
        <f>(INDEX(($EW$5:$GU$13,$EW$17:$GU$25,$EW$30:$GU$38,$EW$42:$GU$50),MATCH($L$53,$EV$5:$EV$13,0),MATCH(A54,$EW$4:$GU$4,0),MATCH($G$50,$X$26:$X$29,0)))*C54</f>
        <v>0</v>
      </c>
      <c r="AE46" s="72">
        <f>(INDEX(($EW$5:$GU$13,$EW$17:$GU$25,$EW$30:$GU$38,$EW$42:$GU$50),MATCH($L$54,$EV$5:$EV$13,0),MATCH(A54,$EW$4:$GU$4,0),MATCH($G$50,$X$26:$X$29,0)))*C54</f>
        <v>0</v>
      </c>
      <c r="AF46" s="72">
        <f>(INDEX(($EW$5:$GU$13,$EW$17:$GU$25,$EW$30:$GU$38,$EW$42:$GU$50),MATCH($L$55,$EV$5:$EV$13,0),MATCH(A54,$EW$4:$GU$4,0),MATCH($G$50,$X$26:$X$29,0)))*C54</f>
        <v>0</v>
      </c>
      <c r="AG46" s="72">
        <f>(INDEX(($EW$5:$GU$13,$EW$17:$GU$25,$EW$30:$GU$38,$EW$42:$GU$50),MATCH($L$56,$EV$5:$EV$13,0),MATCH(A54,$EW$4:$GU$4,0),MATCH($G$50,$X$26:$X$29,0)))*C54</f>
        <v>0</v>
      </c>
      <c r="AH46" s="72">
        <f>(INDEX(($EW$5:$GU$13,$EW$17:$GU$25,$EW$30:$GU$38,$EW$42:$GU$50),MATCH($L$57,$EV$5:$EV$13,0),MATCH(A54,$EW$4:$GU$4,0),MATCH($G$50,$X$26:$X$29,0)))*C54</f>
        <v>0</v>
      </c>
      <c r="AI46" s="72"/>
      <c r="AJ46" s="72"/>
      <c r="AK46" s="72"/>
      <c r="AL46" s="72"/>
      <c r="AM46" s="72"/>
      <c r="AN46" s="72"/>
      <c r="AO46" s="72"/>
      <c r="AP46" s="72"/>
      <c r="AQ46" s="72"/>
      <c r="AR46" s="72"/>
      <c r="AS46" s="72"/>
      <c r="AT46" s="72"/>
      <c r="AU46" s="72"/>
      <c r="AV46" s="72"/>
      <c r="AW46" s="72"/>
      <c r="AX46" s="72"/>
      <c r="AY46" s="72"/>
      <c r="AZ46" s="72"/>
      <c r="BA46" s="72"/>
      <c r="BB46" s="72"/>
      <c r="BC46" s="72"/>
      <c r="BD46" s="72"/>
      <c r="BE46" s="72"/>
      <c r="BF46" s="72"/>
      <c r="BG46" s="72"/>
      <c r="BH46" s="72"/>
      <c r="BI46" s="72"/>
      <c r="BJ46" s="72"/>
      <c r="BK46" s="72"/>
      <c r="BL46" s="72"/>
      <c r="BM46" s="72"/>
      <c r="BN46" s="72"/>
      <c r="BO46" s="72"/>
      <c r="BP46" s="72"/>
      <c r="BQ46" s="72"/>
      <c r="BR46" s="72"/>
      <c r="BS46" s="72"/>
      <c r="BT46" s="72"/>
      <c r="BU46" s="72"/>
      <c r="BV46" s="72"/>
      <c r="BW46" s="72"/>
      <c r="BX46" s="72"/>
      <c r="BY46" s="72"/>
      <c r="BZ46" s="72"/>
      <c r="CA46" s="72"/>
      <c r="CB46" s="72"/>
      <c r="CC46" s="72"/>
      <c r="CD46" s="72"/>
      <c r="CE46" s="72"/>
      <c r="CF46" s="72"/>
      <c r="CG46" s="72"/>
      <c r="CH46" s="72"/>
      <c r="CI46" s="72"/>
      <c r="CJ46" s="72"/>
      <c r="CK46" s="72"/>
      <c r="CL46" s="72"/>
      <c r="CM46" s="72"/>
      <c r="CN46" s="72"/>
      <c r="CO46" s="72"/>
      <c r="CP46" s="72"/>
      <c r="CQ46" s="72"/>
      <c r="CR46" s="72"/>
      <c r="CS46" s="72"/>
      <c r="CT46" s="72"/>
      <c r="CU46" s="72"/>
      <c r="CV46" s="72"/>
      <c r="CW46" s="72"/>
      <c r="CX46" s="72"/>
      <c r="CY46" s="72"/>
      <c r="CZ46" s="72"/>
      <c r="DA46" s="72"/>
      <c r="DB46" s="72"/>
      <c r="DC46" s="72"/>
      <c r="DD46" s="72"/>
      <c r="DE46" s="72"/>
      <c r="DF46" s="72"/>
      <c r="DG46" s="72"/>
      <c r="DH46" s="72"/>
      <c r="DI46" s="72"/>
      <c r="DJ46" s="72"/>
      <c r="DK46" s="72"/>
      <c r="DL46" s="72"/>
      <c r="DM46" s="72"/>
      <c r="DN46" s="72"/>
      <c r="DO46" s="72"/>
      <c r="DP46" s="72"/>
      <c r="DQ46" s="72"/>
      <c r="DR46" s="72"/>
      <c r="DS46" s="72"/>
      <c r="DT46" s="72"/>
      <c r="DU46" s="72"/>
      <c r="DV46" s="72"/>
      <c r="DW46" s="72"/>
      <c r="DX46" s="72"/>
      <c r="DY46" s="72"/>
      <c r="DZ46" s="81">
        <v>45</v>
      </c>
      <c r="EA46" s="81"/>
      <c r="EB46" s="81">
        <v>1</v>
      </c>
      <c r="EC46" s="72"/>
      <c r="ED46" s="72"/>
      <c r="EE46" s="72"/>
      <c r="EF46" s="72"/>
      <c r="EG46" s="72"/>
      <c r="EH46" s="72"/>
      <c r="EI46" s="72"/>
      <c r="EJ46" s="72"/>
      <c r="EK46" s="72"/>
      <c r="EL46" s="72"/>
      <c r="EM46" s="72"/>
      <c r="EN46" s="72"/>
      <c r="EO46" s="72"/>
      <c r="EP46" s="72"/>
      <c r="EQ46" s="72"/>
      <c r="ER46" s="72"/>
      <c r="ES46" s="72"/>
      <c r="ET46" s="72"/>
      <c r="EU46" s="72"/>
      <c r="EV46" s="72" t="s">
        <v>114</v>
      </c>
      <c r="EW46" s="72">
        <v>0</v>
      </c>
      <c r="EX46" s="72">
        <v>0</v>
      </c>
      <c r="EY46" s="72">
        <v>0</v>
      </c>
      <c r="EZ46" s="72">
        <v>0</v>
      </c>
      <c r="FA46" s="72">
        <v>0</v>
      </c>
      <c r="FB46" s="72">
        <v>0</v>
      </c>
      <c r="FC46" s="72">
        <v>0</v>
      </c>
      <c r="FD46" s="72">
        <v>0</v>
      </c>
      <c r="FE46" s="72">
        <v>0</v>
      </c>
      <c r="FF46" s="72">
        <v>0</v>
      </c>
      <c r="FG46" s="72">
        <v>0</v>
      </c>
      <c r="FH46" s="72">
        <v>0</v>
      </c>
      <c r="FI46" s="72">
        <v>0</v>
      </c>
      <c r="FJ46" s="72">
        <v>0</v>
      </c>
      <c r="FK46" s="72">
        <v>0</v>
      </c>
      <c r="FL46" s="72">
        <v>0</v>
      </c>
      <c r="FM46" s="72">
        <v>0</v>
      </c>
      <c r="FN46" s="72">
        <v>0</v>
      </c>
      <c r="FO46" s="72">
        <v>0</v>
      </c>
      <c r="FP46" s="72">
        <v>0</v>
      </c>
      <c r="FQ46" s="72">
        <v>0</v>
      </c>
      <c r="FR46" s="72">
        <v>0</v>
      </c>
      <c r="FS46" s="72">
        <v>0</v>
      </c>
      <c r="FT46" s="72">
        <v>0</v>
      </c>
      <c r="FU46" s="72">
        <v>0</v>
      </c>
      <c r="FV46" s="72">
        <v>0</v>
      </c>
      <c r="FW46" s="72">
        <v>0</v>
      </c>
      <c r="FX46" s="72">
        <v>0</v>
      </c>
      <c r="FY46" s="72">
        <v>0</v>
      </c>
      <c r="FZ46" s="72">
        <v>0</v>
      </c>
      <c r="GA46" s="72">
        <v>0</v>
      </c>
      <c r="GB46" s="72">
        <v>0</v>
      </c>
      <c r="GC46" s="72">
        <v>2</v>
      </c>
      <c r="GD46" s="72">
        <v>0</v>
      </c>
      <c r="GE46" s="72">
        <v>0</v>
      </c>
      <c r="GF46" s="72">
        <v>0</v>
      </c>
      <c r="GG46" s="72">
        <v>0</v>
      </c>
      <c r="GH46" s="72">
        <v>0</v>
      </c>
      <c r="GI46" s="72">
        <v>0</v>
      </c>
      <c r="GJ46" s="72">
        <v>0</v>
      </c>
      <c r="GK46" s="72">
        <v>0</v>
      </c>
      <c r="GL46" s="72">
        <v>0</v>
      </c>
      <c r="GM46" s="72">
        <v>2</v>
      </c>
      <c r="GN46" s="72">
        <v>0</v>
      </c>
      <c r="GO46" s="72">
        <v>0</v>
      </c>
      <c r="GP46" s="72">
        <v>0</v>
      </c>
      <c r="GQ46" s="72">
        <v>0</v>
      </c>
      <c r="GR46" s="72">
        <v>0</v>
      </c>
      <c r="GS46" s="72">
        <v>0</v>
      </c>
      <c r="GT46" s="72">
        <v>0</v>
      </c>
      <c r="GU46" s="72">
        <v>0</v>
      </c>
      <c r="GV46" s="72"/>
      <c r="GW46" s="72"/>
      <c r="GX46" s="72"/>
      <c r="GZ46" s="64">
        <v>0</v>
      </c>
      <c r="HA46" s="64">
        <v>1</v>
      </c>
      <c r="HB46" s="64">
        <v>2</v>
      </c>
      <c r="HC46" s="64">
        <v>3</v>
      </c>
      <c r="HD46" s="64">
        <v>4</v>
      </c>
      <c r="HE46" s="64">
        <v>5</v>
      </c>
      <c r="HF46" s="64">
        <v>6</v>
      </c>
      <c r="HG46" s="64">
        <v>7</v>
      </c>
      <c r="HH46" s="64">
        <v>8</v>
      </c>
      <c r="HI46" s="64">
        <v>9</v>
      </c>
      <c r="HJ46" s="64">
        <v>10</v>
      </c>
      <c r="HK46" s="64">
        <v>11</v>
      </c>
      <c r="HL46" s="64">
        <v>12</v>
      </c>
      <c r="HM46" s="64">
        <v>13</v>
      </c>
      <c r="HN46" s="64">
        <v>14</v>
      </c>
      <c r="HO46" s="64">
        <v>15</v>
      </c>
      <c r="HP46" s="64">
        <v>16</v>
      </c>
      <c r="HQ46" s="64">
        <v>17</v>
      </c>
      <c r="HR46" s="64">
        <v>18</v>
      </c>
      <c r="HS46" s="64">
        <v>19</v>
      </c>
      <c r="HT46" s="64">
        <v>20</v>
      </c>
      <c r="HW46" s="64">
        <v>0</v>
      </c>
      <c r="HX46" s="64">
        <v>1</v>
      </c>
      <c r="HY46" s="64">
        <v>2</v>
      </c>
      <c r="HZ46" s="64">
        <v>3</v>
      </c>
      <c r="IA46" s="64">
        <v>4</v>
      </c>
      <c r="IB46" s="64">
        <v>5</v>
      </c>
      <c r="IC46" s="64">
        <v>6</v>
      </c>
      <c r="ID46" s="64">
        <v>7</v>
      </c>
      <c r="IE46" s="64">
        <v>8</v>
      </c>
      <c r="IF46" s="64">
        <v>9</v>
      </c>
      <c r="IG46" s="64">
        <v>10</v>
      </c>
      <c r="IH46" s="64">
        <v>11</v>
      </c>
      <c r="II46" s="64">
        <v>12</v>
      </c>
      <c r="IJ46" s="64">
        <v>13</v>
      </c>
      <c r="IK46" s="64">
        <v>14</v>
      </c>
      <c r="IL46" s="64">
        <v>15</v>
      </c>
      <c r="IM46" s="64">
        <v>16</v>
      </c>
      <c r="IN46" s="64">
        <v>17</v>
      </c>
      <c r="IO46" s="64">
        <v>18</v>
      </c>
      <c r="IP46" s="64">
        <v>19</v>
      </c>
      <c r="IQ46" s="64">
        <v>20</v>
      </c>
      <c r="IT46" s="64">
        <f t="shared" si="42"/>
        <v>0</v>
      </c>
      <c r="IU46" s="64">
        <f t="shared" si="43"/>
        <v>2</v>
      </c>
      <c r="IV46" s="64">
        <f t="shared" si="44"/>
        <v>4</v>
      </c>
      <c r="IW46" s="64">
        <f t="shared" si="45"/>
        <v>6</v>
      </c>
      <c r="IX46" s="64">
        <f t="shared" si="46"/>
        <v>8</v>
      </c>
      <c r="IY46" s="64">
        <f t="shared" si="47"/>
        <v>10</v>
      </c>
      <c r="IZ46" s="64">
        <f t="shared" si="48"/>
        <v>12</v>
      </c>
      <c r="JA46" s="64">
        <f t="shared" si="49"/>
        <v>14</v>
      </c>
      <c r="JB46" s="64">
        <f t="shared" si="50"/>
        <v>16</v>
      </c>
      <c r="JC46" s="64">
        <f t="shared" si="51"/>
        <v>18</v>
      </c>
      <c r="JD46" s="64">
        <f t="shared" si="52"/>
        <v>20</v>
      </c>
      <c r="JE46" s="64">
        <f t="shared" si="53"/>
        <v>22</v>
      </c>
      <c r="JF46" s="64">
        <f t="shared" si="54"/>
        <v>24</v>
      </c>
      <c r="JG46" s="64">
        <f t="shared" si="55"/>
        <v>26</v>
      </c>
      <c r="JH46" s="64">
        <f t="shared" si="56"/>
        <v>28</v>
      </c>
      <c r="JI46" s="64">
        <f t="shared" si="57"/>
        <v>30</v>
      </c>
      <c r="JJ46" s="64">
        <f t="shared" si="58"/>
        <v>32</v>
      </c>
      <c r="JK46" s="64">
        <f t="shared" si="59"/>
        <v>34</v>
      </c>
      <c r="JL46" s="64">
        <f t="shared" si="60"/>
        <v>36</v>
      </c>
      <c r="JM46" s="64">
        <f t="shared" si="61"/>
        <v>38</v>
      </c>
      <c r="JN46" s="64">
        <f t="shared" si="62"/>
        <v>40</v>
      </c>
    </row>
    <row r="47" spans="1:295" x14ac:dyDescent="0.25">
      <c r="A47" s="9"/>
      <c r="B47" s="9"/>
      <c r="C47" s="9"/>
      <c r="D47" s="9"/>
      <c r="E47" s="9"/>
      <c r="F47" s="9"/>
      <c r="G47" s="9"/>
      <c r="H47" s="9"/>
      <c r="I47" s="9"/>
      <c r="J47" s="9"/>
      <c r="K47" s="9"/>
      <c r="L47" s="9"/>
      <c r="M47" s="9"/>
      <c r="N47" s="9"/>
      <c r="O47" s="9"/>
      <c r="P47" s="9"/>
      <c r="Q47" s="9"/>
      <c r="R47" s="9"/>
      <c r="S47" s="9"/>
      <c r="T47" s="36">
        <f>SUM(T28:T46)</f>
        <v>0</v>
      </c>
      <c r="U47" s="36">
        <f>SUM(U28:U46)</f>
        <v>0</v>
      </c>
      <c r="V47" s="72"/>
      <c r="W47" s="85">
        <f t="shared" si="85"/>
        <v>0</v>
      </c>
      <c r="X47" s="72">
        <f t="shared" si="86"/>
        <v>0</v>
      </c>
      <c r="Y47" s="72"/>
      <c r="Z47" s="72">
        <f>(INDEX(($EW$5:$GU$13,$EW$17:$GU$25,$EW$30:$GU$38,$EW$42:$GU$50),MATCH($L$58,$EV$5:$EV$13,0),MATCH(A55,$EW$4:$GU$4,0),MATCH($G$50,$X$26:$X$29,0)))*C55</f>
        <v>0</v>
      </c>
      <c r="AA47" s="72">
        <f>(INDEX(($EW$5:$GU$13,$EW$17:$GU$25,$EW$30:$GU$38,$EW$42:$GU$50),MATCH($L$50,$EV$5:$EV$13,0),MATCH(A55,$EW$4:$GU$4,0),MATCH($G$50,$X$26:$X$29,0)))*C55</f>
        <v>0</v>
      </c>
      <c r="AB47" s="72">
        <f>(INDEX(($EW$5:$GU$13,$EW$17:$GU$25,$EW$30:$GU$38,$EW$42:$GU$50),MATCH($L$51,$EV$5:$EV$13,0),MATCH(A55,$EW$4:$GU$4,0),MATCH($G$50,$X$26:$X$29,0)))*C55</f>
        <v>0</v>
      </c>
      <c r="AC47" s="72">
        <f>(INDEX(($EW$5:$GU$13,$EW$17:$GU$25,$EW$30:$GU$38,$EW$42:$GU$50),MATCH($L$52,$EV$5:$EV$13,0),MATCH(A55,$EW$4:$GU$4,0),MATCH($G$50,$X$26:$X$29,0)))*C55</f>
        <v>0</v>
      </c>
      <c r="AD47" s="72">
        <f>(INDEX(($EW$5:$GU$13,$EW$17:$GU$25,$EW$30:$GU$38,$EW$42:$GU$50),MATCH($L$53,$EV$5:$EV$13,0),MATCH(A55,$EW$4:$GU$4,0),MATCH($G$50,$X$26:$X$29,0)))*C55</f>
        <v>0</v>
      </c>
      <c r="AE47" s="72">
        <f>(INDEX(($EW$5:$GU$13,$EW$17:$GU$25,$EW$30:$GU$38,$EW$42:$GU$50),MATCH($L$54,$EV$5:$EV$13,0),MATCH(A55,$EW$4:$GU$4,0),MATCH($G$50,$X$26:$X$29,0)))*C55</f>
        <v>0</v>
      </c>
      <c r="AF47" s="72">
        <f>(INDEX(($EW$5:$GU$13,$EW$17:$GU$25,$EW$30:$GU$38,$EW$42:$GU$50),MATCH($L$55,$EV$5:$EV$13,0),MATCH(A55,$EW$4:$GU$4,0),MATCH($G$50,$X$26:$X$29,0)))*C55</f>
        <v>0</v>
      </c>
      <c r="AG47" s="72">
        <f>(INDEX(($EW$5:$GU$13,$EW$17:$GU$25,$EW$30:$GU$38,$EW$42:$GU$50),MATCH($L$56,$EV$5:$EV$13,0),MATCH(A55,$EW$4:$GU$4,0),MATCH($G$50,$X$26:$X$29,0)))*C55</f>
        <v>0</v>
      </c>
      <c r="AH47" s="72">
        <f>(INDEX(($EW$5:$GU$13,$EW$17:$GU$25,$EW$30:$GU$38,$EW$42:$GU$50),MATCH($L$57,$EV$5:$EV$13,0),MATCH(A55,$EW$4:$GU$4,0),MATCH($G$50,$X$26:$X$29,0)))*C55</f>
        <v>0</v>
      </c>
      <c r="AI47" s="72"/>
      <c r="AJ47" s="72"/>
      <c r="AK47" s="72"/>
      <c r="AL47" s="72" t="s">
        <v>57</v>
      </c>
      <c r="AM47" s="72"/>
      <c r="AN47" s="72"/>
      <c r="AO47" s="72"/>
      <c r="AP47" s="72"/>
      <c r="AQ47" s="72"/>
      <c r="AR47" s="72"/>
      <c r="AS47" s="72"/>
      <c r="AT47" s="72"/>
      <c r="AU47" s="72"/>
      <c r="AV47" s="72"/>
      <c r="AW47" s="72"/>
      <c r="AX47" s="72"/>
      <c r="AY47" s="72"/>
      <c r="AZ47" s="72"/>
      <c r="BA47" s="72"/>
      <c r="BB47" s="72"/>
      <c r="BC47" s="72"/>
      <c r="BD47" s="72"/>
      <c r="BE47" s="72"/>
      <c r="BF47" s="72"/>
      <c r="BG47" s="72"/>
      <c r="BH47" s="72"/>
      <c r="BI47" s="72"/>
      <c r="BJ47" s="72"/>
      <c r="BK47" s="72"/>
      <c r="BL47" s="72"/>
      <c r="BM47" s="72"/>
      <c r="BN47" s="72"/>
      <c r="BO47" s="72"/>
      <c r="BP47" s="72"/>
      <c r="BQ47" s="72"/>
      <c r="BR47" s="72"/>
      <c r="BS47" s="72"/>
      <c r="BT47" s="72"/>
      <c r="BU47" s="72"/>
      <c r="BV47" s="72"/>
      <c r="BW47" s="72"/>
      <c r="BX47" s="72"/>
      <c r="BY47" s="72"/>
      <c r="BZ47" s="72"/>
      <c r="CA47" s="72"/>
      <c r="CB47" s="72"/>
      <c r="CC47" s="72"/>
      <c r="CD47" s="72"/>
      <c r="CE47" s="72"/>
      <c r="CF47" s="72"/>
      <c r="CG47" s="72"/>
      <c r="CH47" s="72"/>
      <c r="CI47" s="72"/>
      <c r="CJ47" s="72"/>
      <c r="CK47" s="72"/>
      <c r="CL47" s="72"/>
      <c r="CM47" s="72"/>
      <c r="CN47" s="72"/>
      <c r="CO47" s="72"/>
      <c r="CP47" s="72"/>
      <c r="CQ47" s="72"/>
      <c r="CR47" s="72"/>
      <c r="CS47" s="72"/>
      <c r="CT47" s="72"/>
      <c r="CU47" s="72"/>
      <c r="CV47" s="72"/>
      <c r="CW47" s="72"/>
      <c r="CX47" s="72"/>
      <c r="CY47" s="72"/>
      <c r="CZ47" s="72"/>
      <c r="DA47" s="72"/>
      <c r="DB47" s="72"/>
      <c r="DC47" s="72"/>
      <c r="DD47" s="72"/>
      <c r="DE47" s="72"/>
      <c r="DF47" s="72"/>
      <c r="DG47" s="72"/>
      <c r="DH47" s="72"/>
      <c r="DI47" s="72"/>
      <c r="DJ47" s="72"/>
      <c r="DK47" s="72"/>
      <c r="DL47" s="72"/>
      <c r="DM47" s="72"/>
      <c r="DN47" s="72"/>
      <c r="DO47" s="72"/>
      <c r="DP47" s="72"/>
      <c r="DQ47" s="72"/>
      <c r="DR47" s="72"/>
      <c r="DS47" s="72"/>
      <c r="DT47" s="72"/>
      <c r="DU47" s="72"/>
      <c r="DV47" s="72"/>
      <c r="DW47" s="72"/>
      <c r="DX47" s="72"/>
      <c r="DY47" s="72"/>
      <c r="DZ47" s="81">
        <v>46</v>
      </c>
      <c r="EA47" s="81"/>
      <c r="EB47" s="81">
        <v>2</v>
      </c>
      <c r="EC47" s="72"/>
      <c r="ED47" s="72"/>
      <c r="EE47" s="72"/>
      <c r="EF47" s="72"/>
      <c r="EG47" s="72"/>
      <c r="EH47" s="72"/>
      <c r="EI47" s="72"/>
      <c r="EJ47" s="72"/>
      <c r="EK47" s="72"/>
      <c r="EL47" s="72"/>
      <c r="EM47" s="72"/>
      <c r="EN47" s="72"/>
      <c r="EO47" s="72"/>
      <c r="EP47" s="72"/>
      <c r="EQ47" s="72"/>
      <c r="ER47" s="72"/>
      <c r="ES47" s="72"/>
      <c r="ET47" s="72"/>
      <c r="EU47" s="72"/>
      <c r="EV47" s="72" t="s">
        <v>9</v>
      </c>
      <c r="EW47" s="72">
        <v>0</v>
      </c>
      <c r="EX47" s="72">
        <v>0</v>
      </c>
      <c r="EY47" s="72">
        <v>0</v>
      </c>
      <c r="EZ47" s="72">
        <v>0</v>
      </c>
      <c r="FA47" s="72">
        <v>0</v>
      </c>
      <c r="FB47" s="72">
        <v>4</v>
      </c>
      <c r="FC47" s="72">
        <v>0</v>
      </c>
      <c r="FD47" s="72">
        <v>0</v>
      </c>
      <c r="FE47" s="72">
        <v>4</v>
      </c>
      <c r="FF47" s="72">
        <v>0</v>
      </c>
      <c r="FG47" s="72">
        <v>0</v>
      </c>
      <c r="FH47" s="72">
        <v>4</v>
      </c>
      <c r="FI47" s="72">
        <v>2</v>
      </c>
      <c r="FJ47" s="72">
        <v>0</v>
      </c>
      <c r="FK47" s="72">
        <v>4</v>
      </c>
      <c r="FL47" s="72">
        <v>0</v>
      </c>
      <c r="FM47" s="72">
        <v>8</v>
      </c>
      <c r="FN47" s="72">
        <v>6</v>
      </c>
      <c r="FO47" s="72">
        <v>2</v>
      </c>
      <c r="FP47" s="72">
        <v>8</v>
      </c>
      <c r="FQ47" s="72">
        <v>6</v>
      </c>
      <c r="FR47" s="72">
        <v>2</v>
      </c>
      <c r="FS47" s="72">
        <v>0</v>
      </c>
      <c r="FT47" s="72">
        <v>4</v>
      </c>
      <c r="FU47" s="72">
        <v>0</v>
      </c>
      <c r="FV47" s="72">
        <v>0</v>
      </c>
      <c r="FW47" s="72">
        <v>4</v>
      </c>
      <c r="FX47" s="72">
        <v>4</v>
      </c>
      <c r="FY47" s="72">
        <v>0</v>
      </c>
      <c r="FZ47" s="72">
        <v>4</v>
      </c>
      <c r="GA47" s="72">
        <v>2</v>
      </c>
      <c r="GB47" s="72">
        <v>0</v>
      </c>
      <c r="GC47" s="72">
        <v>2</v>
      </c>
      <c r="GD47" s="72">
        <v>2</v>
      </c>
      <c r="GE47" s="72">
        <v>0</v>
      </c>
      <c r="GF47" s="72">
        <v>8</v>
      </c>
      <c r="GG47" s="72">
        <v>4</v>
      </c>
      <c r="GH47" s="72">
        <v>2</v>
      </c>
      <c r="GI47" s="72">
        <v>8</v>
      </c>
      <c r="GJ47" s="72">
        <v>4</v>
      </c>
      <c r="GK47" s="72">
        <v>0</v>
      </c>
      <c r="GL47" s="72">
        <v>0</v>
      </c>
      <c r="GM47" s="72">
        <v>2</v>
      </c>
      <c r="GN47" s="72">
        <v>0</v>
      </c>
      <c r="GO47" s="72">
        <v>0</v>
      </c>
      <c r="GP47" s="72">
        <v>6</v>
      </c>
      <c r="GQ47" s="72">
        <v>2</v>
      </c>
      <c r="GR47" s="72">
        <v>0</v>
      </c>
      <c r="GS47" s="72">
        <v>0</v>
      </c>
      <c r="GT47" s="72">
        <v>2</v>
      </c>
      <c r="GU47" s="72">
        <v>0</v>
      </c>
      <c r="GV47" s="72"/>
      <c r="GW47" s="72"/>
      <c r="GX47" s="72"/>
      <c r="GY47" s="64" t="s">
        <v>326</v>
      </c>
      <c r="GZ47" s="64">
        <v>0</v>
      </c>
      <c r="HA47" s="64">
        <v>2</v>
      </c>
      <c r="HB47" s="64">
        <v>0</v>
      </c>
      <c r="HC47" s="64">
        <v>4</v>
      </c>
      <c r="HD47" s="64">
        <v>0</v>
      </c>
      <c r="HE47" s="64">
        <v>4</v>
      </c>
      <c r="HF47" s="64">
        <v>2</v>
      </c>
      <c r="HG47" s="64">
        <v>0</v>
      </c>
      <c r="HH47" s="64">
        <v>2</v>
      </c>
      <c r="HI47" s="64">
        <v>0</v>
      </c>
      <c r="HJ47" s="64">
        <v>4</v>
      </c>
      <c r="HK47" s="64">
        <v>2</v>
      </c>
      <c r="HL47" s="64">
        <v>0</v>
      </c>
      <c r="HM47" s="64">
        <v>2</v>
      </c>
      <c r="HN47" s="64">
        <v>0</v>
      </c>
      <c r="HO47" s="64">
        <v>4</v>
      </c>
      <c r="HP47" s="64">
        <v>2</v>
      </c>
      <c r="HQ47" s="64">
        <v>4</v>
      </c>
      <c r="HR47" s="64">
        <v>2</v>
      </c>
      <c r="HS47" s="64">
        <v>0</v>
      </c>
      <c r="HT47" s="64">
        <v>4</v>
      </c>
      <c r="HV47" s="83" t="s">
        <v>326</v>
      </c>
      <c r="HW47" s="64">
        <v>0</v>
      </c>
      <c r="HX47" s="64">
        <v>2</v>
      </c>
      <c r="HY47" s="64">
        <v>4</v>
      </c>
      <c r="HZ47" s="64">
        <v>0</v>
      </c>
      <c r="IA47" s="64">
        <v>4</v>
      </c>
      <c r="IB47" s="64">
        <v>0</v>
      </c>
      <c r="IC47" s="64">
        <v>2</v>
      </c>
      <c r="ID47" s="64">
        <v>4</v>
      </c>
      <c r="IE47" s="64">
        <v>0</v>
      </c>
      <c r="IF47" s="64">
        <v>2</v>
      </c>
      <c r="IG47" s="64">
        <v>0</v>
      </c>
      <c r="IH47" s="64">
        <v>2</v>
      </c>
      <c r="II47" s="64">
        <v>4</v>
      </c>
      <c r="IJ47" s="64">
        <v>0</v>
      </c>
      <c r="IK47" s="64">
        <v>2</v>
      </c>
      <c r="IL47" s="64">
        <v>4</v>
      </c>
      <c r="IM47" s="64">
        <v>2</v>
      </c>
      <c r="IN47" s="64">
        <v>4</v>
      </c>
      <c r="IO47" s="64">
        <v>0</v>
      </c>
      <c r="IP47" s="64">
        <v>2</v>
      </c>
      <c r="IQ47" s="64">
        <v>4</v>
      </c>
      <c r="IS47" s="64" t="s">
        <v>326</v>
      </c>
      <c r="IT47" s="64">
        <f t="shared" si="42"/>
        <v>0</v>
      </c>
      <c r="IU47" s="64">
        <f t="shared" si="43"/>
        <v>4</v>
      </c>
      <c r="IV47" s="64">
        <f t="shared" si="44"/>
        <v>8</v>
      </c>
      <c r="IW47" s="64">
        <f t="shared" si="45"/>
        <v>0</v>
      </c>
      <c r="IX47" s="64">
        <f t="shared" si="46"/>
        <v>8</v>
      </c>
      <c r="IY47" s="64">
        <f t="shared" si="47"/>
        <v>0</v>
      </c>
      <c r="IZ47" s="64">
        <f t="shared" si="48"/>
        <v>4</v>
      </c>
      <c r="JA47" s="64">
        <f t="shared" si="49"/>
        <v>8</v>
      </c>
      <c r="JB47" s="64">
        <f t="shared" si="50"/>
        <v>0</v>
      </c>
      <c r="JC47" s="64">
        <f t="shared" si="51"/>
        <v>4</v>
      </c>
      <c r="JD47" s="64">
        <f t="shared" si="52"/>
        <v>0</v>
      </c>
      <c r="JE47" s="64">
        <f t="shared" si="53"/>
        <v>4</v>
      </c>
      <c r="JF47" s="64">
        <f t="shared" si="54"/>
        <v>8</v>
      </c>
      <c r="JG47" s="64">
        <f t="shared" si="55"/>
        <v>0</v>
      </c>
      <c r="JH47" s="64">
        <f t="shared" si="56"/>
        <v>4</v>
      </c>
      <c r="JI47" s="64">
        <f t="shared" si="57"/>
        <v>8</v>
      </c>
      <c r="JJ47" s="64">
        <f t="shared" si="58"/>
        <v>4</v>
      </c>
      <c r="JK47" s="64">
        <f t="shared" si="59"/>
        <v>8</v>
      </c>
      <c r="JL47" s="64">
        <f t="shared" si="60"/>
        <v>0</v>
      </c>
      <c r="JM47" s="64">
        <f t="shared" si="61"/>
        <v>4</v>
      </c>
      <c r="JN47" s="64">
        <f t="shared" si="62"/>
        <v>8</v>
      </c>
    </row>
    <row r="48" spans="1:295" ht="39" x14ac:dyDescent="0.25">
      <c r="A48" s="3" t="s">
        <v>549</v>
      </c>
      <c r="B48" s="3"/>
      <c r="C48" s="3" t="s">
        <v>550</v>
      </c>
      <c r="D48" s="9"/>
      <c r="E48" s="9"/>
      <c r="F48" s="9"/>
      <c r="G48" s="9"/>
      <c r="H48" s="9"/>
      <c r="I48" s="9"/>
      <c r="J48" s="9"/>
      <c r="K48" s="9"/>
      <c r="L48" s="221" t="str">
        <f>IF(E52="kotvená","KONŠTRUKCIA DP-DTVKN",IF(E52="zaťažená","KONŠTRUKCIA DP-DTVBN"))</f>
        <v>KONŠTRUKCIA DP-DTVBN</v>
      </c>
      <c r="M48" s="221"/>
      <c r="N48" s="221"/>
      <c r="O48" s="221"/>
      <c r="P48" s="221"/>
      <c r="Q48" s="221"/>
      <c r="R48" s="221"/>
      <c r="S48" s="221"/>
      <c r="T48" s="221"/>
      <c r="U48" s="221"/>
      <c r="V48" s="72"/>
      <c r="W48" s="85">
        <f t="shared" si="85"/>
        <v>0</v>
      </c>
      <c r="X48" s="72">
        <f t="shared" si="86"/>
        <v>0</v>
      </c>
      <c r="Y48" s="72"/>
      <c r="Z48" s="72">
        <f>(INDEX(($EW$5:$GU$13,$EW$17:$GU$25,$EW$30:$GU$38,$EW$42:$GU$50),MATCH($L$58,$EV$5:$EV$13,0),MATCH(A56,$EW$4:$GU$4,0),MATCH($G$50,$X$26:$X$29,0)))*C56</f>
        <v>0</v>
      </c>
      <c r="AA48" s="72">
        <f>(INDEX(($EW$5:$GU$13,$EW$17:$GU$25,$EW$30:$GU$38,$EW$42:$GU$50),MATCH($L$50,$EV$5:$EV$13,0),MATCH(A56,$EW$4:$GU$4,0),MATCH($G$50,$X$26:$X$29,0)))*C56</f>
        <v>0</v>
      </c>
      <c r="AB48" s="72">
        <f>(INDEX(($EW$5:$GU$13,$EW$17:$GU$25,$EW$30:$GU$38,$EW$42:$GU$50),MATCH($L$51,$EV$5:$EV$13,0),MATCH(A56,$EW$4:$GU$4,0),MATCH($G$50,$X$26:$X$29,0)))*C56</f>
        <v>0</v>
      </c>
      <c r="AC48" s="72">
        <f>(INDEX(($EW$5:$GU$13,$EW$17:$GU$25,$EW$30:$GU$38,$EW$42:$GU$50),MATCH($L$52,$EV$5:$EV$13,0),MATCH(A56,$EW$4:$GU$4,0),MATCH($G$50,$X$26:$X$29,0)))*C56</f>
        <v>0</v>
      </c>
      <c r="AD48" s="72">
        <f>(INDEX(($EW$5:$GU$13,$EW$17:$GU$25,$EW$30:$GU$38,$EW$42:$GU$50),MATCH($L$53,$EV$5:$EV$13,0),MATCH(A56,$EW$4:$GU$4,0),MATCH($G$50,$X$26:$X$29,0)))*C56</f>
        <v>0</v>
      </c>
      <c r="AE48" s="72">
        <f>(INDEX(($EW$5:$GU$13,$EW$17:$GU$25,$EW$30:$GU$38,$EW$42:$GU$50),MATCH($L$54,$EV$5:$EV$13,0),MATCH(A56,$EW$4:$GU$4,0),MATCH($G$50,$X$26:$X$29,0)))*C56</f>
        <v>0</v>
      </c>
      <c r="AF48" s="72">
        <f>(INDEX(($EW$5:$GU$13,$EW$17:$GU$25,$EW$30:$GU$38,$EW$42:$GU$50),MATCH($L$55,$EV$5:$EV$13,0),MATCH(A56,$EW$4:$GU$4,0),MATCH($G$50,$X$26:$X$29,0)))*C56</f>
        <v>0</v>
      </c>
      <c r="AG48" s="72">
        <f>(INDEX(($EW$5:$GU$13,$EW$17:$GU$25,$EW$30:$GU$38,$EW$42:$GU$50),MATCH($L$56,$EV$5:$EV$13,0),MATCH(A56,$EW$4:$GU$4,0),MATCH($G$50,$X$26:$X$29,0)))*C56</f>
        <v>0</v>
      </c>
      <c r="AH48" s="72">
        <f>(INDEX(($EW$5:$GU$13,$EW$17:$GU$25,$EW$30:$GU$38,$EW$42:$GU$50),MATCH($L$57,$EV$5:$EV$13,0),MATCH(A56,$EW$4:$GU$4,0),MATCH($G$50,$X$26:$X$29,0)))*C56</f>
        <v>0</v>
      </c>
      <c r="AI48" s="72"/>
      <c r="AJ48" s="72"/>
      <c r="AK48" s="72"/>
      <c r="AL48" s="72"/>
      <c r="AM48" s="72">
        <v>0</v>
      </c>
      <c r="AN48" s="72">
        <v>1</v>
      </c>
      <c r="AO48" s="72">
        <v>2</v>
      </c>
      <c r="AP48" s="72">
        <v>3</v>
      </c>
      <c r="AQ48" s="72">
        <v>4</v>
      </c>
      <c r="AR48" s="72">
        <v>5</v>
      </c>
      <c r="AS48" s="72">
        <v>6</v>
      </c>
      <c r="AT48" s="72">
        <v>7</v>
      </c>
      <c r="AU48" s="72">
        <v>8</v>
      </c>
      <c r="AV48" s="72">
        <v>9</v>
      </c>
      <c r="AW48" s="72">
        <v>10</v>
      </c>
      <c r="AX48" s="72">
        <v>11</v>
      </c>
      <c r="AY48" s="72">
        <v>12</v>
      </c>
      <c r="AZ48" s="72">
        <v>13</v>
      </c>
      <c r="BA48" s="72">
        <v>14</v>
      </c>
      <c r="BB48" s="72">
        <v>15</v>
      </c>
      <c r="BC48" s="72">
        <v>16</v>
      </c>
      <c r="BD48" s="72">
        <v>17</v>
      </c>
      <c r="BE48" s="72">
        <v>18</v>
      </c>
      <c r="BF48" s="72">
        <v>19</v>
      </c>
      <c r="BG48" s="72">
        <v>20</v>
      </c>
      <c r="BH48" s="72">
        <v>21</v>
      </c>
      <c r="BI48" s="72">
        <v>22</v>
      </c>
      <c r="BJ48" s="72">
        <v>23</v>
      </c>
      <c r="BK48" s="72">
        <v>24</v>
      </c>
      <c r="BL48" s="72">
        <v>25</v>
      </c>
      <c r="BM48" s="72">
        <v>26</v>
      </c>
      <c r="BN48" s="72">
        <v>27</v>
      </c>
      <c r="BO48" s="72">
        <v>28</v>
      </c>
      <c r="BP48" s="72">
        <v>29</v>
      </c>
      <c r="BQ48" s="72">
        <v>30</v>
      </c>
      <c r="BR48" s="72">
        <v>31</v>
      </c>
      <c r="BS48" s="72">
        <v>32</v>
      </c>
      <c r="BT48" s="72">
        <v>33</v>
      </c>
      <c r="BU48" s="72">
        <v>34</v>
      </c>
      <c r="BV48" s="72">
        <v>35</v>
      </c>
      <c r="BW48" s="72">
        <v>36</v>
      </c>
      <c r="BX48" s="72">
        <v>37</v>
      </c>
      <c r="BY48" s="72">
        <v>38</v>
      </c>
      <c r="BZ48" s="72">
        <v>39</v>
      </c>
      <c r="CA48" s="72">
        <v>40</v>
      </c>
      <c r="CB48" s="72">
        <v>41</v>
      </c>
      <c r="CC48" s="72">
        <v>42</v>
      </c>
      <c r="CD48" s="72">
        <v>43</v>
      </c>
      <c r="CE48" s="72">
        <v>44</v>
      </c>
      <c r="CF48" s="72">
        <v>45</v>
      </c>
      <c r="CG48" s="72">
        <v>46</v>
      </c>
      <c r="CH48" s="72">
        <v>47</v>
      </c>
      <c r="CI48" s="72">
        <v>48</v>
      </c>
      <c r="CJ48" s="72">
        <v>49</v>
      </c>
      <c r="CK48" s="72">
        <v>50</v>
      </c>
      <c r="CL48" s="72"/>
      <c r="CM48" s="72"/>
      <c r="CN48" s="72"/>
      <c r="CO48" s="72"/>
      <c r="CP48" s="72"/>
      <c r="CQ48" s="72"/>
      <c r="CR48" s="72"/>
      <c r="CS48" s="72"/>
      <c r="CT48" s="72"/>
      <c r="CU48" s="72"/>
      <c r="CV48" s="72"/>
      <c r="CW48" s="72"/>
      <c r="CX48" s="72"/>
      <c r="CY48" s="72"/>
      <c r="CZ48" s="72"/>
      <c r="DA48" s="72"/>
      <c r="DB48" s="72"/>
      <c r="DC48" s="72"/>
      <c r="DD48" s="72"/>
      <c r="DE48" s="72"/>
      <c r="DF48" s="72"/>
      <c r="DG48" s="72"/>
      <c r="DH48" s="72"/>
      <c r="DI48" s="72"/>
      <c r="DJ48" s="72"/>
      <c r="DK48" s="72"/>
      <c r="DL48" s="72"/>
      <c r="DM48" s="72"/>
      <c r="DN48" s="72"/>
      <c r="DO48" s="72"/>
      <c r="DP48" s="72"/>
      <c r="DQ48" s="72"/>
      <c r="DR48" s="72"/>
      <c r="DS48" s="72"/>
      <c r="DT48" s="72"/>
      <c r="DU48" s="72"/>
      <c r="DV48" s="72"/>
      <c r="DW48" s="72"/>
      <c r="DX48" s="72"/>
      <c r="DY48" s="72"/>
      <c r="DZ48" s="81">
        <v>47</v>
      </c>
      <c r="EA48" s="81"/>
      <c r="EB48" s="81" t="s">
        <v>487</v>
      </c>
      <c r="EC48" s="72"/>
      <c r="ED48" s="72"/>
      <c r="EE48" s="72"/>
      <c r="EF48" s="72"/>
      <c r="EG48" s="72"/>
      <c r="EH48" s="72"/>
      <c r="EI48" s="72"/>
      <c r="EJ48" s="72"/>
      <c r="EK48" s="72"/>
      <c r="EL48" s="72"/>
      <c r="EM48" s="72"/>
      <c r="EN48" s="72"/>
      <c r="EO48" s="72"/>
      <c r="EP48" s="72"/>
      <c r="EQ48" s="72"/>
      <c r="ER48" s="72"/>
      <c r="ES48" s="72"/>
      <c r="ET48" s="72"/>
      <c r="EU48" s="72"/>
      <c r="EV48" s="72" t="s">
        <v>101</v>
      </c>
      <c r="EW48" s="72">
        <v>0</v>
      </c>
      <c r="EX48" s="72">
        <v>0</v>
      </c>
      <c r="EY48" s="72">
        <v>0</v>
      </c>
      <c r="EZ48" s="72">
        <v>0</v>
      </c>
      <c r="FA48" s="72">
        <v>0</v>
      </c>
      <c r="FB48" s="72">
        <v>0</v>
      </c>
      <c r="FC48" s="72">
        <v>2</v>
      </c>
      <c r="FD48" s="72">
        <v>0</v>
      </c>
      <c r="FE48" s="72">
        <v>2</v>
      </c>
      <c r="FF48" s="72">
        <v>4</v>
      </c>
      <c r="FG48" s="72">
        <v>2</v>
      </c>
      <c r="FH48" s="72">
        <v>4</v>
      </c>
      <c r="FI48" s="72">
        <v>0</v>
      </c>
      <c r="FJ48" s="72">
        <v>4</v>
      </c>
      <c r="FK48" s="72">
        <v>6</v>
      </c>
      <c r="FL48" s="72">
        <v>8</v>
      </c>
      <c r="FM48" s="72">
        <v>4</v>
      </c>
      <c r="FN48" s="72">
        <v>0</v>
      </c>
      <c r="FO48" s="72">
        <v>2</v>
      </c>
      <c r="FP48" s="72">
        <v>6</v>
      </c>
      <c r="FQ48" s="72">
        <v>2</v>
      </c>
      <c r="FR48" s="72">
        <v>4</v>
      </c>
      <c r="FS48" s="72">
        <v>0</v>
      </c>
      <c r="FT48" s="72">
        <v>10</v>
      </c>
      <c r="FU48" s="72">
        <v>12</v>
      </c>
      <c r="FV48" s="72">
        <v>0</v>
      </c>
      <c r="FW48" s="72">
        <v>12</v>
      </c>
      <c r="FX48" s="72">
        <v>0</v>
      </c>
      <c r="FY48" s="72">
        <v>2</v>
      </c>
      <c r="FZ48" s="72">
        <v>16</v>
      </c>
      <c r="GA48" s="72">
        <v>8</v>
      </c>
      <c r="GB48" s="72">
        <v>4</v>
      </c>
      <c r="GC48" s="72">
        <v>10</v>
      </c>
      <c r="GD48" s="72">
        <v>10</v>
      </c>
      <c r="GE48" s="72">
        <v>6</v>
      </c>
      <c r="GF48" s="72">
        <v>2</v>
      </c>
      <c r="GG48" s="72">
        <v>4</v>
      </c>
      <c r="GH48" s="72">
        <v>0</v>
      </c>
      <c r="GI48" s="72">
        <v>4</v>
      </c>
      <c r="GJ48" s="72">
        <v>6</v>
      </c>
      <c r="GK48" s="72">
        <v>8</v>
      </c>
      <c r="GL48" s="72">
        <v>0</v>
      </c>
      <c r="GM48" s="72">
        <v>4</v>
      </c>
      <c r="GN48" s="72">
        <v>10</v>
      </c>
      <c r="GO48" s="72">
        <v>0</v>
      </c>
      <c r="GP48" s="72">
        <v>2</v>
      </c>
      <c r="GQ48" s="72">
        <v>4</v>
      </c>
      <c r="GR48" s="72">
        <v>0</v>
      </c>
      <c r="GS48" s="72">
        <v>0</v>
      </c>
      <c r="GT48" s="72">
        <v>6</v>
      </c>
      <c r="GU48" s="72">
        <v>2</v>
      </c>
      <c r="GV48" s="72"/>
      <c r="GW48" s="72"/>
      <c r="GX48" s="72"/>
      <c r="GY48" s="64" t="s">
        <v>327</v>
      </c>
      <c r="GZ48" s="64">
        <v>0</v>
      </c>
      <c r="HA48" s="64">
        <v>0</v>
      </c>
      <c r="HB48" s="64">
        <v>2</v>
      </c>
      <c r="HC48" s="64">
        <v>0</v>
      </c>
      <c r="HD48" s="64">
        <v>4</v>
      </c>
      <c r="HE48" s="64">
        <v>2</v>
      </c>
      <c r="HF48" s="64">
        <v>4</v>
      </c>
      <c r="HG48" s="64">
        <v>6</v>
      </c>
      <c r="HH48" s="64">
        <v>6</v>
      </c>
      <c r="HI48" s="64">
        <v>8</v>
      </c>
      <c r="HJ48" s="64">
        <v>6</v>
      </c>
      <c r="HK48" s="64">
        <v>8</v>
      </c>
      <c r="HL48" s="64">
        <v>10</v>
      </c>
      <c r="HM48" s="64">
        <v>10</v>
      </c>
      <c r="HN48" s="64">
        <v>12</v>
      </c>
      <c r="HO48" s="64">
        <v>10</v>
      </c>
      <c r="HP48" s="64">
        <v>12</v>
      </c>
      <c r="HQ48" s="64">
        <v>12</v>
      </c>
      <c r="HR48" s="64">
        <v>14</v>
      </c>
      <c r="HS48" s="64">
        <v>16</v>
      </c>
      <c r="HT48" s="64">
        <v>14</v>
      </c>
      <c r="HV48" s="83" t="s">
        <v>327</v>
      </c>
      <c r="HW48" s="64">
        <v>0</v>
      </c>
      <c r="HX48" s="64">
        <v>0</v>
      </c>
      <c r="HY48" s="64">
        <v>0</v>
      </c>
      <c r="HZ48" s="64">
        <v>4</v>
      </c>
      <c r="IA48" s="64">
        <v>2</v>
      </c>
      <c r="IB48" s="64">
        <v>6</v>
      </c>
      <c r="IC48" s="64">
        <v>6</v>
      </c>
      <c r="ID48" s="64">
        <v>6</v>
      </c>
      <c r="IE48" s="64">
        <v>10</v>
      </c>
      <c r="IF48" s="64">
        <v>10</v>
      </c>
      <c r="IG48" s="64">
        <v>12</v>
      </c>
      <c r="IH48" s="64">
        <v>12</v>
      </c>
      <c r="II48" s="64">
        <v>12</v>
      </c>
      <c r="IJ48" s="64">
        <v>16</v>
      </c>
      <c r="IK48" s="64">
        <v>16</v>
      </c>
      <c r="IL48" s="64">
        <v>16</v>
      </c>
      <c r="IM48" s="64">
        <v>18</v>
      </c>
      <c r="IN48" s="64">
        <v>18</v>
      </c>
      <c r="IO48" s="64">
        <v>22</v>
      </c>
      <c r="IP48" s="64">
        <v>22</v>
      </c>
      <c r="IQ48" s="64">
        <v>22</v>
      </c>
      <c r="IS48" s="64" t="s">
        <v>327</v>
      </c>
      <c r="IT48" s="64">
        <f t="shared" si="42"/>
        <v>0</v>
      </c>
      <c r="IU48" s="64">
        <f t="shared" si="43"/>
        <v>0</v>
      </c>
      <c r="IV48" s="64">
        <f t="shared" si="44"/>
        <v>0</v>
      </c>
      <c r="IW48" s="64">
        <f t="shared" si="45"/>
        <v>8</v>
      </c>
      <c r="IX48" s="64">
        <f t="shared" si="46"/>
        <v>4</v>
      </c>
      <c r="IY48" s="64">
        <f t="shared" si="47"/>
        <v>12</v>
      </c>
      <c r="IZ48" s="64">
        <f t="shared" si="48"/>
        <v>12</v>
      </c>
      <c r="JA48" s="64">
        <f t="shared" si="49"/>
        <v>12</v>
      </c>
      <c r="JB48" s="64">
        <f t="shared" si="50"/>
        <v>20</v>
      </c>
      <c r="JC48" s="64">
        <f t="shared" si="51"/>
        <v>20</v>
      </c>
      <c r="JD48" s="64">
        <f t="shared" si="52"/>
        <v>24</v>
      </c>
      <c r="JE48" s="64">
        <f t="shared" si="53"/>
        <v>24</v>
      </c>
      <c r="JF48" s="64">
        <f t="shared" si="54"/>
        <v>24</v>
      </c>
      <c r="JG48" s="64">
        <f t="shared" si="55"/>
        <v>32</v>
      </c>
      <c r="JH48" s="64">
        <f t="shared" si="56"/>
        <v>32</v>
      </c>
      <c r="JI48" s="64">
        <f t="shared" si="57"/>
        <v>32</v>
      </c>
      <c r="JJ48" s="64">
        <f t="shared" si="58"/>
        <v>36</v>
      </c>
      <c r="JK48" s="64">
        <f t="shared" si="59"/>
        <v>36</v>
      </c>
      <c r="JL48" s="64">
        <f t="shared" si="60"/>
        <v>44</v>
      </c>
      <c r="JM48" s="64">
        <f t="shared" si="61"/>
        <v>44</v>
      </c>
      <c r="JN48" s="64">
        <f t="shared" si="62"/>
        <v>44</v>
      </c>
      <c r="JQ48" s="88"/>
    </row>
    <row r="49" spans="1:298" x14ac:dyDescent="0.25">
      <c r="A49" s="8"/>
      <c r="B49" s="5" t="s">
        <v>61</v>
      </c>
      <c r="C49" s="8"/>
      <c r="D49" s="9"/>
      <c r="E49" s="9"/>
      <c r="F49" s="9"/>
      <c r="G49" s="9"/>
      <c r="H49" s="9"/>
      <c r="I49" s="9"/>
      <c r="J49" s="9"/>
      <c r="K49" s="9"/>
      <c r="L49" s="5" t="s">
        <v>53</v>
      </c>
      <c r="M49" s="5" t="s">
        <v>559</v>
      </c>
      <c r="N49" s="5" t="s">
        <v>436</v>
      </c>
      <c r="O49" s="5" t="s">
        <v>442</v>
      </c>
      <c r="P49" s="5" t="s">
        <v>443</v>
      </c>
      <c r="Q49" s="5" t="s">
        <v>444</v>
      </c>
      <c r="R49" s="5" t="s">
        <v>445</v>
      </c>
      <c r="S49" s="5" t="s">
        <v>446</v>
      </c>
      <c r="T49" s="5" t="s">
        <v>447</v>
      </c>
      <c r="U49" s="5" t="s">
        <v>438</v>
      </c>
      <c r="V49" s="72"/>
      <c r="W49" s="85">
        <f t="shared" si="85"/>
        <v>0</v>
      </c>
      <c r="X49" s="72">
        <f t="shared" si="86"/>
        <v>0</v>
      </c>
      <c r="Y49" s="72"/>
      <c r="Z49" s="72">
        <f>(INDEX(($EW$5:$GU$13,$EW$17:$GU$25,$EW$30:$GU$38,$EW$42:$GU$50),MATCH($L$58,$EV$5:$EV$13,0),MATCH(A57,$EW$4:$GU$4,0),MATCH($G$50,$X$26:$X$29,0)))*C57</f>
        <v>0</v>
      </c>
      <c r="AA49" s="72">
        <f>(INDEX(($EW$5:$GU$13,$EW$17:$GU$25,$EW$30:$GU$38,$EW$42:$GU$50),MATCH($L$50,$EV$5:$EV$13,0),MATCH(A57,$EW$4:$GU$4,0),MATCH($G$50,$X$26:$X$29,0)))*C57</f>
        <v>0</v>
      </c>
      <c r="AB49" s="72">
        <f>(INDEX(($EW$5:$GU$13,$EW$17:$GU$25,$EW$30:$GU$38,$EW$42:$GU$50),MATCH($L$51,$EV$5:$EV$13,0),MATCH(A57,$EW$4:$GU$4,0),MATCH($G$50,$X$26:$X$29,0)))*C57</f>
        <v>0</v>
      </c>
      <c r="AC49" s="72">
        <f>(INDEX(($EW$5:$GU$13,$EW$17:$GU$25,$EW$30:$GU$38,$EW$42:$GU$50),MATCH($L$52,$EV$5:$EV$13,0),MATCH(A57,$EW$4:$GU$4,0),MATCH($G$50,$X$26:$X$29,0)))*C57</f>
        <v>0</v>
      </c>
      <c r="AD49" s="72">
        <f>(INDEX(($EW$5:$GU$13,$EW$17:$GU$25,$EW$30:$GU$38,$EW$42:$GU$50),MATCH($L$53,$EV$5:$EV$13,0),MATCH(A57,$EW$4:$GU$4,0),MATCH($G$50,$X$26:$X$29,0)))*C57</f>
        <v>0</v>
      </c>
      <c r="AE49" s="72">
        <f>(INDEX(($EW$5:$GU$13,$EW$17:$GU$25,$EW$30:$GU$38,$EW$42:$GU$50),MATCH($L$54,$EV$5:$EV$13,0),MATCH(A57,$EW$4:$GU$4,0),MATCH($G$50,$X$26:$X$29,0)))*C57</f>
        <v>0</v>
      </c>
      <c r="AF49" s="72">
        <f>(INDEX(($EW$5:$GU$13,$EW$17:$GU$25,$EW$30:$GU$38,$EW$42:$GU$50),MATCH($L$55,$EV$5:$EV$13,0),MATCH(A57,$EW$4:$GU$4,0),MATCH($G$50,$X$26:$X$29,0)))*C57</f>
        <v>0</v>
      </c>
      <c r="AG49" s="72">
        <f>(INDEX(($EW$5:$GU$13,$EW$17:$GU$25,$EW$30:$GU$38,$EW$42:$GU$50),MATCH($L$56,$EV$5:$EV$13,0),MATCH(A57,$EW$4:$GU$4,0),MATCH($G$50,$X$26:$X$29,0)))*C57</f>
        <v>0</v>
      </c>
      <c r="AH49" s="72">
        <f>(INDEX(($EW$5:$GU$13,$EW$17:$GU$25,$EW$30:$GU$38,$EW$42:$GU$50),MATCH($L$57,$EV$5:$EV$13,0),MATCH(A57,$EW$4:$GU$4,0),MATCH($G$50,$X$26:$X$29,0)))*C57</f>
        <v>0</v>
      </c>
      <c r="AI49" s="72"/>
      <c r="AJ49" s="72"/>
      <c r="AK49" s="72"/>
      <c r="AL49" s="72" t="s">
        <v>63</v>
      </c>
      <c r="AM49" s="72">
        <v>0</v>
      </c>
      <c r="AN49" s="72">
        <v>0</v>
      </c>
      <c r="AO49" s="72">
        <v>0</v>
      </c>
      <c r="AP49" s="72">
        <v>0</v>
      </c>
      <c r="AQ49" s="72">
        <v>0</v>
      </c>
      <c r="AR49" s="72">
        <v>0</v>
      </c>
      <c r="AS49" s="72">
        <v>0</v>
      </c>
      <c r="AT49" s="72">
        <v>0</v>
      </c>
      <c r="AU49" s="72">
        <v>0</v>
      </c>
      <c r="AV49" s="72">
        <v>0</v>
      </c>
      <c r="AW49" s="72">
        <v>0</v>
      </c>
      <c r="AX49" s="72">
        <v>0</v>
      </c>
      <c r="AY49" s="72">
        <v>0</v>
      </c>
      <c r="AZ49" s="72">
        <v>0</v>
      </c>
      <c r="BA49" s="72">
        <v>0</v>
      </c>
      <c r="BB49" s="72">
        <v>0</v>
      </c>
      <c r="BC49" s="72">
        <v>0</v>
      </c>
      <c r="BD49" s="72">
        <v>0</v>
      </c>
      <c r="BE49" s="72">
        <v>0</v>
      </c>
      <c r="BF49" s="72">
        <v>0</v>
      </c>
      <c r="BG49" s="72">
        <v>0</v>
      </c>
      <c r="BH49" s="72">
        <v>0</v>
      </c>
      <c r="BI49" s="72">
        <v>0</v>
      </c>
      <c r="BJ49" s="72">
        <v>0</v>
      </c>
      <c r="BK49" s="72">
        <v>0</v>
      </c>
      <c r="BL49" s="72">
        <v>0</v>
      </c>
      <c r="BM49" s="72">
        <v>0</v>
      </c>
      <c r="BN49" s="72">
        <v>0</v>
      </c>
      <c r="BO49" s="72">
        <v>0</v>
      </c>
      <c r="BP49" s="72">
        <v>0</v>
      </c>
      <c r="BQ49" s="72">
        <v>0</v>
      </c>
      <c r="BR49" s="72">
        <v>0</v>
      </c>
      <c r="BS49" s="72">
        <v>0</v>
      </c>
      <c r="BT49" s="72">
        <v>0</v>
      </c>
      <c r="BU49" s="72">
        <v>0</v>
      </c>
      <c r="BV49" s="72">
        <v>0</v>
      </c>
      <c r="BW49" s="72">
        <v>0</v>
      </c>
      <c r="BX49" s="72">
        <v>2</v>
      </c>
      <c r="BY49" s="72">
        <v>0</v>
      </c>
      <c r="BZ49" s="72">
        <v>0</v>
      </c>
      <c r="CA49" s="72">
        <v>0</v>
      </c>
      <c r="CB49" s="72">
        <v>0</v>
      </c>
      <c r="CC49" s="72">
        <v>0</v>
      </c>
      <c r="CD49" s="72">
        <v>0</v>
      </c>
      <c r="CE49" s="72">
        <v>0</v>
      </c>
      <c r="CF49" s="72">
        <v>0</v>
      </c>
      <c r="CG49" s="72">
        <v>0</v>
      </c>
      <c r="CH49" s="72">
        <v>0</v>
      </c>
      <c r="CI49" s="72">
        <v>0</v>
      </c>
      <c r="CJ49" s="72">
        <v>0</v>
      </c>
      <c r="CK49" s="72">
        <v>0</v>
      </c>
      <c r="CL49" s="72"/>
      <c r="CM49" s="72" t="s">
        <v>59</v>
      </c>
      <c r="CN49" s="72"/>
      <c r="CO49" s="72"/>
      <c r="CP49" s="72"/>
      <c r="CQ49" s="72"/>
      <c r="CR49" s="72"/>
      <c r="CS49" s="72"/>
      <c r="CT49" s="72"/>
      <c r="CU49" s="72"/>
      <c r="CV49" s="72"/>
      <c r="CW49" s="72"/>
      <c r="CX49" s="72"/>
      <c r="CY49" s="72"/>
      <c r="CZ49" s="72"/>
      <c r="DA49" s="72"/>
      <c r="DB49" s="72"/>
      <c r="DC49" s="72"/>
      <c r="DD49" s="72"/>
      <c r="DE49" s="72"/>
      <c r="DF49" s="72"/>
      <c r="DG49" s="72"/>
      <c r="DH49" s="72"/>
      <c r="DI49" s="72"/>
      <c r="DJ49" s="72"/>
      <c r="DK49" s="72"/>
      <c r="DL49" s="72"/>
      <c r="DM49" s="72"/>
      <c r="DN49" s="72"/>
      <c r="DO49" s="72"/>
      <c r="DP49" s="72"/>
      <c r="DQ49" s="72"/>
      <c r="DR49" s="72"/>
      <c r="DS49" s="72"/>
      <c r="DT49" s="72"/>
      <c r="DU49" s="72"/>
      <c r="DV49" s="72"/>
      <c r="DW49" s="72"/>
      <c r="DX49" s="72"/>
      <c r="DY49" s="72"/>
      <c r="DZ49" s="81">
        <v>48</v>
      </c>
      <c r="EA49" s="81"/>
      <c r="EB49" s="81"/>
      <c r="EC49" s="72"/>
      <c r="ED49" s="72"/>
      <c r="EE49" s="72"/>
      <c r="EF49" s="72"/>
      <c r="EG49" s="72"/>
      <c r="EH49" s="72"/>
      <c r="EI49" s="72"/>
      <c r="EJ49" s="72"/>
      <c r="EK49" s="72"/>
      <c r="EL49" s="72"/>
      <c r="EM49" s="72"/>
      <c r="EN49" s="72"/>
      <c r="EO49" s="72"/>
      <c r="EP49" s="72"/>
      <c r="EQ49" s="72"/>
      <c r="ER49" s="72"/>
      <c r="ES49" s="72"/>
      <c r="ET49" s="72"/>
      <c r="EU49" s="72"/>
      <c r="EV49" s="72" t="s">
        <v>102</v>
      </c>
      <c r="EW49" s="72">
        <v>0</v>
      </c>
      <c r="EX49" s="72">
        <v>0</v>
      </c>
      <c r="EY49" s="72">
        <v>0</v>
      </c>
      <c r="EZ49" s="72">
        <v>2</v>
      </c>
      <c r="FA49" s="72">
        <v>2</v>
      </c>
      <c r="FB49" s="72">
        <v>0</v>
      </c>
      <c r="FC49" s="72">
        <v>2</v>
      </c>
      <c r="FD49" s="72">
        <v>4</v>
      </c>
      <c r="FE49" s="72">
        <v>0</v>
      </c>
      <c r="FF49" s="72">
        <v>2</v>
      </c>
      <c r="FG49" s="72">
        <v>4</v>
      </c>
      <c r="FH49" s="72">
        <v>0</v>
      </c>
      <c r="FI49" s="72">
        <v>6</v>
      </c>
      <c r="FJ49" s="72">
        <v>4</v>
      </c>
      <c r="FK49" s="72">
        <v>0</v>
      </c>
      <c r="FL49" s="72">
        <v>2</v>
      </c>
      <c r="FM49" s="72">
        <v>0</v>
      </c>
      <c r="FN49" s="72">
        <v>6</v>
      </c>
      <c r="FO49" s="72">
        <v>8</v>
      </c>
      <c r="FP49" s="72">
        <v>0</v>
      </c>
      <c r="FQ49" s="72">
        <v>6</v>
      </c>
      <c r="FR49" s="72">
        <v>8</v>
      </c>
      <c r="FS49" s="72">
        <v>14</v>
      </c>
      <c r="FT49" s="72">
        <v>2</v>
      </c>
      <c r="FU49" s="72">
        <v>4</v>
      </c>
      <c r="FV49" s="72">
        <v>16</v>
      </c>
      <c r="FW49" s="72">
        <v>2</v>
      </c>
      <c r="FX49" s="72">
        <v>14</v>
      </c>
      <c r="FY49" s="72">
        <v>16</v>
      </c>
      <c r="FZ49" s="72">
        <v>0</v>
      </c>
      <c r="GA49" s="72">
        <v>10</v>
      </c>
      <c r="GB49" s="72">
        <v>16</v>
      </c>
      <c r="GC49" s="72">
        <v>8</v>
      </c>
      <c r="GD49" s="72">
        <v>10</v>
      </c>
      <c r="GE49" s="72">
        <v>16</v>
      </c>
      <c r="GF49" s="72">
        <v>14</v>
      </c>
      <c r="GG49" s="72">
        <v>16</v>
      </c>
      <c r="GH49" s="72">
        <v>22</v>
      </c>
      <c r="GI49" s="72">
        <v>14</v>
      </c>
      <c r="GJ49" s="72">
        <v>16</v>
      </c>
      <c r="GK49" s="72">
        <v>18</v>
      </c>
      <c r="GL49" s="72">
        <v>26</v>
      </c>
      <c r="GM49" s="72">
        <v>20</v>
      </c>
      <c r="GN49" s="72">
        <v>18</v>
      </c>
      <c r="GO49" s="72">
        <v>28</v>
      </c>
      <c r="GP49" s="72">
        <v>22</v>
      </c>
      <c r="GQ49" s="72">
        <v>24</v>
      </c>
      <c r="GR49" s="72">
        <v>30</v>
      </c>
      <c r="GS49" s="72">
        <v>30</v>
      </c>
      <c r="GT49" s="72">
        <v>24</v>
      </c>
      <c r="GU49" s="72">
        <v>30</v>
      </c>
      <c r="GV49" s="72"/>
      <c r="GW49" s="72"/>
      <c r="GX49" s="72"/>
      <c r="GY49" s="64" t="s">
        <v>328</v>
      </c>
      <c r="GZ49" s="64">
        <v>0</v>
      </c>
      <c r="HA49" s="64">
        <v>0</v>
      </c>
      <c r="HB49" s="64">
        <v>0</v>
      </c>
      <c r="HC49" s="64">
        <v>2</v>
      </c>
      <c r="HD49" s="64">
        <v>2</v>
      </c>
      <c r="HE49" s="64">
        <v>4</v>
      </c>
      <c r="HF49" s="64">
        <v>4</v>
      </c>
      <c r="HG49" s="64">
        <v>4</v>
      </c>
      <c r="HH49" s="64">
        <v>6</v>
      </c>
      <c r="HI49" s="64">
        <v>6</v>
      </c>
      <c r="HJ49" s="64">
        <v>8</v>
      </c>
      <c r="HK49" s="64">
        <v>8</v>
      </c>
      <c r="HL49" s="64">
        <v>8</v>
      </c>
      <c r="HM49" s="64">
        <v>10</v>
      </c>
      <c r="HN49" s="64">
        <v>10</v>
      </c>
      <c r="HO49" s="64">
        <v>12</v>
      </c>
      <c r="HP49" s="64">
        <v>12</v>
      </c>
      <c r="HQ49" s="64">
        <v>14</v>
      </c>
      <c r="HR49" s="64">
        <v>14</v>
      </c>
      <c r="HS49" s="64">
        <v>14</v>
      </c>
      <c r="HT49" s="64">
        <v>16</v>
      </c>
      <c r="HV49" s="64" t="s">
        <v>406</v>
      </c>
      <c r="HW49" s="64">
        <v>0</v>
      </c>
      <c r="HX49" s="64">
        <v>0</v>
      </c>
      <c r="HY49" s="64">
        <v>2</v>
      </c>
      <c r="HZ49" s="64">
        <v>2</v>
      </c>
      <c r="IA49" s="64">
        <v>4</v>
      </c>
      <c r="IB49" s="64">
        <v>4</v>
      </c>
      <c r="IC49" s="64">
        <v>6</v>
      </c>
      <c r="ID49" s="64">
        <v>8</v>
      </c>
      <c r="IE49" s="64">
        <v>8</v>
      </c>
      <c r="IF49" s="64">
        <v>10</v>
      </c>
      <c r="IG49" s="64">
        <v>10</v>
      </c>
      <c r="IH49" s="64">
        <v>12</v>
      </c>
      <c r="II49" s="64">
        <v>14</v>
      </c>
      <c r="IJ49" s="64">
        <v>14</v>
      </c>
      <c r="IK49" s="64">
        <v>16</v>
      </c>
      <c r="IL49" s="64">
        <v>18</v>
      </c>
      <c r="IM49" s="64">
        <v>18</v>
      </c>
      <c r="IN49" s="64">
        <v>20</v>
      </c>
      <c r="IO49" s="64">
        <v>20</v>
      </c>
      <c r="IP49" s="64">
        <v>22</v>
      </c>
      <c r="IQ49" s="64">
        <v>24</v>
      </c>
      <c r="IS49" s="64" t="s">
        <v>406</v>
      </c>
      <c r="IT49" s="64">
        <f t="shared" si="42"/>
        <v>0</v>
      </c>
      <c r="IU49" s="64">
        <f t="shared" si="43"/>
        <v>0</v>
      </c>
      <c r="IV49" s="64">
        <f t="shared" si="44"/>
        <v>4</v>
      </c>
      <c r="IW49" s="64">
        <f t="shared" si="45"/>
        <v>4</v>
      </c>
      <c r="IX49" s="64">
        <f t="shared" si="46"/>
        <v>8</v>
      </c>
      <c r="IY49" s="64">
        <f t="shared" si="47"/>
        <v>8</v>
      </c>
      <c r="IZ49" s="64">
        <f t="shared" si="48"/>
        <v>12</v>
      </c>
      <c r="JA49" s="64">
        <f t="shared" si="49"/>
        <v>16</v>
      </c>
      <c r="JB49" s="64">
        <f t="shared" si="50"/>
        <v>16</v>
      </c>
      <c r="JC49" s="64">
        <f t="shared" si="51"/>
        <v>20</v>
      </c>
      <c r="JD49" s="64">
        <f t="shared" si="52"/>
        <v>20</v>
      </c>
      <c r="JE49" s="64">
        <f t="shared" si="53"/>
        <v>24</v>
      </c>
      <c r="JF49" s="64">
        <f t="shared" si="54"/>
        <v>28</v>
      </c>
      <c r="JG49" s="64">
        <f t="shared" si="55"/>
        <v>28</v>
      </c>
      <c r="JH49" s="64">
        <f t="shared" si="56"/>
        <v>32</v>
      </c>
      <c r="JI49" s="64">
        <f t="shared" si="57"/>
        <v>36</v>
      </c>
      <c r="JJ49" s="64">
        <f t="shared" si="58"/>
        <v>36</v>
      </c>
      <c r="JK49" s="64">
        <f t="shared" si="59"/>
        <v>40</v>
      </c>
      <c r="JL49" s="64">
        <f t="shared" si="60"/>
        <v>40</v>
      </c>
      <c r="JM49" s="64">
        <f t="shared" si="61"/>
        <v>44</v>
      </c>
      <c r="JN49" s="64">
        <f t="shared" si="62"/>
        <v>48</v>
      </c>
      <c r="JQ49" s="88"/>
    </row>
    <row r="50" spans="1:298" x14ac:dyDescent="0.25">
      <c r="A50" s="8"/>
      <c r="B50" s="5" t="s">
        <v>61</v>
      </c>
      <c r="C50" s="8"/>
      <c r="D50" s="6" t="s">
        <v>452</v>
      </c>
      <c r="E50" s="8" t="s">
        <v>67</v>
      </c>
      <c r="F50" s="5" t="s">
        <v>61</v>
      </c>
      <c r="G50" s="8" t="s">
        <v>205</v>
      </c>
      <c r="H50" s="5" t="s">
        <v>61</v>
      </c>
      <c r="I50" s="8">
        <v>30</v>
      </c>
      <c r="J50" s="5" t="s">
        <v>62</v>
      </c>
      <c r="K50" s="9"/>
      <c r="L50" s="6" t="s">
        <v>99</v>
      </c>
      <c r="M50" s="11">
        <f>INDEX(cenník!$C$2:$I$568,MATCH($L50,cenník!$B$2:$B$557,0),MATCH(M$2,cenník!$C$1:$I$1,0))</f>
        <v>856210</v>
      </c>
      <c r="N50" s="11" t="str">
        <f>INDEX(cenník!$C$2:$I$568,MATCH($L50,cenník!$B$2:$B$557,0),MATCH(N$2,cenník!$C$1:$I$1,0))</f>
        <v>ks</v>
      </c>
      <c r="O50" s="11">
        <f>SUM(AA41:AA56)</f>
        <v>0</v>
      </c>
      <c r="P50" s="36">
        <f>INDEX(cenník!$C$2:$I$568,MATCH($L50,cenník!$B$2:$B$557,0),MATCH(P$2,cenník!$C$1:$I$1,0))</f>
        <v>7.25</v>
      </c>
      <c r="Q50" s="36">
        <f>O50*P50</f>
        <v>0</v>
      </c>
      <c r="R50" s="37">
        <f t="shared" ref="R50:R73" si="90">$E$54</f>
        <v>0</v>
      </c>
      <c r="S50" s="36">
        <f t="shared" ref="S50:S73" si="91">P50*((100-$E$54)/100)</f>
        <v>7.25</v>
      </c>
      <c r="T50" s="36">
        <f>O50*S50</f>
        <v>0</v>
      </c>
      <c r="U50" s="36">
        <f>INDEX(cenník!$C$2:$I$568,MATCH($L50,cenník!$B$2:$B$557,0),MATCH(U$2,cenník!$C$1:$I$1,0))*O50</f>
        <v>0</v>
      </c>
      <c r="V50" s="72"/>
      <c r="W50" s="85">
        <f t="shared" si="85"/>
        <v>0</v>
      </c>
      <c r="X50" s="72">
        <f t="shared" si="86"/>
        <v>0</v>
      </c>
      <c r="Y50" s="72"/>
      <c r="Z50" s="72">
        <f>(INDEX(($EW$5:$GU$13,$EW$17:$GU$25,$EW$30:$GU$38,$EW$42:$GU$50),MATCH($L$58,$EV$5:$EV$13,0),MATCH(A58,$EW$4:$GU$4,0),MATCH($G$50,$X$26:$X$29,0)))*C58</f>
        <v>0</v>
      </c>
      <c r="AA50" s="72">
        <f>(INDEX(($EW$5:$GU$13,$EW$17:$GU$25,$EW$30:$GU$38,$EW$42:$GU$50),MATCH($L$50,$EV$5:$EV$13,0),MATCH(A58,$EW$4:$GU$4,0),MATCH($G$50,$X$26:$X$29,0)))*C58</f>
        <v>0</v>
      </c>
      <c r="AB50" s="72">
        <f>(INDEX(($EW$5:$GU$13,$EW$17:$GU$25,$EW$30:$GU$38,$EW$42:$GU$50),MATCH($L$51,$EV$5:$EV$13,0),MATCH(A58,$EW$4:$GU$4,0),MATCH($G$50,$X$26:$X$29,0)))*C58</f>
        <v>0</v>
      </c>
      <c r="AC50" s="72">
        <f>(INDEX(($EW$5:$GU$13,$EW$17:$GU$25,$EW$30:$GU$38,$EW$42:$GU$50),MATCH($L$52,$EV$5:$EV$13,0),MATCH(A58,$EW$4:$GU$4,0),MATCH($G$50,$X$26:$X$29,0)))*C58</f>
        <v>0</v>
      </c>
      <c r="AD50" s="72">
        <f>(INDEX(($EW$5:$GU$13,$EW$17:$GU$25,$EW$30:$GU$38,$EW$42:$GU$50),MATCH($L$53,$EV$5:$EV$13,0),MATCH(A58,$EW$4:$GU$4,0),MATCH($G$50,$X$26:$X$29,0)))*C58</f>
        <v>0</v>
      </c>
      <c r="AE50" s="72">
        <f>(INDEX(($EW$5:$GU$13,$EW$17:$GU$25,$EW$30:$GU$38,$EW$42:$GU$50),MATCH($L$54,$EV$5:$EV$13,0),MATCH(A58,$EW$4:$GU$4,0),MATCH($G$50,$X$26:$X$29,0)))*C58</f>
        <v>0</v>
      </c>
      <c r="AF50" s="72">
        <f>(INDEX(($EW$5:$GU$13,$EW$17:$GU$25,$EW$30:$GU$38,$EW$42:$GU$50),MATCH($L$55,$EV$5:$EV$13,0),MATCH(A58,$EW$4:$GU$4,0),MATCH($G$50,$X$26:$X$29,0)))*C58</f>
        <v>0</v>
      </c>
      <c r="AG50" s="72">
        <f>(INDEX(($EW$5:$GU$13,$EW$17:$GU$25,$EW$30:$GU$38,$EW$42:$GU$50),MATCH($L$56,$EV$5:$EV$13,0),MATCH(A58,$EW$4:$GU$4,0),MATCH($G$50,$X$26:$X$29,0)))*C58</f>
        <v>0</v>
      </c>
      <c r="AH50" s="72">
        <f>(INDEX(($EW$5:$GU$13,$EW$17:$GU$25,$EW$30:$GU$38,$EW$42:$GU$50),MATCH($L$57,$EV$5:$EV$13,0),MATCH(A58,$EW$4:$GU$4,0),MATCH($G$50,$X$26:$X$29,0)))*C58</f>
        <v>0</v>
      </c>
      <c r="AI50" s="72"/>
      <c r="AJ50" s="72"/>
      <c r="AK50" s="72"/>
      <c r="AL50" s="72" t="s">
        <v>11</v>
      </c>
      <c r="AM50" s="72">
        <v>0</v>
      </c>
      <c r="AN50" s="72">
        <v>2</v>
      </c>
      <c r="AO50" s="72">
        <v>4</v>
      </c>
      <c r="AP50" s="72">
        <v>2</v>
      </c>
      <c r="AQ50" s="72">
        <v>4</v>
      </c>
      <c r="AR50" s="72">
        <v>2</v>
      </c>
      <c r="AS50" s="72">
        <v>4</v>
      </c>
      <c r="AT50" s="72">
        <v>0</v>
      </c>
      <c r="AU50" s="72">
        <v>4</v>
      </c>
      <c r="AV50" s="72">
        <v>0</v>
      </c>
      <c r="AW50" s="72">
        <v>4</v>
      </c>
      <c r="AX50" s="72">
        <v>0</v>
      </c>
      <c r="AY50" s="72">
        <v>4</v>
      </c>
      <c r="AZ50" s="72">
        <v>0</v>
      </c>
      <c r="BA50" s="72">
        <v>0</v>
      </c>
      <c r="BB50" s="72">
        <v>0</v>
      </c>
      <c r="BC50" s="72">
        <v>0</v>
      </c>
      <c r="BD50" s="72">
        <v>0</v>
      </c>
      <c r="BE50" s="72">
        <v>0</v>
      </c>
      <c r="BF50" s="72">
        <v>0</v>
      </c>
      <c r="BG50" s="72">
        <v>0</v>
      </c>
      <c r="BH50" s="72">
        <v>0</v>
      </c>
      <c r="BI50" s="72">
        <v>0</v>
      </c>
      <c r="BJ50" s="72">
        <v>0</v>
      </c>
      <c r="BK50" s="72">
        <v>0</v>
      </c>
      <c r="BL50" s="72">
        <v>0</v>
      </c>
      <c r="BM50" s="72">
        <v>0</v>
      </c>
      <c r="BN50" s="72">
        <v>4</v>
      </c>
      <c r="BO50" s="72">
        <v>0</v>
      </c>
      <c r="BP50" s="72">
        <v>0</v>
      </c>
      <c r="BQ50" s="72">
        <v>0</v>
      </c>
      <c r="BR50" s="72">
        <v>0</v>
      </c>
      <c r="BS50" s="72">
        <v>0</v>
      </c>
      <c r="BT50" s="72">
        <v>0</v>
      </c>
      <c r="BU50" s="72">
        <v>0</v>
      </c>
      <c r="BV50" s="72">
        <v>0</v>
      </c>
      <c r="BW50" s="72">
        <v>0</v>
      </c>
      <c r="BX50" s="72">
        <v>0</v>
      </c>
      <c r="BY50" s="72">
        <v>0</v>
      </c>
      <c r="BZ50" s="72">
        <v>0</v>
      </c>
      <c r="CA50" s="72">
        <v>0</v>
      </c>
      <c r="CB50" s="72">
        <v>0</v>
      </c>
      <c r="CC50" s="72">
        <v>0</v>
      </c>
      <c r="CD50" s="72">
        <v>0</v>
      </c>
      <c r="CE50" s="72">
        <v>0</v>
      </c>
      <c r="CF50" s="72">
        <v>0</v>
      </c>
      <c r="CG50" s="72">
        <v>0</v>
      </c>
      <c r="CH50" s="72">
        <v>0</v>
      </c>
      <c r="CI50" s="72">
        <v>0</v>
      </c>
      <c r="CJ50" s="72">
        <v>0</v>
      </c>
      <c r="CK50" s="72">
        <v>0</v>
      </c>
      <c r="CL50" s="72"/>
      <c r="CM50" s="72"/>
      <c r="CN50" s="72">
        <v>0</v>
      </c>
      <c r="CO50" s="72">
        <v>1</v>
      </c>
      <c r="CP50" s="72">
        <v>2</v>
      </c>
      <c r="CQ50" s="72">
        <v>3</v>
      </c>
      <c r="CR50" s="72">
        <v>4</v>
      </c>
      <c r="CS50" s="72">
        <v>5</v>
      </c>
      <c r="CT50" s="72">
        <v>6</v>
      </c>
      <c r="CU50" s="72">
        <v>7</v>
      </c>
      <c r="CV50" s="72">
        <v>8</v>
      </c>
      <c r="CW50" s="72">
        <v>9</v>
      </c>
      <c r="CX50" s="72">
        <v>10</v>
      </c>
      <c r="CY50" s="72">
        <v>11</v>
      </c>
      <c r="CZ50" s="72">
        <v>12</v>
      </c>
      <c r="DA50" s="72">
        <v>13</v>
      </c>
      <c r="DB50" s="72">
        <v>14</v>
      </c>
      <c r="DC50" s="72">
        <v>15</v>
      </c>
      <c r="DD50" s="72">
        <v>16</v>
      </c>
      <c r="DE50" s="72">
        <v>17</v>
      </c>
      <c r="DF50" s="72">
        <v>18</v>
      </c>
      <c r="DG50" s="72">
        <v>19</v>
      </c>
      <c r="DH50" s="72">
        <v>20</v>
      </c>
      <c r="DI50" s="72"/>
      <c r="DJ50" s="72"/>
      <c r="DK50" s="72"/>
      <c r="DL50" s="72"/>
      <c r="DM50" s="72"/>
      <c r="DN50" s="72"/>
      <c r="DO50" s="72"/>
      <c r="DP50" s="72"/>
      <c r="DQ50" s="72"/>
      <c r="DR50" s="72"/>
      <c r="DS50" s="72"/>
      <c r="DT50" s="72"/>
      <c r="DU50" s="72"/>
      <c r="DV50" s="72"/>
      <c r="DW50" s="72"/>
      <c r="DX50" s="72"/>
      <c r="DY50" s="72"/>
      <c r="DZ50" s="81">
        <v>49</v>
      </c>
      <c r="EA50" s="81"/>
      <c r="EB50" s="81"/>
      <c r="EC50" s="72"/>
      <c r="ED50" s="72"/>
      <c r="EE50" s="72"/>
      <c r="EF50" s="72"/>
      <c r="EG50" s="72"/>
      <c r="EH50" s="72"/>
      <c r="EI50" s="72"/>
      <c r="EJ50" s="72"/>
      <c r="EK50" s="72"/>
      <c r="EL50" s="72"/>
      <c r="EM50" s="72"/>
      <c r="EN50" s="72"/>
      <c r="EO50" s="72"/>
      <c r="EP50" s="72"/>
      <c r="EQ50" s="72"/>
      <c r="ER50" s="72"/>
      <c r="ES50" s="72"/>
      <c r="ET50" s="72"/>
      <c r="EU50" s="72"/>
      <c r="EV50" s="72" t="s">
        <v>10</v>
      </c>
      <c r="EW50" s="72">
        <v>0</v>
      </c>
      <c r="EX50" s="72">
        <v>0</v>
      </c>
      <c r="EY50" s="72">
        <v>2</v>
      </c>
      <c r="EZ50" s="72">
        <v>0</v>
      </c>
      <c r="FA50" s="72">
        <v>2</v>
      </c>
      <c r="FB50" s="72">
        <v>2</v>
      </c>
      <c r="FC50" s="72">
        <v>2</v>
      </c>
      <c r="FD50" s="72">
        <v>4</v>
      </c>
      <c r="FE50" s="72">
        <v>4</v>
      </c>
      <c r="FF50" s="72">
        <v>4</v>
      </c>
      <c r="FG50" s="72">
        <v>6</v>
      </c>
      <c r="FH50" s="72">
        <v>6</v>
      </c>
      <c r="FI50" s="72">
        <v>6</v>
      </c>
      <c r="FJ50" s="72">
        <v>8</v>
      </c>
      <c r="FK50" s="72">
        <v>8</v>
      </c>
      <c r="FL50" s="72">
        <v>8</v>
      </c>
      <c r="FM50" s="72">
        <v>10</v>
      </c>
      <c r="FN50" s="72">
        <v>10</v>
      </c>
      <c r="FO50" s="72">
        <v>10</v>
      </c>
      <c r="FP50" s="72">
        <v>12</v>
      </c>
      <c r="FQ50" s="72">
        <v>12</v>
      </c>
      <c r="FR50" s="72">
        <v>12</v>
      </c>
      <c r="FS50" s="72">
        <v>12</v>
      </c>
      <c r="FT50" s="72">
        <v>14</v>
      </c>
      <c r="FU50" s="72">
        <v>14</v>
      </c>
      <c r="FV50" s="72">
        <v>14</v>
      </c>
      <c r="FW50" s="72">
        <v>16</v>
      </c>
      <c r="FX50" s="72">
        <v>16</v>
      </c>
      <c r="FY50" s="72">
        <v>16</v>
      </c>
      <c r="FZ50" s="72">
        <v>18</v>
      </c>
      <c r="GA50" s="72">
        <v>18</v>
      </c>
      <c r="GB50" s="72">
        <v>18</v>
      </c>
      <c r="GC50" s="72">
        <v>20</v>
      </c>
      <c r="GD50" s="72">
        <v>20</v>
      </c>
      <c r="GE50" s="72">
        <v>20</v>
      </c>
      <c r="GF50" s="72">
        <v>22</v>
      </c>
      <c r="GG50" s="72">
        <v>22</v>
      </c>
      <c r="GH50" s="72">
        <v>22</v>
      </c>
      <c r="GI50" s="72">
        <v>24</v>
      </c>
      <c r="GJ50" s="72">
        <v>24</v>
      </c>
      <c r="GK50" s="72">
        <v>24</v>
      </c>
      <c r="GL50" s="72">
        <v>24</v>
      </c>
      <c r="GM50" s="72">
        <v>26</v>
      </c>
      <c r="GN50" s="72">
        <v>26</v>
      </c>
      <c r="GO50" s="72">
        <v>26</v>
      </c>
      <c r="GP50" s="72">
        <v>28</v>
      </c>
      <c r="GQ50" s="72">
        <v>28</v>
      </c>
      <c r="GR50" s="72">
        <v>28</v>
      </c>
      <c r="GS50" s="72">
        <v>28</v>
      </c>
      <c r="GT50" s="72">
        <v>30</v>
      </c>
      <c r="GU50" s="72">
        <v>30</v>
      </c>
      <c r="GV50" s="72"/>
      <c r="GW50" s="72"/>
      <c r="GX50" s="72"/>
      <c r="JQ50" s="88"/>
    </row>
    <row r="51" spans="1:298" x14ac:dyDescent="0.25">
      <c r="A51" s="8"/>
      <c r="B51" s="5" t="s">
        <v>61</v>
      </c>
      <c r="C51" s="8"/>
      <c r="D51" s="6" t="s">
        <v>456</v>
      </c>
      <c r="E51" s="8" t="s">
        <v>466</v>
      </c>
      <c r="F51" s="5"/>
      <c r="G51" s="5"/>
      <c r="H51" s="5"/>
      <c r="I51" s="5"/>
      <c r="J51" s="5" t="s">
        <v>62</v>
      </c>
      <c r="K51" s="9"/>
      <c r="L51" s="6" t="s">
        <v>8</v>
      </c>
      <c r="M51" s="11">
        <f>INDEX(cenník!$C$2:$I$568,MATCH($L51,cenník!$B$2:$B$557,0),MATCH(M$2,cenník!$C$1:$I$1,0))</f>
        <v>856211</v>
      </c>
      <c r="N51" s="11" t="str">
        <f>INDEX(cenník!$C$2:$I$568,MATCH($L51,cenník!$B$2:$B$557,0),MATCH(N$2,cenník!$C$1:$I$1,0))</f>
        <v>ks</v>
      </c>
      <c r="O51" s="11">
        <f>SUM(AB41:AB56)</f>
        <v>0</v>
      </c>
      <c r="P51" s="36">
        <f>INDEX(cenník!$C$2:$I$568,MATCH($L51,cenník!$B$2:$B$557,0),MATCH(P$2,cenník!$C$1:$I$1,0))</f>
        <v>8.7100000000000009</v>
      </c>
      <c r="Q51" s="36">
        <f t="shared" ref="Q51:Q70" si="92">O51*P51</f>
        <v>0</v>
      </c>
      <c r="R51" s="37">
        <f t="shared" si="90"/>
        <v>0</v>
      </c>
      <c r="S51" s="36">
        <f t="shared" si="91"/>
        <v>8.7100000000000009</v>
      </c>
      <c r="T51" s="36">
        <f t="shared" ref="T51:T70" si="93">O51*S51</f>
        <v>0</v>
      </c>
      <c r="U51" s="36">
        <f>INDEX(cenník!$C$2:$I$568,MATCH($L51,cenník!$B$2:$B$557,0),MATCH(U$2,cenník!$C$1:$I$1,0))*O51</f>
        <v>0</v>
      </c>
      <c r="V51" s="72"/>
      <c r="W51" s="85">
        <f t="shared" si="85"/>
        <v>0</v>
      </c>
      <c r="X51" s="72">
        <f t="shared" si="86"/>
        <v>0</v>
      </c>
      <c r="Y51" s="72"/>
      <c r="Z51" s="72">
        <f>(INDEX(($EW$5:$GU$13,$EW$17:$GU$25,$EW$30:$GU$38,$EW$42:$GU$50),MATCH($L$58,$EV$5:$EV$13,0),MATCH(A59,$EW$4:$GU$4,0),MATCH($G$50,$X$26:$X$29,0)))*C59</f>
        <v>0</v>
      </c>
      <c r="AA51" s="72">
        <f>(INDEX(($EW$5:$GU$13,$EW$17:$GU$25,$EW$30:$GU$38,$EW$42:$GU$50),MATCH($L$50,$EV$5:$EV$13,0),MATCH(A59,$EW$4:$GU$4,0),MATCH($G$50,$X$26:$X$29,0)))*C59</f>
        <v>0</v>
      </c>
      <c r="AB51" s="72">
        <f>(INDEX(($EW$5:$GU$13,$EW$17:$GU$25,$EW$30:$GU$38,$EW$42:$GU$50),MATCH($L$51,$EV$5:$EV$13,0),MATCH(A59,$EW$4:$GU$4,0),MATCH($G$50,$X$26:$X$29,0)))*C59</f>
        <v>0</v>
      </c>
      <c r="AC51" s="72">
        <f>(INDEX(($EW$5:$GU$13,$EW$17:$GU$25,$EW$30:$GU$38,$EW$42:$GU$50),MATCH($L$52,$EV$5:$EV$13,0),MATCH(A59,$EW$4:$GU$4,0),MATCH($G$50,$X$26:$X$29,0)))*C59</f>
        <v>0</v>
      </c>
      <c r="AD51" s="72">
        <f>(INDEX(($EW$5:$GU$13,$EW$17:$GU$25,$EW$30:$GU$38,$EW$42:$GU$50),MATCH($L$53,$EV$5:$EV$13,0),MATCH(A59,$EW$4:$GU$4,0),MATCH($G$50,$X$26:$X$29,0)))*C59</f>
        <v>0</v>
      </c>
      <c r="AE51" s="72">
        <f>(INDEX(($EW$5:$GU$13,$EW$17:$GU$25,$EW$30:$GU$38,$EW$42:$GU$50),MATCH($L$54,$EV$5:$EV$13,0),MATCH(A59,$EW$4:$GU$4,0),MATCH($G$50,$X$26:$X$29,0)))*C59</f>
        <v>0</v>
      </c>
      <c r="AF51" s="72">
        <f>(INDEX(($EW$5:$GU$13,$EW$17:$GU$25,$EW$30:$GU$38,$EW$42:$GU$50),MATCH($L$55,$EV$5:$EV$13,0),MATCH(A59,$EW$4:$GU$4,0),MATCH($G$50,$X$26:$X$29,0)))*C59</f>
        <v>0</v>
      </c>
      <c r="AG51" s="72">
        <f>(INDEX(($EW$5:$GU$13,$EW$17:$GU$25,$EW$30:$GU$38,$EW$42:$GU$50),MATCH($L$56,$EV$5:$EV$13,0),MATCH(A59,$EW$4:$GU$4,0),MATCH($G$50,$X$26:$X$29,0)))*C59</f>
        <v>0</v>
      </c>
      <c r="AH51" s="72">
        <f>(INDEX(($EW$5:$GU$13,$EW$17:$GU$25,$EW$30:$GU$38,$EW$42:$GU$50),MATCH($L$57,$EV$5:$EV$13,0),MATCH(A59,$EW$4:$GU$4,0),MATCH($G$50,$X$26:$X$29,0)))*C59</f>
        <v>0</v>
      </c>
      <c r="AI51" s="72"/>
      <c r="AJ51" s="72"/>
      <c r="AK51" s="72"/>
      <c r="AL51" s="72" t="s">
        <v>64</v>
      </c>
      <c r="AM51" s="72">
        <v>0</v>
      </c>
      <c r="AN51" s="72">
        <v>0</v>
      </c>
      <c r="AO51" s="72">
        <v>0</v>
      </c>
      <c r="AP51" s="72">
        <v>0</v>
      </c>
      <c r="AQ51" s="72">
        <v>0</v>
      </c>
      <c r="AR51" s="72">
        <v>0</v>
      </c>
      <c r="AS51" s="72">
        <v>0</v>
      </c>
      <c r="AT51" s="72">
        <v>2</v>
      </c>
      <c r="AU51" s="72">
        <v>0</v>
      </c>
      <c r="AV51" s="72">
        <v>0</v>
      </c>
      <c r="AW51" s="72">
        <v>0</v>
      </c>
      <c r="AX51" s="72">
        <v>0</v>
      </c>
      <c r="AY51" s="72">
        <v>0</v>
      </c>
      <c r="AZ51" s="72">
        <v>0</v>
      </c>
      <c r="BA51" s="72">
        <v>2</v>
      </c>
      <c r="BB51" s="72">
        <v>0</v>
      </c>
      <c r="BC51" s="72">
        <v>2</v>
      </c>
      <c r="BD51" s="72">
        <v>0</v>
      </c>
      <c r="BE51" s="72">
        <v>2</v>
      </c>
      <c r="BF51" s="72">
        <v>0</v>
      </c>
      <c r="BG51" s="72">
        <v>0</v>
      </c>
      <c r="BH51" s="72">
        <v>0</v>
      </c>
      <c r="BI51" s="72">
        <v>2</v>
      </c>
      <c r="BJ51" s="72">
        <v>2</v>
      </c>
      <c r="BK51" s="72">
        <v>0</v>
      </c>
      <c r="BL51" s="72">
        <v>2</v>
      </c>
      <c r="BM51" s="72">
        <v>0</v>
      </c>
      <c r="BN51" s="72">
        <v>0</v>
      </c>
      <c r="BO51" s="72">
        <v>0</v>
      </c>
      <c r="BP51" s="72">
        <v>0</v>
      </c>
      <c r="BQ51" s="72">
        <v>0</v>
      </c>
      <c r="BR51" s="72">
        <v>0</v>
      </c>
      <c r="BS51" s="72">
        <v>0</v>
      </c>
      <c r="BT51" s="72">
        <v>0</v>
      </c>
      <c r="BU51" s="72">
        <v>0</v>
      </c>
      <c r="BV51" s="72">
        <v>2</v>
      </c>
      <c r="BW51" s="72">
        <v>0</v>
      </c>
      <c r="BX51" s="72">
        <v>0</v>
      </c>
      <c r="BY51" s="72">
        <v>0</v>
      </c>
      <c r="BZ51" s="72">
        <v>0</v>
      </c>
      <c r="CA51" s="72">
        <v>0</v>
      </c>
      <c r="CB51" s="72">
        <v>0</v>
      </c>
      <c r="CC51" s="72">
        <v>0</v>
      </c>
      <c r="CD51" s="72">
        <v>0</v>
      </c>
      <c r="CE51" s="72">
        <v>0</v>
      </c>
      <c r="CF51" s="72">
        <v>0</v>
      </c>
      <c r="CG51" s="72">
        <v>0</v>
      </c>
      <c r="CH51" s="72">
        <v>0</v>
      </c>
      <c r="CI51" s="72">
        <v>0</v>
      </c>
      <c r="CJ51" s="72">
        <v>0</v>
      </c>
      <c r="CK51" s="72">
        <v>0</v>
      </c>
      <c r="CL51" s="72"/>
      <c r="CM51" s="72" t="s">
        <v>114</v>
      </c>
      <c r="CN51" s="72">
        <v>0</v>
      </c>
      <c r="CO51" s="72">
        <v>2</v>
      </c>
      <c r="CP51" s="72">
        <v>2</v>
      </c>
      <c r="CQ51" s="72">
        <v>0</v>
      </c>
      <c r="CR51" s="72">
        <v>4</v>
      </c>
      <c r="CS51" s="72">
        <v>2</v>
      </c>
      <c r="CT51" s="72">
        <v>0</v>
      </c>
      <c r="CU51" s="72">
        <v>4</v>
      </c>
      <c r="CV51" s="72">
        <v>2</v>
      </c>
      <c r="CW51" s="72">
        <v>0</v>
      </c>
      <c r="CX51" s="72">
        <v>0</v>
      </c>
      <c r="CY51" s="72">
        <v>4</v>
      </c>
      <c r="CZ51" s="72">
        <v>2</v>
      </c>
      <c r="DA51" s="72">
        <v>0</v>
      </c>
      <c r="DB51" s="72">
        <v>4</v>
      </c>
      <c r="DC51" s="72">
        <v>2</v>
      </c>
      <c r="DD51" s="72">
        <v>0</v>
      </c>
      <c r="DE51" s="72">
        <v>0</v>
      </c>
      <c r="DF51" s="72">
        <v>2</v>
      </c>
      <c r="DG51" s="72">
        <v>2</v>
      </c>
      <c r="DH51" s="72">
        <v>0</v>
      </c>
      <c r="DI51" s="72"/>
      <c r="DJ51" s="72"/>
      <c r="DK51" s="72"/>
      <c r="DL51" s="72"/>
      <c r="DM51" s="72"/>
      <c r="DN51" s="72"/>
      <c r="DO51" s="72"/>
      <c r="DP51" s="72"/>
      <c r="DQ51" s="72"/>
      <c r="DR51" s="72"/>
      <c r="DS51" s="72"/>
      <c r="DT51" s="72"/>
      <c r="DU51" s="72"/>
      <c r="DV51" s="72"/>
      <c r="DW51" s="72"/>
      <c r="DX51" s="72"/>
      <c r="DY51" s="72"/>
      <c r="DZ51" s="81">
        <v>50</v>
      </c>
      <c r="EA51" s="81"/>
      <c r="EB51" s="81"/>
      <c r="EC51" s="72"/>
      <c r="ED51" s="72"/>
      <c r="EE51" s="72"/>
      <c r="EF51" s="72"/>
      <c r="EG51" s="72"/>
      <c r="EH51" s="72"/>
      <c r="EI51" s="72"/>
      <c r="EJ51" s="72"/>
      <c r="EK51" s="72"/>
      <c r="EL51" s="72"/>
      <c r="EM51" s="72"/>
      <c r="EN51" s="72"/>
      <c r="EO51" s="72"/>
      <c r="EP51" s="72"/>
      <c r="EQ51" s="72"/>
      <c r="ER51" s="72"/>
      <c r="ES51" s="72"/>
      <c r="ET51" s="72"/>
      <c r="EU51" s="72"/>
      <c r="EV51" s="72"/>
      <c r="EW51" s="72"/>
      <c r="EX51" s="72"/>
      <c r="EY51" s="72"/>
      <c r="EZ51" s="72"/>
      <c r="FA51" s="72"/>
      <c r="FB51" s="72"/>
      <c r="FC51" s="72"/>
      <c r="FD51" s="72"/>
      <c r="FE51" s="72"/>
      <c r="FF51" s="72"/>
      <c r="FG51" s="72"/>
      <c r="FH51" s="72"/>
      <c r="FI51" s="72"/>
      <c r="FJ51" s="72"/>
      <c r="FK51" s="72"/>
      <c r="FL51" s="72"/>
      <c r="FM51" s="72"/>
      <c r="FN51" s="72"/>
      <c r="FO51" s="72"/>
      <c r="FP51" s="72"/>
      <c r="FQ51" s="72"/>
      <c r="FR51" s="72"/>
      <c r="FS51" s="72"/>
      <c r="FT51" s="72"/>
      <c r="FU51" s="72"/>
      <c r="FV51" s="72"/>
      <c r="FW51" s="72"/>
      <c r="FX51" s="72"/>
      <c r="FY51" s="72"/>
      <c r="FZ51" s="72"/>
      <c r="GA51" s="72"/>
      <c r="GB51" s="72"/>
      <c r="GC51" s="72"/>
      <c r="GD51" s="72"/>
      <c r="GE51" s="72"/>
      <c r="GF51" s="72"/>
      <c r="GG51" s="72"/>
      <c r="GH51" s="72"/>
      <c r="GI51" s="72"/>
      <c r="GJ51" s="72"/>
      <c r="GK51" s="72"/>
      <c r="GL51" s="72"/>
      <c r="GM51" s="72"/>
      <c r="GN51" s="72"/>
      <c r="GO51" s="72"/>
      <c r="GP51" s="72"/>
      <c r="GQ51" s="72"/>
      <c r="GR51" s="72"/>
      <c r="GS51" s="72"/>
      <c r="GT51" s="72"/>
      <c r="GU51" s="72"/>
      <c r="GV51" s="72"/>
      <c r="GW51" s="72"/>
      <c r="GX51" s="72"/>
      <c r="HU51" s="124"/>
      <c r="HV51" s="83" t="s">
        <v>71</v>
      </c>
      <c r="IS51" s="64" t="s">
        <v>71</v>
      </c>
    </row>
    <row r="52" spans="1:298" x14ac:dyDescent="0.25">
      <c r="A52" s="8"/>
      <c r="B52" s="5" t="s">
        <v>61</v>
      </c>
      <c r="C52" s="8"/>
      <c r="D52" s="6" t="s">
        <v>475</v>
      </c>
      <c r="E52" s="8" t="s">
        <v>482</v>
      </c>
      <c r="F52" s="41" t="str">
        <f>IF(E52="zaťažená","hodnotu balastu určí statik","")</f>
        <v>hodnotu balastu určí statik</v>
      </c>
      <c r="G52" s="5"/>
      <c r="H52" s="5"/>
      <c r="I52" s="5"/>
      <c r="J52" s="5"/>
      <c r="K52" s="9"/>
      <c r="L52" s="6" t="s">
        <v>98</v>
      </c>
      <c r="M52" s="11">
        <f>INDEX(cenník!$C$2:$I$568,MATCH($L52,cenník!$B$2:$B$557,0),MATCH(M$2,cenník!$C$1:$I$1,0))</f>
        <v>851117</v>
      </c>
      <c r="N52" s="11" t="str">
        <f>INDEX(cenník!$C$2:$I$568,MATCH($L52,cenník!$B$2:$B$557,0),MATCH(N$2,cenník!$C$1:$I$1,0))</f>
        <v>ks</v>
      </c>
      <c r="O52" s="11">
        <f>SUM(AC41:AC56)</f>
        <v>0</v>
      </c>
      <c r="P52" s="36">
        <f>INDEX(cenník!$C$2:$I$568,MATCH($L52,cenník!$B$2:$B$557,0),MATCH(P$2,cenník!$C$1:$I$1,0))</f>
        <v>12.35</v>
      </c>
      <c r="Q52" s="36">
        <f t="shared" si="92"/>
        <v>0</v>
      </c>
      <c r="R52" s="37">
        <f t="shared" si="90"/>
        <v>0</v>
      </c>
      <c r="S52" s="36">
        <f t="shared" si="91"/>
        <v>12.35</v>
      </c>
      <c r="T52" s="36">
        <f t="shared" si="93"/>
        <v>0</v>
      </c>
      <c r="U52" s="36">
        <f>INDEX(cenník!$C$2:$I$568,MATCH($L52,cenník!$B$2:$B$557,0),MATCH(U$2,cenník!$C$1:$I$1,0))*O52</f>
        <v>0</v>
      </c>
      <c r="V52" s="72"/>
      <c r="W52" s="85">
        <f t="shared" si="85"/>
        <v>0</v>
      </c>
      <c r="X52" s="72">
        <f t="shared" si="86"/>
        <v>0</v>
      </c>
      <c r="Y52" s="72"/>
      <c r="Z52" s="72">
        <f>(INDEX(($EW$5:$GU$13,$EW$17:$GU$25,$EW$30:$GU$38,$EW$42:$GU$50),MATCH($L$58,$EV$5:$EV$13,0),MATCH(A60,$EW$4:$GU$4,0),MATCH($G$50,$X$26:$X$29,0)))*C60</f>
        <v>0</v>
      </c>
      <c r="AA52" s="72">
        <f>(INDEX(($EW$5:$GU$13,$EW$17:$GU$25,$EW$30:$GU$38,$EW$42:$GU$50),MATCH($L$50,$EV$5:$EV$13,0),MATCH(A60,$EW$4:$GU$4,0),MATCH($G$50,$X$26:$X$29,0)))*C60</f>
        <v>0</v>
      </c>
      <c r="AB52" s="72">
        <f>(INDEX(($EW$5:$GU$13,$EW$17:$GU$25,$EW$30:$GU$38,$EW$42:$GU$50),MATCH($L$51,$EV$5:$EV$13,0),MATCH(A60,$EW$4:$GU$4,0),MATCH($G$50,$X$26:$X$29,0)))*C60</f>
        <v>0</v>
      </c>
      <c r="AC52" s="72">
        <f>(INDEX(($EW$5:$GU$13,$EW$17:$GU$25,$EW$30:$GU$38,$EW$42:$GU$50),MATCH($L$52,$EV$5:$EV$13,0),MATCH(A60,$EW$4:$GU$4,0),MATCH($G$50,$X$26:$X$29,0)))*C60</f>
        <v>0</v>
      </c>
      <c r="AD52" s="72">
        <f>(INDEX(($EW$5:$GU$13,$EW$17:$GU$25,$EW$30:$GU$38,$EW$42:$GU$50),MATCH($L$53,$EV$5:$EV$13,0),MATCH(A60,$EW$4:$GU$4,0),MATCH($G$50,$X$26:$X$29,0)))*C60</f>
        <v>0</v>
      </c>
      <c r="AE52" s="72">
        <f>(INDEX(($EW$5:$GU$13,$EW$17:$GU$25,$EW$30:$GU$38,$EW$42:$GU$50),MATCH($L$54,$EV$5:$EV$13,0),MATCH(A60,$EW$4:$GU$4,0),MATCH($G$50,$X$26:$X$29,0)))*C60</f>
        <v>0</v>
      </c>
      <c r="AF52" s="72">
        <f>(INDEX(($EW$5:$GU$13,$EW$17:$GU$25,$EW$30:$GU$38,$EW$42:$GU$50),MATCH($L$55,$EV$5:$EV$13,0),MATCH(A60,$EW$4:$GU$4,0),MATCH($G$50,$X$26:$X$29,0)))*C60</f>
        <v>0</v>
      </c>
      <c r="AG52" s="72">
        <f>(INDEX(($EW$5:$GU$13,$EW$17:$GU$25,$EW$30:$GU$38,$EW$42:$GU$50),MATCH($L$56,$EV$5:$EV$13,0),MATCH(A60,$EW$4:$GU$4,0),MATCH($G$50,$X$26:$X$29,0)))*C60</f>
        <v>0</v>
      </c>
      <c r="AH52" s="72">
        <f>(INDEX(($EW$5:$GU$13,$EW$17:$GU$25,$EW$30:$GU$38,$EW$42:$GU$50),MATCH($L$57,$EV$5:$EV$13,0),MATCH(A60,$EW$4:$GU$4,0),MATCH($G$50,$X$26:$X$29,0)))*C60</f>
        <v>0</v>
      </c>
      <c r="AI52" s="72"/>
      <c r="AJ52" s="72"/>
      <c r="AK52" s="72"/>
      <c r="AL52" s="72" t="s">
        <v>14</v>
      </c>
      <c r="AM52" s="72">
        <v>0</v>
      </c>
      <c r="AN52" s="72">
        <v>0</v>
      </c>
      <c r="AO52" s="72">
        <v>0</v>
      </c>
      <c r="AP52" s="72">
        <v>2</v>
      </c>
      <c r="AQ52" s="72">
        <v>2</v>
      </c>
      <c r="AR52" s="72">
        <v>0</v>
      </c>
      <c r="AS52" s="72">
        <v>4</v>
      </c>
      <c r="AT52" s="72">
        <v>0</v>
      </c>
      <c r="AU52" s="72">
        <v>2</v>
      </c>
      <c r="AV52" s="72">
        <v>10</v>
      </c>
      <c r="AW52" s="72">
        <v>0</v>
      </c>
      <c r="AX52" s="72">
        <v>10</v>
      </c>
      <c r="AY52" s="72">
        <v>0</v>
      </c>
      <c r="AZ52" s="72">
        <v>6</v>
      </c>
      <c r="BA52" s="72">
        <v>14</v>
      </c>
      <c r="BB52" s="72">
        <v>4</v>
      </c>
      <c r="BC52" s="72">
        <v>10</v>
      </c>
      <c r="BD52" s="72">
        <v>2</v>
      </c>
      <c r="BE52" s="72">
        <v>8</v>
      </c>
      <c r="BF52" s="72">
        <v>0</v>
      </c>
      <c r="BG52" s="72">
        <v>20</v>
      </c>
      <c r="BH52" s="72">
        <v>0</v>
      </c>
      <c r="BI52" s="72">
        <v>8</v>
      </c>
      <c r="BJ52" s="72">
        <v>24</v>
      </c>
      <c r="BK52" s="72">
        <v>16</v>
      </c>
      <c r="BL52" s="72">
        <v>22</v>
      </c>
      <c r="BM52" s="72">
        <v>14</v>
      </c>
      <c r="BN52" s="72">
        <v>8</v>
      </c>
      <c r="BO52" s="72">
        <v>12</v>
      </c>
      <c r="BP52" s="72">
        <v>32</v>
      </c>
      <c r="BQ52" s="72">
        <v>10</v>
      </c>
      <c r="BR52" s="72">
        <v>30</v>
      </c>
      <c r="BS52" s="72">
        <v>6</v>
      </c>
      <c r="BT52" s="72">
        <v>28</v>
      </c>
      <c r="BU52" s="72">
        <v>4</v>
      </c>
      <c r="BV52" s="72">
        <v>10</v>
      </c>
      <c r="BW52" s="72">
        <v>2</v>
      </c>
      <c r="BX52" s="72">
        <v>2</v>
      </c>
      <c r="BY52" s="72">
        <v>0</v>
      </c>
      <c r="BZ52" s="72">
        <v>20</v>
      </c>
      <c r="CA52" s="72">
        <v>0</v>
      </c>
      <c r="CB52" s="72">
        <v>18</v>
      </c>
      <c r="CC52" s="72">
        <v>0</v>
      </c>
      <c r="CD52" s="72">
        <v>16</v>
      </c>
      <c r="CE52" s="72">
        <v>0</v>
      </c>
      <c r="CF52" s="72">
        <v>14</v>
      </c>
      <c r="CG52" s="72">
        <v>0</v>
      </c>
      <c r="CH52" s="72">
        <v>12</v>
      </c>
      <c r="CI52" s="72">
        <v>32</v>
      </c>
      <c r="CJ52" s="72">
        <v>10</v>
      </c>
      <c r="CK52" s="72">
        <v>30</v>
      </c>
      <c r="CL52" s="72"/>
      <c r="CM52" s="72" t="s">
        <v>101</v>
      </c>
      <c r="CN52" s="72">
        <v>0</v>
      </c>
      <c r="CO52" s="72">
        <v>0</v>
      </c>
      <c r="CP52" s="72">
        <v>0</v>
      </c>
      <c r="CQ52" s="72">
        <v>2</v>
      </c>
      <c r="CR52" s="72">
        <v>0</v>
      </c>
      <c r="CS52" s="72">
        <v>2</v>
      </c>
      <c r="CT52" s="72">
        <v>4</v>
      </c>
      <c r="CU52" s="72">
        <v>2</v>
      </c>
      <c r="CV52" s="72">
        <v>4</v>
      </c>
      <c r="CW52" s="72">
        <v>6</v>
      </c>
      <c r="CX52" s="72">
        <v>6</v>
      </c>
      <c r="CY52" s="72">
        <v>4</v>
      </c>
      <c r="CZ52" s="72">
        <v>6</v>
      </c>
      <c r="DA52" s="72">
        <v>8</v>
      </c>
      <c r="DB52" s="72">
        <v>6</v>
      </c>
      <c r="DC52" s="72">
        <v>8</v>
      </c>
      <c r="DD52" s="72">
        <v>10</v>
      </c>
      <c r="DE52" s="72">
        <v>10</v>
      </c>
      <c r="DF52" s="72">
        <v>10</v>
      </c>
      <c r="DG52" s="72">
        <v>10</v>
      </c>
      <c r="DH52" s="72">
        <v>12</v>
      </c>
      <c r="DI52" s="72"/>
      <c r="DJ52" s="72"/>
      <c r="DK52" s="72"/>
      <c r="DL52" s="72"/>
      <c r="DM52" s="72"/>
      <c r="DN52" s="72"/>
      <c r="DO52" s="72"/>
      <c r="DP52" s="72"/>
      <c r="DQ52" s="72"/>
      <c r="DR52" s="72"/>
      <c r="DS52" s="72"/>
      <c r="DT52" s="72"/>
      <c r="DU52" s="72"/>
      <c r="DV52" s="72"/>
      <c r="DW52" s="72"/>
      <c r="DX52" s="72"/>
      <c r="DY52" s="72"/>
      <c r="DZ52" s="81"/>
      <c r="EA52" s="81"/>
      <c r="EB52" s="81"/>
      <c r="EC52" s="72"/>
      <c r="ED52" s="72"/>
      <c r="EE52" s="72"/>
      <c r="EF52" s="72"/>
      <c r="EG52" s="72"/>
      <c r="EH52" s="72"/>
      <c r="EI52" s="72"/>
      <c r="EJ52" s="72"/>
      <c r="EK52" s="72"/>
      <c r="EL52" s="72"/>
      <c r="EM52" s="72"/>
      <c r="EN52" s="72"/>
      <c r="EO52" s="72"/>
      <c r="EP52" s="72"/>
      <c r="EQ52" s="72"/>
      <c r="ER52" s="72"/>
      <c r="ES52" s="72"/>
      <c r="ET52" s="72"/>
      <c r="EU52" s="72"/>
      <c r="EV52" s="72" t="s">
        <v>56</v>
      </c>
      <c r="EW52" s="72"/>
      <c r="EX52" s="72"/>
      <c r="EY52" s="72"/>
      <c r="EZ52" s="72"/>
      <c r="FA52" s="72"/>
      <c r="FB52" s="72"/>
      <c r="FC52" s="72"/>
      <c r="FD52" s="72"/>
      <c r="FE52" s="72"/>
      <c r="FF52" s="72"/>
      <c r="FG52" s="72"/>
      <c r="FH52" s="72"/>
      <c r="FI52" s="72"/>
      <c r="FJ52" s="72"/>
      <c r="FK52" s="72"/>
      <c r="FL52" s="72"/>
      <c r="FM52" s="72"/>
      <c r="FN52" s="72"/>
      <c r="FO52" s="72"/>
      <c r="FP52" s="72"/>
      <c r="FQ52" s="72"/>
      <c r="FR52" s="72"/>
      <c r="FS52" s="72"/>
      <c r="FT52" s="72"/>
      <c r="FU52" s="72"/>
      <c r="FV52" s="72"/>
      <c r="FW52" s="72"/>
      <c r="FX52" s="72"/>
      <c r="FY52" s="72"/>
      <c r="FZ52" s="72"/>
      <c r="GA52" s="72"/>
      <c r="GB52" s="72"/>
      <c r="GC52" s="72"/>
      <c r="GD52" s="72"/>
      <c r="GE52" s="72"/>
      <c r="GF52" s="72"/>
      <c r="GG52" s="72"/>
      <c r="GH52" s="72"/>
      <c r="GI52" s="72"/>
      <c r="GJ52" s="72"/>
      <c r="GK52" s="72"/>
      <c r="GL52" s="72"/>
      <c r="GM52" s="72"/>
      <c r="GN52" s="72"/>
      <c r="GO52" s="72"/>
      <c r="GP52" s="72"/>
      <c r="GQ52" s="72"/>
      <c r="GR52" s="72"/>
      <c r="GS52" s="72"/>
      <c r="GT52" s="72"/>
      <c r="GU52" s="72"/>
      <c r="GV52" s="72"/>
      <c r="GW52" s="72"/>
      <c r="GX52" s="72"/>
      <c r="HW52" s="64">
        <v>0</v>
      </c>
      <c r="HX52" s="64">
        <v>1</v>
      </c>
      <c r="HY52" s="64">
        <v>2</v>
      </c>
      <c r="HZ52" s="64">
        <v>3</v>
      </c>
      <c r="IA52" s="64">
        <v>4</v>
      </c>
      <c r="IB52" s="64">
        <v>5</v>
      </c>
      <c r="IC52" s="64">
        <v>6</v>
      </c>
      <c r="ID52" s="64">
        <v>7</v>
      </c>
      <c r="IE52" s="64">
        <v>8</v>
      </c>
      <c r="IF52" s="64">
        <v>9</v>
      </c>
      <c r="IG52" s="64">
        <v>10</v>
      </c>
      <c r="IH52" s="64">
        <v>11</v>
      </c>
      <c r="II52" s="64">
        <v>12</v>
      </c>
      <c r="IJ52" s="64">
        <v>13</v>
      </c>
      <c r="IK52" s="64">
        <v>14</v>
      </c>
      <c r="IL52" s="64">
        <v>15</v>
      </c>
      <c r="IM52" s="64">
        <v>16</v>
      </c>
      <c r="IN52" s="64">
        <v>17</v>
      </c>
      <c r="IO52" s="64">
        <v>18</v>
      </c>
      <c r="IP52" s="64">
        <v>19</v>
      </c>
      <c r="IQ52" s="64">
        <v>20</v>
      </c>
      <c r="IT52" s="64">
        <f t="shared" si="42"/>
        <v>0</v>
      </c>
      <c r="IU52" s="64">
        <f t="shared" si="43"/>
        <v>2</v>
      </c>
      <c r="IV52" s="64">
        <f t="shared" si="44"/>
        <v>4</v>
      </c>
      <c r="IW52" s="64">
        <f t="shared" si="45"/>
        <v>6</v>
      </c>
      <c r="IX52" s="64">
        <f t="shared" si="46"/>
        <v>8</v>
      </c>
      <c r="IY52" s="64">
        <f t="shared" si="47"/>
        <v>10</v>
      </c>
      <c r="IZ52" s="64">
        <f t="shared" si="48"/>
        <v>12</v>
      </c>
      <c r="JA52" s="64">
        <f t="shared" si="49"/>
        <v>14</v>
      </c>
      <c r="JB52" s="64">
        <f t="shared" si="50"/>
        <v>16</v>
      </c>
      <c r="JC52" s="64">
        <f t="shared" si="51"/>
        <v>18</v>
      </c>
      <c r="JD52" s="64">
        <f t="shared" si="52"/>
        <v>20</v>
      </c>
      <c r="JE52" s="64">
        <f t="shared" si="53"/>
        <v>22</v>
      </c>
      <c r="JF52" s="64">
        <f t="shared" si="54"/>
        <v>24</v>
      </c>
      <c r="JG52" s="64">
        <f t="shared" si="55"/>
        <v>26</v>
      </c>
      <c r="JH52" s="64">
        <f t="shared" si="56"/>
        <v>28</v>
      </c>
      <c r="JI52" s="64">
        <f t="shared" si="57"/>
        <v>30</v>
      </c>
      <c r="JJ52" s="64">
        <f t="shared" si="58"/>
        <v>32</v>
      </c>
      <c r="JK52" s="64">
        <f t="shared" si="59"/>
        <v>34</v>
      </c>
      <c r="JL52" s="64">
        <f t="shared" si="60"/>
        <v>36</v>
      </c>
      <c r="JM52" s="64">
        <f t="shared" si="61"/>
        <v>38</v>
      </c>
      <c r="JN52" s="64">
        <f t="shared" si="62"/>
        <v>40</v>
      </c>
      <c r="JR52" s="72"/>
      <c r="JS52" s="72"/>
      <c r="JT52" s="72"/>
      <c r="JU52" s="72"/>
      <c r="JV52" s="72"/>
      <c r="JW52" s="72"/>
      <c r="JX52" s="72"/>
      <c r="JY52" s="72"/>
      <c r="JZ52" s="72"/>
      <c r="KA52" s="72"/>
      <c r="KB52" s="72"/>
      <c r="KC52" s="72"/>
      <c r="KD52" s="72"/>
      <c r="KE52" s="72"/>
      <c r="KF52" s="72"/>
      <c r="KG52" s="72"/>
      <c r="KH52" s="72"/>
      <c r="KI52" s="72"/>
      <c r="KJ52" s="72"/>
      <c r="KK52" s="72"/>
      <c r="KL52" s="72"/>
    </row>
    <row r="53" spans="1:298" x14ac:dyDescent="0.25">
      <c r="A53" s="8"/>
      <c r="B53" s="5" t="s">
        <v>61</v>
      </c>
      <c r="C53" s="8"/>
      <c r="D53" s="6" t="s">
        <v>476</v>
      </c>
      <c r="E53" s="8">
        <v>25</v>
      </c>
      <c r="F53" s="5"/>
      <c r="G53" s="5"/>
      <c r="H53" s="5"/>
      <c r="I53" s="5"/>
      <c r="J53" s="5" t="s">
        <v>180</v>
      </c>
      <c r="K53" s="9"/>
      <c r="L53" s="6" t="s">
        <v>100</v>
      </c>
      <c r="M53" s="11">
        <f>INDEX(cenník!$C$2:$I$568,MATCH($L53,cenník!$B$2:$B$557,0),MATCH(M$2,cenník!$C$1:$I$1,0))</f>
        <v>851120</v>
      </c>
      <c r="N53" s="11" t="str">
        <f>INDEX(cenník!$C$2:$I$568,MATCH($L53,cenník!$B$2:$B$557,0),MATCH(N$2,cenník!$C$1:$I$1,0))</f>
        <v>ks</v>
      </c>
      <c r="O53" s="11">
        <f>SUM(AD41:AD56)</f>
        <v>0</v>
      </c>
      <c r="P53" s="36">
        <f>INDEX(cenník!$C$2:$I$568,MATCH($L53,cenník!$B$2:$B$557,0),MATCH(P$2,cenník!$C$1:$I$1,0))</f>
        <v>14.51</v>
      </c>
      <c r="Q53" s="36">
        <f t="shared" si="92"/>
        <v>0</v>
      </c>
      <c r="R53" s="37">
        <f t="shared" si="90"/>
        <v>0</v>
      </c>
      <c r="S53" s="36">
        <f t="shared" si="91"/>
        <v>14.51</v>
      </c>
      <c r="T53" s="36">
        <f t="shared" si="93"/>
        <v>0</v>
      </c>
      <c r="U53" s="36">
        <f>INDEX(cenník!$C$2:$I$568,MATCH($L53,cenník!$B$2:$B$557,0),MATCH(U$2,cenník!$C$1:$I$1,0))*O53</f>
        <v>0</v>
      </c>
      <c r="V53" s="72"/>
      <c r="W53" s="85">
        <f t="shared" si="85"/>
        <v>0</v>
      </c>
      <c r="X53" s="72">
        <f t="shared" si="86"/>
        <v>0</v>
      </c>
      <c r="Y53" s="72"/>
      <c r="Z53" s="72">
        <f>(INDEX(($EW$5:$GU$13,$EW$17:$GU$25,$EW$30:$GU$38,$EW$42:$GU$50),MATCH($L$58,$EV$5:$EV$13,0),MATCH(A61,$EW$4:$GU$4,0),MATCH($G$50,$X$26:$X$29,0)))*C61</f>
        <v>0</v>
      </c>
      <c r="AA53" s="72">
        <f>(INDEX(($EW$5:$GU$13,$EW$17:$GU$25,$EW$30:$GU$38,$EW$42:$GU$50),MATCH($L$50,$EV$5:$EV$13,0),MATCH(A61,$EW$4:$GU$4,0),MATCH($G$50,$X$26:$X$29,0)))*C61</f>
        <v>0</v>
      </c>
      <c r="AB53" s="72">
        <f>(INDEX(($EW$5:$GU$13,$EW$17:$GU$25,$EW$30:$GU$38,$EW$42:$GU$50),MATCH($L$51,$EV$5:$EV$13,0),MATCH(A61,$EW$4:$GU$4,0),MATCH($G$50,$X$26:$X$29,0)))*C61</f>
        <v>0</v>
      </c>
      <c r="AC53" s="72">
        <f>(INDEX(($EW$5:$GU$13,$EW$17:$GU$25,$EW$30:$GU$38,$EW$42:$GU$50),MATCH($L$52,$EV$5:$EV$13,0),MATCH(A61,$EW$4:$GU$4,0),MATCH($G$50,$X$26:$X$29,0)))*C61</f>
        <v>0</v>
      </c>
      <c r="AD53" s="72">
        <f>(INDEX(($EW$5:$GU$13,$EW$17:$GU$25,$EW$30:$GU$38,$EW$42:$GU$50),MATCH($L$53,$EV$5:$EV$13,0),MATCH(A61,$EW$4:$GU$4,0),MATCH($G$50,$X$26:$X$29,0)))*C61</f>
        <v>0</v>
      </c>
      <c r="AE53" s="72">
        <f>(INDEX(($EW$5:$GU$13,$EW$17:$GU$25,$EW$30:$GU$38,$EW$42:$GU$50),MATCH($L$54,$EV$5:$EV$13,0),MATCH(A61,$EW$4:$GU$4,0),MATCH($G$50,$X$26:$X$29,0)))*C61</f>
        <v>0</v>
      </c>
      <c r="AF53" s="72">
        <f>(INDEX(($EW$5:$GU$13,$EW$17:$GU$25,$EW$30:$GU$38,$EW$42:$GU$50),MATCH($L$55,$EV$5:$EV$13,0),MATCH(A61,$EW$4:$GU$4,0),MATCH($G$50,$X$26:$X$29,0)))*C61</f>
        <v>0</v>
      </c>
      <c r="AG53" s="72">
        <f>(INDEX(($EW$5:$GU$13,$EW$17:$GU$25,$EW$30:$GU$38,$EW$42:$GU$50),MATCH($L$56,$EV$5:$EV$13,0),MATCH(A61,$EW$4:$GU$4,0),MATCH($G$50,$X$26:$X$29,0)))*C61</f>
        <v>0</v>
      </c>
      <c r="AH53" s="72">
        <f>(INDEX(($EW$5:$GU$13,$EW$17:$GU$25,$EW$30:$GU$38,$EW$42:$GU$50),MATCH($L$57,$EV$5:$EV$13,0),MATCH(A61,$EW$4:$GU$4,0),MATCH($G$50,$X$26:$X$29,0)))*C61</f>
        <v>0</v>
      </c>
      <c r="AI53" s="72"/>
      <c r="AJ53" s="72"/>
      <c r="AK53" s="72"/>
      <c r="AL53" s="72" t="s">
        <v>18</v>
      </c>
      <c r="AM53" s="72">
        <v>0</v>
      </c>
      <c r="AN53" s="72">
        <v>0</v>
      </c>
      <c r="AO53" s="72">
        <v>0</v>
      </c>
      <c r="AP53" s="72">
        <v>0</v>
      </c>
      <c r="AQ53" s="72">
        <v>0</v>
      </c>
      <c r="AR53" s="72">
        <v>4</v>
      </c>
      <c r="AS53" s="72">
        <v>0</v>
      </c>
      <c r="AT53" s="72">
        <v>6</v>
      </c>
      <c r="AU53" s="72">
        <v>4</v>
      </c>
      <c r="AV53" s="72">
        <v>0</v>
      </c>
      <c r="AW53" s="72">
        <v>8</v>
      </c>
      <c r="AX53" s="72">
        <v>2</v>
      </c>
      <c r="AY53" s="72">
        <v>10</v>
      </c>
      <c r="AZ53" s="72">
        <v>8</v>
      </c>
      <c r="BA53" s="72">
        <v>0</v>
      </c>
      <c r="BB53" s="72">
        <v>12</v>
      </c>
      <c r="BC53" s="72">
        <v>6</v>
      </c>
      <c r="BD53" s="72">
        <v>16</v>
      </c>
      <c r="BE53" s="72">
        <v>10</v>
      </c>
      <c r="BF53" s="72">
        <v>20</v>
      </c>
      <c r="BG53" s="72">
        <v>2</v>
      </c>
      <c r="BH53" s="72">
        <v>22</v>
      </c>
      <c r="BI53" s="72">
        <v>14</v>
      </c>
      <c r="BJ53" s="72">
        <v>0</v>
      </c>
      <c r="BK53" s="72">
        <v>10</v>
      </c>
      <c r="BL53" s="72">
        <v>4</v>
      </c>
      <c r="BM53" s="72">
        <v>14</v>
      </c>
      <c r="BN53" s="72">
        <v>18</v>
      </c>
      <c r="BO53" s="72">
        <v>18</v>
      </c>
      <c r="BP53" s="72">
        <v>0</v>
      </c>
      <c r="BQ53" s="72">
        <v>22</v>
      </c>
      <c r="BR53" s="72">
        <v>4</v>
      </c>
      <c r="BS53" s="72">
        <v>28</v>
      </c>
      <c r="BT53" s="72">
        <v>8</v>
      </c>
      <c r="BU53" s="72">
        <v>32</v>
      </c>
      <c r="BV53" s="72">
        <v>26</v>
      </c>
      <c r="BW53" s="72">
        <v>36</v>
      </c>
      <c r="BX53" s="72">
        <v>36</v>
      </c>
      <c r="BY53" s="72">
        <v>40</v>
      </c>
      <c r="BZ53" s="72">
        <v>22</v>
      </c>
      <c r="CA53" s="72">
        <v>42</v>
      </c>
      <c r="CB53" s="72">
        <v>26</v>
      </c>
      <c r="CC53" s="72">
        <v>44</v>
      </c>
      <c r="CD53" s="72">
        <v>30</v>
      </c>
      <c r="CE53" s="72">
        <v>46</v>
      </c>
      <c r="CF53" s="72">
        <v>34</v>
      </c>
      <c r="CG53" s="72">
        <v>48</v>
      </c>
      <c r="CH53" s="72">
        <v>38</v>
      </c>
      <c r="CI53" s="72">
        <v>20</v>
      </c>
      <c r="CJ53" s="72">
        <v>42</v>
      </c>
      <c r="CK53" s="72">
        <v>24</v>
      </c>
      <c r="CL53" s="72"/>
      <c r="CM53" s="72" t="s">
        <v>10</v>
      </c>
      <c r="CN53" s="72">
        <v>0</v>
      </c>
      <c r="CO53" s="72">
        <v>0</v>
      </c>
      <c r="CP53" s="72">
        <v>0</v>
      </c>
      <c r="CQ53" s="72">
        <v>0</v>
      </c>
      <c r="CR53" s="72">
        <v>2</v>
      </c>
      <c r="CS53" s="72">
        <v>2</v>
      </c>
      <c r="CT53" s="72">
        <v>2</v>
      </c>
      <c r="CU53" s="72">
        <v>4</v>
      </c>
      <c r="CV53" s="72">
        <v>4</v>
      </c>
      <c r="CW53" s="72">
        <v>4</v>
      </c>
      <c r="CX53" s="72">
        <v>4</v>
      </c>
      <c r="CY53" s="72">
        <v>6</v>
      </c>
      <c r="CZ53" s="72">
        <v>6</v>
      </c>
      <c r="DA53" s="72">
        <v>6</v>
      </c>
      <c r="DB53" s="72">
        <v>8</v>
      </c>
      <c r="DC53" s="72">
        <v>8</v>
      </c>
      <c r="DD53" s="72">
        <v>8</v>
      </c>
      <c r="DE53" s="72">
        <v>8</v>
      </c>
      <c r="DF53" s="72">
        <v>10</v>
      </c>
      <c r="DG53" s="72">
        <v>10</v>
      </c>
      <c r="DH53" s="72">
        <v>10</v>
      </c>
      <c r="DI53" s="72"/>
      <c r="DJ53" s="72"/>
      <c r="DK53" s="72"/>
      <c r="DL53" s="72"/>
      <c r="DM53" s="72"/>
      <c r="DN53" s="72"/>
      <c r="DO53" s="72"/>
      <c r="DP53" s="72"/>
      <c r="DQ53" s="72"/>
      <c r="DR53" s="72"/>
      <c r="DS53" s="72"/>
      <c r="DT53" s="72"/>
      <c r="DU53" s="72"/>
      <c r="DV53" s="72"/>
      <c r="DW53" s="72"/>
      <c r="DX53" s="72"/>
      <c r="DY53" s="72"/>
      <c r="DZ53" s="81"/>
      <c r="EA53" s="81"/>
      <c r="EB53" s="81"/>
      <c r="EC53" s="72"/>
      <c r="ED53" s="72"/>
      <c r="EE53" s="72"/>
      <c r="EF53" s="72"/>
      <c r="EG53" s="72"/>
      <c r="EH53" s="72"/>
      <c r="EI53" s="72"/>
      <c r="EJ53" s="72"/>
      <c r="EK53" s="72"/>
      <c r="EL53" s="72"/>
      <c r="EM53" s="72"/>
      <c r="EN53" s="72"/>
      <c r="EO53" s="72"/>
      <c r="EP53" s="72"/>
      <c r="EQ53" s="72"/>
      <c r="ER53" s="72"/>
      <c r="ES53" s="72"/>
      <c r="ET53" s="72"/>
      <c r="EU53" s="72"/>
      <c r="EV53" s="72"/>
      <c r="EW53" s="72">
        <v>0</v>
      </c>
      <c r="EX53" s="72">
        <v>1</v>
      </c>
      <c r="EY53" s="72">
        <v>2</v>
      </c>
      <c r="EZ53" s="72">
        <v>3</v>
      </c>
      <c r="FA53" s="72">
        <v>4</v>
      </c>
      <c r="FB53" s="72">
        <v>5</v>
      </c>
      <c r="FC53" s="72">
        <v>6</v>
      </c>
      <c r="FD53" s="72">
        <v>7</v>
      </c>
      <c r="FE53" s="72">
        <v>8</v>
      </c>
      <c r="FF53" s="72">
        <v>9</v>
      </c>
      <c r="FG53" s="72">
        <v>10</v>
      </c>
      <c r="FH53" s="72"/>
      <c r="FI53" s="72" t="s">
        <v>197</v>
      </c>
      <c r="FJ53" s="72"/>
      <c r="FK53" s="72"/>
      <c r="FL53" s="72"/>
      <c r="FM53" s="72"/>
      <c r="FN53" s="72"/>
      <c r="FO53" s="72"/>
      <c r="FP53" s="72"/>
      <c r="FQ53" s="72"/>
      <c r="FR53" s="72"/>
      <c r="FS53" s="72"/>
      <c r="FT53" s="72"/>
      <c r="FU53" s="72"/>
      <c r="FV53" s="72" t="s">
        <v>71</v>
      </c>
      <c r="FW53" s="72"/>
      <c r="FX53" s="72"/>
      <c r="FY53" s="72"/>
      <c r="FZ53" s="72"/>
      <c r="GA53" s="72"/>
      <c r="GB53" s="72"/>
      <c r="GC53" s="72"/>
      <c r="GD53" s="72"/>
      <c r="GE53" s="72"/>
      <c r="GF53" s="72"/>
      <c r="GG53" s="72"/>
      <c r="GH53" s="72"/>
      <c r="GI53" s="72"/>
      <c r="GJ53" s="72"/>
      <c r="GK53" s="72"/>
      <c r="GL53" s="72"/>
      <c r="GM53" s="72"/>
      <c r="GN53" s="72"/>
      <c r="GO53" s="72"/>
      <c r="GP53" s="72"/>
      <c r="GQ53" s="72"/>
      <c r="GR53" s="72"/>
      <c r="GS53" s="72"/>
      <c r="GT53" s="72"/>
      <c r="GU53" s="72"/>
      <c r="GV53" s="72"/>
      <c r="GW53" s="72"/>
      <c r="GX53" s="72"/>
      <c r="HV53" s="64" t="s">
        <v>380</v>
      </c>
      <c r="HW53" s="64">
        <v>0</v>
      </c>
      <c r="HX53" s="64">
        <v>2</v>
      </c>
      <c r="HY53" s="64">
        <v>4</v>
      </c>
      <c r="HZ53" s="64">
        <v>0</v>
      </c>
      <c r="IA53" s="64">
        <v>2</v>
      </c>
      <c r="IB53" s="64">
        <v>0</v>
      </c>
      <c r="IC53" s="64">
        <v>2</v>
      </c>
      <c r="ID53" s="64">
        <v>4</v>
      </c>
      <c r="IE53" s="64">
        <v>0</v>
      </c>
      <c r="IF53" s="64">
        <v>2</v>
      </c>
      <c r="IG53" s="64">
        <v>4</v>
      </c>
      <c r="IH53" s="64">
        <v>0</v>
      </c>
      <c r="II53" s="64">
        <v>2</v>
      </c>
      <c r="IJ53" s="64">
        <v>0</v>
      </c>
      <c r="IK53" s="64">
        <v>2</v>
      </c>
      <c r="IL53" s="64">
        <v>4</v>
      </c>
      <c r="IM53" s="64">
        <v>0</v>
      </c>
      <c r="IN53" s="64">
        <v>2</v>
      </c>
      <c r="IO53" s="64">
        <v>4</v>
      </c>
      <c r="IP53" s="64">
        <v>0</v>
      </c>
      <c r="IQ53" s="64">
        <v>2</v>
      </c>
      <c r="IS53" s="64" t="s">
        <v>380</v>
      </c>
      <c r="IT53" s="64">
        <f t="shared" si="42"/>
        <v>0</v>
      </c>
      <c r="IU53" s="64">
        <f t="shared" si="43"/>
        <v>4</v>
      </c>
      <c r="IV53" s="64">
        <f t="shared" si="44"/>
        <v>8</v>
      </c>
      <c r="IW53" s="64">
        <f t="shared" si="45"/>
        <v>0</v>
      </c>
      <c r="IX53" s="64">
        <f t="shared" si="46"/>
        <v>4</v>
      </c>
      <c r="IY53" s="64">
        <f t="shared" si="47"/>
        <v>0</v>
      </c>
      <c r="IZ53" s="64">
        <f t="shared" si="48"/>
        <v>4</v>
      </c>
      <c r="JA53" s="64">
        <f t="shared" si="49"/>
        <v>8</v>
      </c>
      <c r="JB53" s="64">
        <f t="shared" si="50"/>
        <v>0</v>
      </c>
      <c r="JC53" s="64">
        <f t="shared" si="51"/>
        <v>4</v>
      </c>
      <c r="JD53" s="64">
        <f t="shared" si="52"/>
        <v>8</v>
      </c>
      <c r="JE53" s="64">
        <f t="shared" si="53"/>
        <v>0</v>
      </c>
      <c r="JF53" s="64">
        <f t="shared" si="54"/>
        <v>4</v>
      </c>
      <c r="JG53" s="64">
        <f t="shared" si="55"/>
        <v>0</v>
      </c>
      <c r="JH53" s="64">
        <f t="shared" si="56"/>
        <v>4</v>
      </c>
      <c r="JI53" s="64">
        <f t="shared" si="57"/>
        <v>8</v>
      </c>
      <c r="JJ53" s="64">
        <f t="shared" si="58"/>
        <v>0</v>
      </c>
      <c r="JK53" s="64">
        <f t="shared" si="59"/>
        <v>4</v>
      </c>
      <c r="JL53" s="64">
        <f t="shared" si="60"/>
        <v>8</v>
      </c>
      <c r="JM53" s="64">
        <f t="shared" si="61"/>
        <v>0</v>
      </c>
      <c r="JN53" s="64">
        <f t="shared" si="62"/>
        <v>4</v>
      </c>
    </row>
    <row r="54" spans="1:298" x14ac:dyDescent="0.25">
      <c r="A54" s="8"/>
      <c r="B54" s="5" t="s">
        <v>61</v>
      </c>
      <c r="C54" s="8"/>
      <c r="D54" s="6" t="s">
        <v>458</v>
      </c>
      <c r="E54" s="8">
        <v>0</v>
      </c>
      <c r="F54" s="5"/>
      <c r="G54" s="5"/>
      <c r="H54" s="5"/>
      <c r="I54" s="5"/>
      <c r="J54" s="5" t="s">
        <v>95</v>
      </c>
      <c r="K54" s="9"/>
      <c r="L54" s="6" t="s">
        <v>114</v>
      </c>
      <c r="M54" s="11">
        <f>INDEX(cenník!$C$2:$I$568,MATCH($L54,cenník!$B$2:$B$557,0),MATCH(M$2,cenník!$C$1:$I$1,0))</f>
        <v>851122</v>
      </c>
      <c r="N54" s="11" t="str">
        <f>INDEX(cenník!$C$2:$I$568,MATCH($L54,cenník!$B$2:$B$557,0),MATCH(N$2,cenník!$C$1:$I$1,0))</f>
        <v>ks</v>
      </c>
      <c r="O54" s="11">
        <f>SUM(AE41:AE56)</f>
        <v>0</v>
      </c>
      <c r="P54" s="36">
        <f>INDEX(cenník!$C$2:$I$568,MATCH($L54,cenník!$B$2:$B$557,0),MATCH(P$2,cenník!$C$1:$I$1,0))</f>
        <v>15.99</v>
      </c>
      <c r="Q54" s="36">
        <f t="shared" si="92"/>
        <v>0</v>
      </c>
      <c r="R54" s="37">
        <f t="shared" si="90"/>
        <v>0</v>
      </c>
      <c r="S54" s="36">
        <f t="shared" si="91"/>
        <v>15.99</v>
      </c>
      <c r="T54" s="36">
        <f t="shared" si="93"/>
        <v>0</v>
      </c>
      <c r="U54" s="36">
        <f>INDEX(cenník!$C$2:$I$568,MATCH($L54,cenník!$B$2:$B$557,0),MATCH(U$2,cenník!$C$1:$I$1,0))*O54</f>
        <v>0</v>
      </c>
      <c r="V54" s="72"/>
      <c r="W54" s="85">
        <f t="shared" si="85"/>
        <v>0</v>
      </c>
      <c r="X54" s="72">
        <f t="shared" si="86"/>
        <v>0</v>
      </c>
      <c r="Y54" s="72"/>
      <c r="Z54" s="72">
        <f>(INDEX(($EW$5:$GU$13,$EW$17:$GU$25,$EW$30:$GU$38,$EW$42:$GU$50),MATCH($L$58,$EV$5:$EV$13,0),MATCH(A62,$EW$4:$GU$4,0),MATCH($G$50,$X$26:$X$29,0)))*C62</f>
        <v>0</v>
      </c>
      <c r="AA54" s="72">
        <f>(INDEX(($EW$5:$GU$13,$EW$17:$GU$25,$EW$30:$GU$38,$EW$42:$GU$50),MATCH($L$50,$EV$5:$EV$13,0),MATCH(A62,$EW$4:$GU$4,0),MATCH($G$50,$X$26:$X$29,0)))*C62</f>
        <v>0</v>
      </c>
      <c r="AB54" s="72">
        <f>(INDEX(($EW$5:$GU$13,$EW$17:$GU$25,$EW$30:$GU$38,$EW$42:$GU$50),MATCH($L$51,$EV$5:$EV$13,0),MATCH(A62,$EW$4:$GU$4,0),MATCH($G$50,$X$26:$X$29,0)))*C62</f>
        <v>0</v>
      </c>
      <c r="AC54" s="72">
        <f>(INDEX(($EW$5:$GU$13,$EW$17:$GU$25,$EW$30:$GU$38,$EW$42:$GU$50),MATCH($L$52,$EV$5:$EV$13,0),MATCH(A62,$EW$4:$GU$4,0),MATCH($G$50,$X$26:$X$29,0)))*C62</f>
        <v>0</v>
      </c>
      <c r="AD54" s="72">
        <f>(INDEX(($EW$5:$GU$13,$EW$17:$GU$25,$EW$30:$GU$38,$EW$42:$GU$50),MATCH($L$53,$EV$5:$EV$13,0),MATCH(A62,$EW$4:$GU$4,0),MATCH($G$50,$X$26:$X$29,0)))*C62</f>
        <v>0</v>
      </c>
      <c r="AE54" s="72">
        <f>(INDEX(($EW$5:$GU$13,$EW$17:$GU$25,$EW$30:$GU$38,$EW$42:$GU$50),MATCH($L$54,$EV$5:$EV$13,0),MATCH(A62,$EW$4:$GU$4,0),MATCH($G$50,$X$26:$X$29,0)))*C62</f>
        <v>0</v>
      </c>
      <c r="AF54" s="72">
        <f>(INDEX(($EW$5:$GU$13,$EW$17:$GU$25,$EW$30:$GU$38,$EW$42:$GU$50),MATCH($L$55,$EV$5:$EV$13,0),MATCH(A62,$EW$4:$GU$4,0),MATCH($G$50,$X$26:$X$29,0)))*C62</f>
        <v>0</v>
      </c>
      <c r="AG54" s="72">
        <f>(INDEX(($EW$5:$GU$13,$EW$17:$GU$25,$EW$30:$GU$38,$EW$42:$GU$50),MATCH($L$56,$EV$5:$EV$13,0),MATCH(A62,$EW$4:$GU$4,0),MATCH($G$50,$X$26:$X$29,0)))*C62</f>
        <v>0</v>
      </c>
      <c r="AH54" s="72">
        <f>(INDEX(($EW$5:$GU$13,$EW$17:$GU$25,$EW$30:$GU$38,$EW$42:$GU$50),MATCH($L$57,$EV$5:$EV$13,0),MATCH(A62,$EW$4:$GU$4,0),MATCH($G$50,$X$26:$X$29,0)))*C62</f>
        <v>0</v>
      </c>
      <c r="AI54" s="72"/>
      <c r="AJ54" s="72"/>
      <c r="AK54" s="72"/>
      <c r="AL54" s="72" t="s">
        <v>179</v>
      </c>
      <c r="AM54" s="72">
        <v>0</v>
      </c>
      <c r="AN54" s="72">
        <f>((((SUM(AN49:AN53))/2)-1))*4</f>
        <v>0</v>
      </c>
      <c r="AO54" s="72">
        <f t="shared" ref="AO54:CK54" si="94">((((SUM(AO49:AO53))/2)-1))*4</f>
        <v>4</v>
      </c>
      <c r="AP54" s="72">
        <f t="shared" si="94"/>
        <v>4</v>
      </c>
      <c r="AQ54" s="72">
        <f t="shared" si="94"/>
        <v>8</v>
      </c>
      <c r="AR54" s="72">
        <f t="shared" si="94"/>
        <v>8</v>
      </c>
      <c r="AS54" s="72">
        <f t="shared" si="94"/>
        <v>12</v>
      </c>
      <c r="AT54" s="72">
        <f t="shared" si="94"/>
        <v>12</v>
      </c>
      <c r="AU54" s="72">
        <f t="shared" si="94"/>
        <v>16</v>
      </c>
      <c r="AV54" s="72">
        <f t="shared" si="94"/>
        <v>16</v>
      </c>
      <c r="AW54" s="72">
        <f t="shared" si="94"/>
        <v>20</v>
      </c>
      <c r="AX54" s="72">
        <f t="shared" si="94"/>
        <v>20</v>
      </c>
      <c r="AY54" s="72">
        <f t="shared" si="94"/>
        <v>24</v>
      </c>
      <c r="AZ54" s="72">
        <f t="shared" si="94"/>
        <v>24</v>
      </c>
      <c r="BA54" s="72">
        <f t="shared" si="94"/>
        <v>28</v>
      </c>
      <c r="BB54" s="72">
        <f t="shared" si="94"/>
        <v>28</v>
      </c>
      <c r="BC54" s="72">
        <f t="shared" si="94"/>
        <v>32</v>
      </c>
      <c r="BD54" s="72">
        <f t="shared" si="94"/>
        <v>32</v>
      </c>
      <c r="BE54" s="72">
        <f t="shared" si="94"/>
        <v>36</v>
      </c>
      <c r="BF54" s="72">
        <f t="shared" si="94"/>
        <v>36</v>
      </c>
      <c r="BG54" s="72">
        <f t="shared" si="94"/>
        <v>40</v>
      </c>
      <c r="BH54" s="72">
        <f t="shared" si="94"/>
        <v>40</v>
      </c>
      <c r="BI54" s="72">
        <f t="shared" si="94"/>
        <v>44</v>
      </c>
      <c r="BJ54" s="72">
        <f t="shared" si="94"/>
        <v>48</v>
      </c>
      <c r="BK54" s="72">
        <f t="shared" si="94"/>
        <v>48</v>
      </c>
      <c r="BL54" s="72">
        <f t="shared" si="94"/>
        <v>52</v>
      </c>
      <c r="BM54" s="72">
        <f t="shared" si="94"/>
        <v>52</v>
      </c>
      <c r="BN54" s="72">
        <f t="shared" si="94"/>
        <v>56</v>
      </c>
      <c r="BO54" s="72">
        <f t="shared" si="94"/>
        <v>56</v>
      </c>
      <c r="BP54" s="72">
        <f t="shared" si="94"/>
        <v>60</v>
      </c>
      <c r="BQ54" s="72">
        <f t="shared" si="94"/>
        <v>60</v>
      </c>
      <c r="BR54" s="72">
        <f t="shared" si="94"/>
        <v>64</v>
      </c>
      <c r="BS54" s="72">
        <f t="shared" si="94"/>
        <v>64</v>
      </c>
      <c r="BT54" s="72">
        <f t="shared" si="94"/>
        <v>68</v>
      </c>
      <c r="BU54" s="72">
        <f t="shared" si="94"/>
        <v>68</v>
      </c>
      <c r="BV54" s="72">
        <f t="shared" si="94"/>
        <v>72</v>
      </c>
      <c r="BW54" s="72">
        <f t="shared" si="94"/>
        <v>72</v>
      </c>
      <c r="BX54" s="72">
        <f t="shared" si="94"/>
        <v>76</v>
      </c>
      <c r="BY54" s="72">
        <f t="shared" si="94"/>
        <v>76</v>
      </c>
      <c r="BZ54" s="72">
        <f t="shared" si="94"/>
        <v>80</v>
      </c>
      <c r="CA54" s="72">
        <f t="shared" si="94"/>
        <v>80</v>
      </c>
      <c r="CB54" s="72">
        <f t="shared" si="94"/>
        <v>84</v>
      </c>
      <c r="CC54" s="72">
        <f t="shared" si="94"/>
        <v>84</v>
      </c>
      <c r="CD54" s="72">
        <f t="shared" si="94"/>
        <v>88</v>
      </c>
      <c r="CE54" s="72">
        <f t="shared" si="94"/>
        <v>88</v>
      </c>
      <c r="CF54" s="72">
        <f t="shared" si="94"/>
        <v>92</v>
      </c>
      <c r="CG54" s="72">
        <f t="shared" si="94"/>
        <v>92</v>
      </c>
      <c r="CH54" s="72">
        <f t="shared" si="94"/>
        <v>96</v>
      </c>
      <c r="CI54" s="72">
        <f t="shared" si="94"/>
        <v>100</v>
      </c>
      <c r="CJ54" s="72">
        <f t="shared" si="94"/>
        <v>100</v>
      </c>
      <c r="CK54" s="72">
        <f t="shared" si="94"/>
        <v>104</v>
      </c>
      <c r="CL54" s="72"/>
      <c r="CM54" s="72"/>
      <c r="CN54" s="72"/>
      <c r="CO54" s="72"/>
      <c r="CP54" s="72"/>
      <c r="CQ54" s="72"/>
      <c r="CR54" s="72"/>
      <c r="CS54" s="72"/>
      <c r="CT54" s="72"/>
      <c r="CU54" s="72"/>
      <c r="CV54" s="72"/>
      <c r="CW54" s="72"/>
      <c r="CX54" s="72"/>
      <c r="CY54" s="72"/>
      <c r="CZ54" s="72"/>
      <c r="DA54" s="72"/>
      <c r="DB54" s="72"/>
      <c r="DC54" s="72"/>
      <c r="DD54" s="72"/>
      <c r="DE54" s="72"/>
      <c r="DF54" s="72"/>
      <c r="DG54" s="72"/>
      <c r="DH54" s="72"/>
      <c r="DI54" s="72"/>
      <c r="DJ54" s="72"/>
      <c r="DK54" s="72"/>
      <c r="DL54" s="72"/>
      <c r="DM54" s="72"/>
      <c r="DN54" s="72"/>
      <c r="DO54" s="72"/>
      <c r="DP54" s="72"/>
      <c r="DQ54" s="72"/>
      <c r="DR54" s="72"/>
      <c r="DS54" s="72"/>
      <c r="DT54" s="72"/>
      <c r="DU54" s="72"/>
      <c r="DV54" s="72"/>
      <c r="DW54" s="72"/>
      <c r="DX54" s="72"/>
      <c r="DY54" s="72"/>
      <c r="DZ54" s="81"/>
      <c r="EA54" s="81"/>
      <c r="EB54" s="81"/>
      <c r="EC54" s="72"/>
      <c r="ED54" s="72"/>
      <c r="EE54" s="72"/>
      <c r="EF54" s="72"/>
      <c r="EG54" s="72"/>
      <c r="EH54" s="72"/>
      <c r="EI54" s="72"/>
      <c r="EJ54" s="72"/>
      <c r="EK54" s="72"/>
      <c r="EL54" s="72"/>
      <c r="EM54" s="72"/>
      <c r="EN54" s="72"/>
      <c r="EO54" s="72"/>
      <c r="EP54" s="72"/>
      <c r="EQ54" s="72"/>
      <c r="ER54" s="72"/>
      <c r="ES54" s="72"/>
      <c r="ET54" s="72"/>
      <c r="EU54" s="72"/>
      <c r="EV54" s="72" t="s">
        <v>99</v>
      </c>
      <c r="EW54" s="72">
        <v>0</v>
      </c>
      <c r="EX54" s="72">
        <v>0</v>
      </c>
      <c r="EY54" s="72">
        <v>0</v>
      </c>
      <c r="EZ54" s="72">
        <v>0</v>
      </c>
      <c r="FA54" s="72">
        <v>0</v>
      </c>
      <c r="FB54" s="72">
        <v>0</v>
      </c>
      <c r="FC54" s="72">
        <v>0</v>
      </c>
      <c r="FD54" s="72">
        <v>2</v>
      </c>
      <c r="FE54" s="72">
        <v>0</v>
      </c>
      <c r="FF54" s="72">
        <v>0</v>
      </c>
      <c r="FG54" s="72">
        <v>0</v>
      </c>
      <c r="FH54" s="72"/>
      <c r="FI54" s="72"/>
      <c r="FJ54" s="72">
        <v>0</v>
      </c>
      <c r="FK54" s="72">
        <v>1</v>
      </c>
      <c r="FL54" s="72">
        <v>2</v>
      </c>
      <c r="FM54" s="72">
        <v>3</v>
      </c>
      <c r="FN54" s="72">
        <v>4</v>
      </c>
      <c r="FO54" s="72">
        <v>5</v>
      </c>
      <c r="FP54" s="72">
        <v>6</v>
      </c>
      <c r="FQ54" s="72">
        <v>7</v>
      </c>
      <c r="FR54" s="72">
        <v>8</v>
      </c>
      <c r="FS54" s="72">
        <v>9</v>
      </c>
      <c r="FT54" s="72">
        <v>10</v>
      </c>
      <c r="FU54" s="72"/>
      <c r="FV54" s="72"/>
      <c r="FW54" s="72">
        <v>0</v>
      </c>
      <c r="FX54" s="72">
        <v>1</v>
      </c>
      <c r="FY54" s="72">
        <v>2</v>
      </c>
      <c r="FZ54" s="72">
        <v>3</v>
      </c>
      <c r="GA54" s="72">
        <v>4</v>
      </c>
      <c r="GB54" s="72">
        <v>5</v>
      </c>
      <c r="GC54" s="72">
        <v>6</v>
      </c>
      <c r="GD54" s="72">
        <v>7</v>
      </c>
      <c r="GE54" s="72">
        <v>8</v>
      </c>
      <c r="GF54" s="72">
        <v>9</v>
      </c>
      <c r="GG54" s="72">
        <v>10</v>
      </c>
      <c r="GH54" s="72"/>
      <c r="GI54" s="72"/>
      <c r="GJ54" s="72"/>
      <c r="GK54" s="72"/>
      <c r="GL54" s="72"/>
      <c r="GM54" s="72"/>
      <c r="GN54" s="72"/>
      <c r="GO54" s="72"/>
      <c r="GP54" s="72"/>
      <c r="GQ54" s="72"/>
      <c r="GR54" s="72"/>
      <c r="GS54" s="72"/>
      <c r="GT54" s="72"/>
      <c r="GU54" s="72"/>
      <c r="GV54" s="72"/>
      <c r="GW54" s="72"/>
      <c r="GX54" s="72"/>
      <c r="HV54" s="64" t="s">
        <v>379</v>
      </c>
      <c r="HW54" s="64">
        <v>0</v>
      </c>
      <c r="HX54" s="64">
        <v>0</v>
      </c>
      <c r="HY54" s="64">
        <v>0</v>
      </c>
      <c r="HZ54" s="64">
        <v>4</v>
      </c>
      <c r="IA54" s="64">
        <v>4</v>
      </c>
      <c r="IB54" s="64">
        <v>6</v>
      </c>
      <c r="IC54" s="64">
        <v>6</v>
      </c>
      <c r="ID54" s="64">
        <v>6</v>
      </c>
      <c r="IE54" s="64">
        <v>10</v>
      </c>
      <c r="IF54" s="64">
        <v>10</v>
      </c>
      <c r="IG54" s="64">
        <v>10</v>
      </c>
      <c r="IH54" s="64">
        <v>14</v>
      </c>
      <c r="II54" s="64">
        <v>14</v>
      </c>
      <c r="IJ54" s="64">
        <v>16</v>
      </c>
      <c r="IK54" s="64">
        <v>16</v>
      </c>
      <c r="IL54" s="64">
        <v>16</v>
      </c>
      <c r="IM54" s="64">
        <v>20</v>
      </c>
      <c r="IN54" s="64">
        <v>20</v>
      </c>
      <c r="IO54" s="64">
        <v>20</v>
      </c>
      <c r="IP54" s="64">
        <v>24</v>
      </c>
      <c r="IQ54" s="64">
        <v>24</v>
      </c>
      <c r="IS54" s="64" t="s">
        <v>379</v>
      </c>
      <c r="IT54" s="64">
        <f t="shared" si="42"/>
        <v>0</v>
      </c>
      <c r="IU54" s="64">
        <f t="shared" si="43"/>
        <v>0</v>
      </c>
      <c r="IV54" s="64">
        <f t="shared" si="44"/>
        <v>0</v>
      </c>
      <c r="IW54" s="64">
        <f t="shared" si="45"/>
        <v>8</v>
      </c>
      <c r="IX54" s="64">
        <f t="shared" si="46"/>
        <v>8</v>
      </c>
      <c r="IY54" s="64">
        <f t="shared" si="47"/>
        <v>12</v>
      </c>
      <c r="IZ54" s="64">
        <f t="shared" si="48"/>
        <v>12</v>
      </c>
      <c r="JA54" s="64">
        <f t="shared" si="49"/>
        <v>12</v>
      </c>
      <c r="JB54" s="64">
        <f t="shared" si="50"/>
        <v>20</v>
      </c>
      <c r="JC54" s="64">
        <f t="shared" si="51"/>
        <v>20</v>
      </c>
      <c r="JD54" s="64">
        <f t="shared" si="52"/>
        <v>20</v>
      </c>
      <c r="JE54" s="64">
        <f t="shared" si="53"/>
        <v>28</v>
      </c>
      <c r="JF54" s="64">
        <f t="shared" si="54"/>
        <v>28</v>
      </c>
      <c r="JG54" s="64">
        <f t="shared" si="55"/>
        <v>32</v>
      </c>
      <c r="JH54" s="64">
        <f t="shared" si="56"/>
        <v>32</v>
      </c>
      <c r="JI54" s="64">
        <f t="shared" si="57"/>
        <v>32</v>
      </c>
      <c r="JJ54" s="64">
        <f t="shared" si="58"/>
        <v>40</v>
      </c>
      <c r="JK54" s="64">
        <f t="shared" si="59"/>
        <v>40</v>
      </c>
      <c r="JL54" s="64">
        <f t="shared" si="60"/>
        <v>40</v>
      </c>
      <c r="JM54" s="64">
        <f t="shared" si="61"/>
        <v>48</v>
      </c>
      <c r="JN54" s="64">
        <f t="shared" si="62"/>
        <v>48</v>
      </c>
      <c r="JQ54" s="88"/>
      <c r="JS54" s="72"/>
    </row>
    <row r="55" spans="1:298" x14ac:dyDescent="0.25">
      <c r="A55" s="8"/>
      <c r="B55" s="5" t="s">
        <v>61</v>
      </c>
      <c r="C55" s="8"/>
      <c r="D55" s="6" t="s">
        <v>460</v>
      </c>
      <c r="E55" s="8">
        <v>0</v>
      </c>
      <c r="F55" s="5"/>
      <c r="G55" s="5"/>
      <c r="H55" s="5"/>
      <c r="I55" s="5"/>
      <c r="J55" s="5" t="s">
        <v>461</v>
      </c>
      <c r="K55" s="9"/>
      <c r="L55" s="6" t="s">
        <v>9</v>
      </c>
      <c r="M55" s="11">
        <f>INDEX(cenník!$C$2:$I$568,MATCH($L55,cenník!$B$2:$B$557,0),MATCH(M$2,cenník!$C$1:$I$1,0))</f>
        <v>851132</v>
      </c>
      <c r="N55" s="11" t="str">
        <f>INDEX(cenník!$C$2:$I$568,MATCH($L55,cenník!$B$2:$B$557,0),MATCH(N$2,cenník!$C$1:$I$1,0))</f>
        <v>ks</v>
      </c>
      <c r="O55" s="11">
        <f>SUM(AF41:AF56)</f>
        <v>0</v>
      </c>
      <c r="P55" s="36">
        <f>INDEX(cenník!$C$2:$I$568,MATCH($L55,cenník!$B$2:$B$557,0),MATCH(P$2,cenník!$C$1:$I$1,0))</f>
        <v>21.79</v>
      </c>
      <c r="Q55" s="36">
        <f t="shared" si="92"/>
        <v>0</v>
      </c>
      <c r="R55" s="37">
        <f t="shared" si="90"/>
        <v>0</v>
      </c>
      <c r="S55" s="36">
        <f t="shared" si="91"/>
        <v>21.79</v>
      </c>
      <c r="T55" s="36">
        <f t="shared" si="93"/>
        <v>0</v>
      </c>
      <c r="U55" s="36">
        <f>INDEX(cenník!$C$2:$I$568,MATCH($L55,cenník!$B$2:$B$557,0),MATCH(U$2,cenník!$C$1:$I$1,0))*O55</f>
        <v>0</v>
      </c>
      <c r="V55" s="72"/>
      <c r="W55" s="85">
        <f t="shared" si="85"/>
        <v>0</v>
      </c>
      <c r="X55" s="72">
        <f t="shared" si="86"/>
        <v>0</v>
      </c>
      <c r="Y55" s="72"/>
      <c r="Z55" s="72">
        <f>(INDEX(($EW$5:$GU$13,$EW$17:$GU$25,$EW$30:$GU$38,$EW$42:$GU$50),MATCH($L$58,$EV$5:$EV$13,0),MATCH(A63,$EW$4:$GU$4,0),MATCH($G$50,$X$26:$X$29,0)))*C63</f>
        <v>0</v>
      </c>
      <c r="AA55" s="72">
        <f>(INDEX(($EW$5:$GU$13,$EW$17:$GU$25,$EW$30:$GU$38,$EW$42:$GU$50),MATCH($L$50,$EV$5:$EV$13,0),MATCH(A63,$EW$4:$GU$4,0),MATCH($G$50,$X$26:$X$29,0)))*C63</f>
        <v>0</v>
      </c>
      <c r="AB55" s="72">
        <f>(INDEX(($EW$5:$GU$13,$EW$17:$GU$25,$EW$30:$GU$38,$EW$42:$GU$50),MATCH($L$51,$EV$5:$EV$13,0),MATCH(A63,$EW$4:$GU$4,0),MATCH($G$50,$X$26:$X$29,0)))*C63</f>
        <v>0</v>
      </c>
      <c r="AC55" s="72">
        <f>(INDEX(($EW$5:$GU$13,$EW$17:$GU$25,$EW$30:$GU$38,$EW$42:$GU$50),MATCH($L$52,$EV$5:$EV$13,0),MATCH(A63,$EW$4:$GU$4,0),MATCH($G$50,$X$26:$X$29,0)))*C63</f>
        <v>0</v>
      </c>
      <c r="AD55" s="72">
        <f>(INDEX(($EW$5:$GU$13,$EW$17:$GU$25,$EW$30:$GU$38,$EW$42:$GU$50),MATCH($L$53,$EV$5:$EV$13,0),MATCH(A63,$EW$4:$GU$4,0),MATCH($G$50,$X$26:$X$29,0)))*C63</f>
        <v>0</v>
      </c>
      <c r="AE55" s="72">
        <f>(INDEX(($EW$5:$GU$13,$EW$17:$GU$25,$EW$30:$GU$38,$EW$42:$GU$50),MATCH($L$54,$EV$5:$EV$13,0),MATCH(A63,$EW$4:$GU$4,0),MATCH($G$50,$X$26:$X$29,0)))*C63</f>
        <v>0</v>
      </c>
      <c r="AF55" s="72">
        <f>(INDEX(($EW$5:$GU$13,$EW$17:$GU$25,$EW$30:$GU$38,$EW$42:$GU$50),MATCH($L$55,$EV$5:$EV$13,0),MATCH(A63,$EW$4:$GU$4,0),MATCH($G$50,$X$26:$X$29,0)))*C63</f>
        <v>0</v>
      </c>
      <c r="AG55" s="72">
        <f>(INDEX(($EW$5:$GU$13,$EW$17:$GU$25,$EW$30:$GU$38,$EW$42:$GU$50),MATCH($L$56,$EV$5:$EV$13,0),MATCH(A63,$EW$4:$GU$4,0),MATCH($G$50,$X$26:$X$29,0)))*C63</f>
        <v>0</v>
      </c>
      <c r="AH55" s="72">
        <f>(INDEX(($EW$5:$GU$13,$EW$17:$GU$25,$EW$30:$GU$38,$EW$42:$GU$50),MATCH($L$57,$EV$5:$EV$13,0),MATCH(A63,$EW$4:$GU$4,0),MATCH($G$50,$X$26:$X$29,0)))*C63</f>
        <v>0</v>
      </c>
      <c r="AI55" s="72"/>
      <c r="AJ55" s="72"/>
      <c r="AK55" s="72"/>
      <c r="AL55" s="72"/>
      <c r="AM55" s="72"/>
      <c r="AN55" s="72"/>
      <c r="AO55" s="72"/>
      <c r="AP55" s="72"/>
      <c r="AQ55" s="72"/>
      <c r="AR55" s="72"/>
      <c r="AS55" s="72"/>
      <c r="AT55" s="72"/>
      <c r="AU55" s="72"/>
      <c r="AV55" s="72"/>
      <c r="AW55" s="72"/>
      <c r="AX55" s="72"/>
      <c r="AY55" s="72"/>
      <c r="AZ55" s="72"/>
      <c r="BA55" s="72"/>
      <c r="BB55" s="72"/>
      <c r="BC55" s="72"/>
      <c r="BD55" s="72"/>
      <c r="BE55" s="72"/>
      <c r="BF55" s="72"/>
      <c r="BG55" s="72"/>
      <c r="BH55" s="72"/>
      <c r="BI55" s="72"/>
      <c r="BJ55" s="72"/>
      <c r="BK55" s="72"/>
      <c r="BL55" s="72"/>
      <c r="BM55" s="72"/>
      <c r="BN55" s="72"/>
      <c r="BO55" s="72"/>
      <c r="BP55" s="72"/>
      <c r="BQ55" s="72"/>
      <c r="BR55" s="72"/>
      <c r="BS55" s="72"/>
      <c r="BT55" s="72"/>
      <c r="BU55" s="72"/>
      <c r="BV55" s="72"/>
      <c r="BW55" s="72"/>
      <c r="BX55" s="72"/>
      <c r="BY55" s="72"/>
      <c r="BZ55" s="72"/>
      <c r="CA55" s="72"/>
      <c r="CB55" s="72"/>
      <c r="CC55" s="72"/>
      <c r="CD55" s="72"/>
      <c r="CE55" s="72"/>
      <c r="CF55" s="72"/>
      <c r="CG55" s="72"/>
      <c r="CH55" s="72"/>
      <c r="CI55" s="72"/>
      <c r="CJ55" s="72"/>
      <c r="CK55" s="72"/>
      <c r="CL55" s="72"/>
      <c r="CM55" s="72" t="s">
        <v>60</v>
      </c>
      <c r="CN55" s="72"/>
      <c r="CO55" s="72"/>
      <c r="CP55" s="72"/>
      <c r="CQ55" s="72"/>
      <c r="CR55" s="72"/>
      <c r="CS55" s="72"/>
      <c r="CT55" s="72"/>
      <c r="CU55" s="72"/>
      <c r="CV55" s="72"/>
      <c r="CW55" s="72"/>
      <c r="CX55" s="72"/>
      <c r="CY55" s="72"/>
      <c r="CZ55" s="72"/>
      <c r="DA55" s="72"/>
      <c r="DB55" s="72"/>
      <c r="DC55" s="72"/>
      <c r="DD55" s="72"/>
      <c r="DE55" s="72"/>
      <c r="DF55" s="72"/>
      <c r="DG55" s="72"/>
      <c r="DH55" s="72"/>
      <c r="DI55" s="72"/>
      <c r="DJ55" s="72"/>
      <c r="DK55" s="72"/>
      <c r="DL55" s="72"/>
      <c r="DM55" s="72"/>
      <c r="DN55" s="72"/>
      <c r="DO55" s="72"/>
      <c r="DP55" s="72"/>
      <c r="DQ55" s="72"/>
      <c r="DR55" s="72"/>
      <c r="DS55" s="72"/>
      <c r="DT55" s="72"/>
      <c r="DU55" s="72"/>
      <c r="DV55" s="72"/>
      <c r="DW55" s="72"/>
      <c r="DX55" s="72"/>
      <c r="DY55" s="72"/>
      <c r="DZ55" s="81"/>
      <c r="EA55" s="81"/>
      <c r="EB55" s="81"/>
      <c r="EC55" s="72"/>
      <c r="ED55" s="72"/>
      <c r="EE55" s="72"/>
      <c r="EF55" s="72"/>
      <c r="EG55" s="72"/>
      <c r="EH55" s="72"/>
      <c r="EI55" s="72"/>
      <c r="EJ55" s="72"/>
      <c r="EK55" s="72"/>
      <c r="EL55" s="72"/>
      <c r="EM55" s="72"/>
      <c r="EN55" s="72"/>
      <c r="EO55" s="72"/>
      <c r="EP55" s="72"/>
      <c r="EQ55" s="72"/>
      <c r="ER55" s="72"/>
      <c r="ES55" s="72"/>
      <c r="ET55" s="72"/>
      <c r="EU55" s="72"/>
      <c r="EV55" s="72" t="s">
        <v>8</v>
      </c>
      <c r="EW55" s="72">
        <v>0</v>
      </c>
      <c r="EX55" s="72">
        <v>0</v>
      </c>
      <c r="EY55" s="72">
        <v>0</v>
      </c>
      <c r="EZ55" s="72">
        <v>0</v>
      </c>
      <c r="FA55" s="72">
        <v>0</v>
      </c>
      <c r="FB55" s="72">
        <v>0</v>
      </c>
      <c r="FC55" s="72">
        <v>0</v>
      </c>
      <c r="FD55" s="72">
        <v>0</v>
      </c>
      <c r="FE55" s="72">
        <v>0</v>
      </c>
      <c r="FF55" s="72">
        <v>2</v>
      </c>
      <c r="FG55" s="72">
        <v>0</v>
      </c>
      <c r="FH55" s="72"/>
      <c r="FI55" s="72" t="s">
        <v>99</v>
      </c>
      <c r="FJ55" s="72">
        <v>0</v>
      </c>
      <c r="FK55" s="72">
        <v>0</v>
      </c>
      <c r="FL55" s="72">
        <v>2</v>
      </c>
      <c r="FM55" s="72">
        <v>0</v>
      </c>
      <c r="FN55" s="72">
        <v>2</v>
      </c>
      <c r="FO55" s="72">
        <v>0</v>
      </c>
      <c r="FP55" s="72">
        <v>2</v>
      </c>
      <c r="FQ55" s="72">
        <v>0</v>
      </c>
      <c r="FR55" s="72">
        <v>2</v>
      </c>
      <c r="FS55" s="72">
        <v>0</v>
      </c>
      <c r="FT55" s="72">
        <v>2</v>
      </c>
      <c r="FU55" s="72"/>
      <c r="FV55" s="72" t="s">
        <v>99</v>
      </c>
      <c r="FW55" s="72">
        <v>0</v>
      </c>
      <c r="FX55" s="72">
        <v>0</v>
      </c>
      <c r="FY55" s="72">
        <v>0</v>
      </c>
      <c r="FZ55" s="72">
        <v>0</v>
      </c>
      <c r="GA55" s="72">
        <v>2</v>
      </c>
      <c r="GB55" s="72">
        <v>0</v>
      </c>
      <c r="GC55" s="72">
        <v>0</v>
      </c>
      <c r="GD55" s="72">
        <v>0</v>
      </c>
      <c r="GE55" s="72">
        <v>0</v>
      </c>
      <c r="GF55" s="72">
        <v>0</v>
      </c>
      <c r="GG55" s="72">
        <v>0</v>
      </c>
      <c r="GH55" s="72"/>
      <c r="GI55" s="72"/>
      <c r="GJ55" s="72"/>
      <c r="GK55" s="72"/>
      <c r="GL55" s="72"/>
      <c r="GM55" s="72"/>
      <c r="GN55" s="72"/>
      <c r="GO55" s="72"/>
      <c r="GP55" s="72"/>
      <c r="GQ55" s="72"/>
      <c r="GR55" s="72"/>
      <c r="GS55" s="72"/>
      <c r="GT55" s="72"/>
      <c r="GU55" s="72"/>
      <c r="GV55" s="72"/>
      <c r="GW55" s="72"/>
      <c r="GX55" s="72"/>
      <c r="HV55" s="64" t="s">
        <v>406</v>
      </c>
      <c r="HW55" s="64">
        <v>0</v>
      </c>
      <c r="HX55" s="64">
        <v>0</v>
      </c>
      <c r="HY55" s="64">
        <v>2</v>
      </c>
      <c r="HZ55" s="64">
        <v>2</v>
      </c>
      <c r="IA55" s="64">
        <v>4</v>
      </c>
      <c r="IB55" s="64">
        <v>4</v>
      </c>
      <c r="IC55" s="64">
        <v>6</v>
      </c>
      <c r="ID55" s="64">
        <v>8</v>
      </c>
      <c r="IE55" s="64">
        <v>8</v>
      </c>
      <c r="IF55" s="64">
        <v>10</v>
      </c>
      <c r="IG55" s="64">
        <v>12</v>
      </c>
      <c r="IH55" s="64">
        <v>12</v>
      </c>
      <c r="II55" s="64">
        <v>14</v>
      </c>
      <c r="IJ55" s="64">
        <v>14</v>
      </c>
      <c r="IK55" s="64">
        <v>16</v>
      </c>
      <c r="IL55" s="64">
        <v>18</v>
      </c>
      <c r="IM55" s="64">
        <v>18</v>
      </c>
      <c r="IN55" s="64">
        <v>20</v>
      </c>
      <c r="IO55" s="64">
        <v>22</v>
      </c>
      <c r="IP55" s="64">
        <v>22</v>
      </c>
      <c r="IQ55" s="64">
        <v>24</v>
      </c>
      <c r="IS55" s="64" t="s">
        <v>406</v>
      </c>
      <c r="IT55" s="64">
        <f t="shared" si="42"/>
        <v>0</v>
      </c>
      <c r="IU55" s="64">
        <f t="shared" si="43"/>
        <v>0</v>
      </c>
      <c r="IV55" s="64">
        <f t="shared" si="44"/>
        <v>4</v>
      </c>
      <c r="IW55" s="64">
        <f t="shared" si="45"/>
        <v>4</v>
      </c>
      <c r="IX55" s="64">
        <f t="shared" si="46"/>
        <v>8</v>
      </c>
      <c r="IY55" s="64">
        <f t="shared" si="47"/>
        <v>8</v>
      </c>
      <c r="IZ55" s="64">
        <f t="shared" si="48"/>
        <v>12</v>
      </c>
      <c r="JA55" s="64">
        <f t="shared" si="49"/>
        <v>16</v>
      </c>
      <c r="JB55" s="64">
        <f t="shared" si="50"/>
        <v>16</v>
      </c>
      <c r="JC55" s="64">
        <f t="shared" si="51"/>
        <v>20</v>
      </c>
      <c r="JD55" s="64">
        <f t="shared" si="52"/>
        <v>24</v>
      </c>
      <c r="JE55" s="64">
        <f t="shared" si="53"/>
        <v>24</v>
      </c>
      <c r="JF55" s="64">
        <f t="shared" si="54"/>
        <v>28</v>
      </c>
      <c r="JG55" s="64">
        <f t="shared" si="55"/>
        <v>28</v>
      </c>
      <c r="JH55" s="64">
        <f t="shared" si="56"/>
        <v>32</v>
      </c>
      <c r="JI55" s="64">
        <f t="shared" si="57"/>
        <v>36</v>
      </c>
      <c r="JJ55" s="64">
        <f t="shared" si="58"/>
        <v>36</v>
      </c>
      <c r="JK55" s="64">
        <f t="shared" si="59"/>
        <v>40</v>
      </c>
      <c r="JL55" s="64">
        <f t="shared" si="60"/>
        <v>44</v>
      </c>
      <c r="JM55" s="64">
        <f t="shared" si="61"/>
        <v>44</v>
      </c>
      <c r="JN55" s="64">
        <f t="shared" si="62"/>
        <v>48</v>
      </c>
      <c r="JQ55" s="88"/>
      <c r="JS55" s="72"/>
    </row>
    <row r="56" spans="1:298" x14ac:dyDescent="0.25">
      <c r="A56" s="8"/>
      <c r="B56" s="5" t="s">
        <v>61</v>
      </c>
      <c r="C56" s="8"/>
      <c r="D56" s="6" t="s">
        <v>474</v>
      </c>
      <c r="E56" s="4"/>
      <c r="F56" s="6"/>
      <c r="G56" s="6"/>
      <c r="H56" s="6"/>
      <c r="I56" s="6"/>
      <c r="K56" s="9"/>
      <c r="L56" s="6" t="s">
        <v>101</v>
      </c>
      <c r="M56" s="11">
        <f>INDEX(cenník!$C$2:$I$568,MATCH($L56,cenník!$B$2:$B$557,0),MATCH(M$2,cenník!$C$1:$I$1,0))</f>
        <v>851135</v>
      </c>
      <c r="N56" s="11" t="str">
        <f>INDEX(cenník!$C$2:$I$568,MATCH($L56,cenník!$B$2:$B$557,0),MATCH(N$2,cenník!$C$1:$I$1,0))</f>
        <v>ks</v>
      </c>
      <c r="O56" s="11">
        <f>SUM(AG41:AG56)</f>
        <v>0</v>
      </c>
      <c r="P56" s="36">
        <f>INDEX(cenník!$C$2:$I$568,MATCH($L56,cenník!$B$2:$B$557,0),MATCH(P$2,cenník!$C$1:$I$1,0))</f>
        <v>25.4</v>
      </c>
      <c r="Q56" s="36">
        <f t="shared" si="92"/>
        <v>0</v>
      </c>
      <c r="R56" s="37">
        <f t="shared" si="90"/>
        <v>0</v>
      </c>
      <c r="S56" s="36">
        <f t="shared" si="91"/>
        <v>25.4</v>
      </c>
      <c r="T56" s="36">
        <f t="shared" si="93"/>
        <v>0</v>
      </c>
      <c r="U56" s="36">
        <f>INDEX(cenník!$C$2:$I$568,MATCH($L56,cenník!$B$2:$B$557,0),MATCH(U$2,cenník!$C$1:$I$1,0))*O56</f>
        <v>0</v>
      </c>
      <c r="V56" s="72"/>
      <c r="W56" s="85">
        <f t="shared" si="85"/>
        <v>0</v>
      </c>
      <c r="X56" s="72">
        <f t="shared" si="86"/>
        <v>0</v>
      </c>
      <c r="Y56" s="72"/>
      <c r="Z56" s="72">
        <f>(INDEX(($EW$5:$GU$13,$EW$17:$GU$25,$EW$30:$GU$38,$EW$42:$GU$50),MATCH($L$58,$EV$5:$EV$13,0),MATCH(A64,$EW$4:$GU$4,0),MATCH($G$50,$X$26:$X$29,0)))*C64</f>
        <v>0</v>
      </c>
      <c r="AA56" s="72">
        <f>(INDEX(($EW$5:$GU$13,$EW$17:$GU$25,$EW$30:$GU$38,$EW$42:$GU$50),MATCH($L$50,$EV$5:$EV$13,0),MATCH(A64,$EW$4:$GU$4,0),MATCH($G$50,$X$26:$X$29,0)))*C64</f>
        <v>0</v>
      </c>
      <c r="AB56" s="72">
        <f>(INDEX(($EW$5:$GU$13,$EW$17:$GU$25,$EW$30:$GU$38,$EW$42:$GU$50),MATCH($L$51,$EV$5:$EV$13,0),MATCH(A64,$EW$4:$GU$4,0),MATCH($G$50,$X$26:$X$29,0)))*C64</f>
        <v>0</v>
      </c>
      <c r="AC56" s="72">
        <f>(INDEX(($EW$5:$GU$13,$EW$17:$GU$25,$EW$30:$GU$38,$EW$42:$GU$50),MATCH($L$52,$EV$5:$EV$13,0),MATCH(A64,$EW$4:$GU$4,0),MATCH($G$50,$X$26:$X$29,0)))*C64</f>
        <v>0</v>
      </c>
      <c r="AD56" s="72">
        <f>(INDEX(($EW$5:$GU$13,$EW$17:$GU$25,$EW$30:$GU$38,$EW$42:$GU$50),MATCH($L$53,$EV$5:$EV$13,0),MATCH(A64,$EW$4:$GU$4,0),MATCH($G$50,$X$26:$X$29,0)))*C64</f>
        <v>0</v>
      </c>
      <c r="AE56" s="72">
        <f>(INDEX(($EW$5:$GU$13,$EW$17:$GU$25,$EW$30:$GU$38,$EW$42:$GU$50),MATCH($L$54,$EV$5:$EV$13,0),MATCH(A64,$EW$4:$GU$4,0),MATCH($G$50,$X$26:$X$29,0)))*C64</f>
        <v>0</v>
      </c>
      <c r="AF56" s="72">
        <f>(INDEX(($EW$5:$GU$13,$EW$17:$GU$25,$EW$30:$GU$38,$EW$42:$GU$50),MATCH($L$55,$EV$5:$EV$13,0),MATCH(A64,$EW$4:$GU$4,0),MATCH($G$50,$X$26:$X$29,0)))*C64</f>
        <v>0</v>
      </c>
      <c r="AG56" s="72">
        <f>(INDEX(($EW$5:$GU$13,$EW$17:$GU$25,$EW$30:$GU$38,$EW$42:$GU$50),MATCH($L$56,$EV$5:$EV$13,0),MATCH(A64,$EW$4:$GU$4,0),MATCH($G$50,$X$26:$X$29,0)))*C64</f>
        <v>0</v>
      </c>
      <c r="AH56" s="72">
        <f>(INDEX(($EW$5:$GU$13,$EW$17:$GU$25,$EW$30:$GU$38,$EW$42:$GU$50),MATCH($L$57,$EV$5:$EV$13,0),MATCH(A64,$EW$4:$GU$4,0),MATCH($G$50,$X$26:$X$29,0)))*C64</f>
        <v>0</v>
      </c>
      <c r="AI56" s="72"/>
      <c r="AJ56" s="72"/>
      <c r="AK56" s="72"/>
      <c r="AL56" s="72" t="s">
        <v>67</v>
      </c>
      <c r="AM56" s="72"/>
      <c r="AN56" s="72"/>
      <c r="AO56" s="72"/>
      <c r="AP56" s="72"/>
      <c r="AQ56" s="72"/>
      <c r="AR56" s="72"/>
      <c r="AS56" s="72"/>
      <c r="AT56" s="72"/>
      <c r="AU56" s="72"/>
      <c r="AV56" s="72"/>
      <c r="AW56" s="72"/>
      <c r="AX56" s="72"/>
      <c r="AY56" s="72"/>
      <c r="AZ56" s="72"/>
      <c r="BA56" s="72"/>
      <c r="BB56" s="72"/>
      <c r="BC56" s="72"/>
      <c r="BD56" s="72"/>
      <c r="BE56" s="72"/>
      <c r="BF56" s="72"/>
      <c r="BG56" s="72"/>
      <c r="BH56" s="72"/>
      <c r="BI56" s="72"/>
      <c r="BJ56" s="72"/>
      <c r="BK56" s="72"/>
      <c r="BL56" s="72"/>
      <c r="BM56" s="72"/>
      <c r="BN56" s="72"/>
      <c r="BO56" s="72"/>
      <c r="BP56" s="72"/>
      <c r="BQ56" s="72"/>
      <c r="BR56" s="72"/>
      <c r="BS56" s="72"/>
      <c r="BT56" s="72"/>
      <c r="BU56" s="72"/>
      <c r="BV56" s="72"/>
      <c r="BW56" s="72"/>
      <c r="BX56" s="72"/>
      <c r="BY56" s="72"/>
      <c r="BZ56" s="72"/>
      <c r="CA56" s="72"/>
      <c r="CB56" s="72"/>
      <c r="CC56" s="72"/>
      <c r="CD56" s="72"/>
      <c r="CE56" s="72"/>
      <c r="CF56" s="72"/>
      <c r="CG56" s="72"/>
      <c r="CH56" s="72"/>
      <c r="CI56" s="72"/>
      <c r="CJ56" s="72"/>
      <c r="CK56" s="72"/>
      <c r="CL56" s="72"/>
      <c r="CM56" s="72"/>
      <c r="CN56" s="72">
        <v>0</v>
      </c>
      <c r="CO56" s="72">
        <v>1</v>
      </c>
      <c r="CP56" s="72">
        <v>2</v>
      </c>
      <c r="CQ56" s="72">
        <v>3</v>
      </c>
      <c r="CR56" s="72">
        <v>4</v>
      </c>
      <c r="CS56" s="72">
        <v>5</v>
      </c>
      <c r="CT56" s="72">
        <v>6</v>
      </c>
      <c r="CU56" s="72">
        <v>7</v>
      </c>
      <c r="CV56" s="72">
        <v>8</v>
      </c>
      <c r="CW56" s="72">
        <v>9</v>
      </c>
      <c r="CX56" s="72">
        <v>10</v>
      </c>
      <c r="CY56" s="72">
        <v>11</v>
      </c>
      <c r="CZ56" s="72">
        <v>12</v>
      </c>
      <c r="DA56" s="72">
        <v>13</v>
      </c>
      <c r="DB56" s="72">
        <v>14</v>
      </c>
      <c r="DC56" s="72">
        <v>15</v>
      </c>
      <c r="DD56" s="72">
        <v>16</v>
      </c>
      <c r="DE56" s="72">
        <v>17</v>
      </c>
      <c r="DF56" s="72">
        <v>18</v>
      </c>
      <c r="DG56" s="72">
        <v>19</v>
      </c>
      <c r="DH56" s="72">
        <v>20</v>
      </c>
      <c r="DI56" s="72"/>
      <c r="DJ56" s="72"/>
      <c r="DK56" s="72"/>
      <c r="DL56" s="72"/>
      <c r="DM56" s="72"/>
      <c r="DN56" s="72"/>
      <c r="DO56" s="72"/>
      <c r="DP56" s="72"/>
      <c r="DQ56" s="72"/>
      <c r="DR56" s="72"/>
      <c r="DS56" s="72"/>
      <c r="DT56" s="72"/>
      <c r="DU56" s="72"/>
      <c r="DV56" s="72"/>
      <c r="DW56" s="72"/>
      <c r="DX56" s="72"/>
      <c r="DY56" s="72"/>
      <c r="DZ56" s="81"/>
      <c r="EA56" s="81"/>
      <c r="EB56" s="81"/>
      <c r="EC56" s="72"/>
      <c r="ED56" s="72"/>
      <c r="EE56" s="72"/>
      <c r="EF56" s="72"/>
      <c r="EG56" s="72"/>
      <c r="EH56" s="72"/>
      <c r="EI56" s="72"/>
      <c r="EJ56" s="72"/>
      <c r="EK56" s="72"/>
      <c r="EL56" s="72"/>
      <c r="EM56" s="72"/>
      <c r="EN56" s="72"/>
      <c r="EO56" s="72"/>
      <c r="EP56" s="72"/>
      <c r="EQ56" s="72"/>
      <c r="ER56" s="72"/>
      <c r="ES56" s="72"/>
      <c r="ET56" s="72"/>
      <c r="EU56" s="72"/>
      <c r="EV56" s="72" t="s">
        <v>98</v>
      </c>
      <c r="EW56" s="72">
        <v>0</v>
      </c>
      <c r="EX56" s="72">
        <v>0</v>
      </c>
      <c r="EY56" s="72">
        <v>0</v>
      </c>
      <c r="EZ56" s="72">
        <v>2</v>
      </c>
      <c r="FA56" s="72">
        <v>0</v>
      </c>
      <c r="FB56" s="72">
        <v>0</v>
      </c>
      <c r="FC56" s="72">
        <v>0</v>
      </c>
      <c r="FD56" s="72">
        <v>0</v>
      </c>
      <c r="FE56" s="72">
        <v>0</v>
      </c>
      <c r="FF56" s="72">
        <v>0</v>
      </c>
      <c r="FG56" s="72">
        <v>0</v>
      </c>
      <c r="FH56" s="72"/>
      <c r="FI56" s="72" t="s">
        <v>8</v>
      </c>
      <c r="FJ56" s="72">
        <v>0</v>
      </c>
      <c r="FK56" s="72">
        <v>0</v>
      </c>
      <c r="FL56" s="72">
        <v>0</v>
      </c>
      <c r="FM56" s="72">
        <v>0</v>
      </c>
      <c r="FN56" s="72">
        <v>0</v>
      </c>
      <c r="FO56" s="72">
        <v>0</v>
      </c>
      <c r="FP56" s="72">
        <v>0</v>
      </c>
      <c r="FQ56" s="72">
        <v>0</v>
      </c>
      <c r="FR56" s="72">
        <v>0</v>
      </c>
      <c r="FS56" s="72">
        <v>0</v>
      </c>
      <c r="FT56" s="72">
        <v>0</v>
      </c>
      <c r="FU56" s="72"/>
      <c r="FV56" s="72" t="s">
        <v>8</v>
      </c>
      <c r="FW56" s="72">
        <v>0</v>
      </c>
      <c r="FX56" s="72">
        <v>0</v>
      </c>
      <c r="FY56" s="72">
        <v>2</v>
      </c>
      <c r="FZ56" s="72">
        <v>0</v>
      </c>
      <c r="GA56" s="72">
        <v>0</v>
      </c>
      <c r="GB56" s="72">
        <v>0</v>
      </c>
      <c r="GC56" s="72">
        <v>0</v>
      </c>
      <c r="GD56" s="72">
        <v>0</v>
      </c>
      <c r="GE56" s="72">
        <v>0</v>
      </c>
      <c r="GF56" s="72">
        <v>0</v>
      </c>
      <c r="GG56" s="72">
        <v>0</v>
      </c>
      <c r="GH56" s="72"/>
      <c r="GI56" s="72"/>
      <c r="GJ56" s="72"/>
      <c r="GK56" s="72"/>
      <c r="GL56" s="72"/>
      <c r="GM56" s="72"/>
      <c r="GN56" s="72"/>
      <c r="GO56" s="72"/>
      <c r="GP56" s="72"/>
      <c r="GQ56" s="72"/>
      <c r="GR56" s="72"/>
      <c r="GS56" s="72"/>
      <c r="GT56" s="72"/>
      <c r="GU56" s="72"/>
      <c r="GV56" s="72"/>
      <c r="GW56" s="72"/>
      <c r="GX56" s="72"/>
      <c r="JQ56" s="88"/>
      <c r="JS56" s="72"/>
    </row>
    <row r="57" spans="1:298" x14ac:dyDescent="0.25">
      <c r="A57" s="8"/>
      <c r="B57" s="5" t="s">
        <v>61</v>
      </c>
      <c r="C57" s="8"/>
      <c r="D57" s="6" t="s">
        <v>477</v>
      </c>
      <c r="E57" s="56">
        <f>INDEX((AI105:AM107),MATCH(E58,AH105:AH107,0),MATCH(E59,AI104:AM104,0))</f>
        <v>1400</v>
      </c>
      <c r="F57" s="9"/>
      <c r="G57" s="9"/>
      <c r="H57" s="9"/>
      <c r="I57" s="9"/>
      <c r="J57" s="5" t="s">
        <v>62</v>
      </c>
      <c r="K57" s="9"/>
      <c r="L57" s="6" t="s">
        <v>102</v>
      </c>
      <c r="M57" s="11">
        <f>INDEX(cenník!$C$2:$I$568,MATCH($L57,cenník!$B$2:$B$557,0),MATCH(M$2,cenník!$C$1:$I$1,0))</f>
        <v>852137</v>
      </c>
      <c r="N57" s="11" t="str">
        <f>INDEX(cenník!$C$2:$I$568,MATCH($L57,cenník!$B$2:$B$557,0),MATCH(N$2,cenník!$C$1:$I$1,0))</f>
        <v>ks</v>
      </c>
      <c r="O57" s="11">
        <f>SUM(AH41:AH56)</f>
        <v>0</v>
      </c>
      <c r="P57" s="36">
        <f>INDEX(cenník!$C$2:$I$568,MATCH($L57,cenník!$B$2:$B$557,0),MATCH(P$2,cenník!$C$1:$I$1,0))</f>
        <v>26.88</v>
      </c>
      <c r="Q57" s="36">
        <f t="shared" si="92"/>
        <v>0</v>
      </c>
      <c r="R57" s="37">
        <f t="shared" si="90"/>
        <v>0</v>
      </c>
      <c r="S57" s="36">
        <f t="shared" si="91"/>
        <v>26.88</v>
      </c>
      <c r="T57" s="36">
        <f t="shared" si="93"/>
        <v>0</v>
      </c>
      <c r="U57" s="36">
        <f>INDEX(cenník!$C$2:$I$568,MATCH($L57,cenník!$B$2:$B$557,0),MATCH(U$2,cenník!$C$1:$I$1,0))*O57</f>
        <v>0</v>
      </c>
      <c r="V57" s="72"/>
      <c r="W57" s="72"/>
      <c r="X57" s="72"/>
      <c r="Y57" s="72"/>
      <c r="Z57" s="72"/>
      <c r="AA57" s="72"/>
      <c r="AB57" s="72"/>
      <c r="AC57" s="72"/>
      <c r="AD57" s="72"/>
      <c r="AE57" s="72"/>
      <c r="AF57" s="72"/>
      <c r="AG57" s="72"/>
      <c r="AH57" s="72"/>
      <c r="AI57" s="72"/>
      <c r="AJ57" s="72"/>
      <c r="AK57" s="72"/>
      <c r="AL57" s="72"/>
      <c r="AM57" s="72"/>
      <c r="AN57" s="72"/>
      <c r="AO57" s="72"/>
      <c r="AP57" s="72"/>
      <c r="AQ57" s="72"/>
      <c r="AR57" s="72"/>
      <c r="AS57" s="72"/>
      <c r="AT57" s="72"/>
      <c r="AU57" s="72"/>
      <c r="AV57" s="72"/>
      <c r="AW57" s="72"/>
      <c r="AX57" s="72"/>
      <c r="AY57" s="72"/>
      <c r="AZ57" s="72"/>
      <c r="BA57" s="72"/>
      <c r="BB57" s="72"/>
      <c r="BC57" s="72"/>
      <c r="BD57" s="72"/>
      <c r="BE57" s="72"/>
      <c r="BF57" s="72"/>
      <c r="BG57" s="72"/>
      <c r="BH57" s="72"/>
      <c r="BI57" s="72"/>
      <c r="BJ57" s="72"/>
      <c r="BK57" s="72"/>
      <c r="BL57" s="72"/>
      <c r="BM57" s="72"/>
      <c r="BN57" s="72"/>
      <c r="BO57" s="72"/>
      <c r="BP57" s="72"/>
      <c r="BQ57" s="72"/>
      <c r="BR57" s="72"/>
      <c r="BS57" s="72"/>
      <c r="BT57" s="72"/>
      <c r="BU57" s="72"/>
      <c r="BV57" s="72"/>
      <c r="BW57" s="72"/>
      <c r="BX57" s="72"/>
      <c r="BY57" s="72"/>
      <c r="BZ57" s="72"/>
      <c r="CA57" s="72"/>
      <c r="CB57" s="72"/>
      <c r="CC57" s="72"/>
      <c r="CD57" s="72"/>
      <c r="CE57" s="72"/>
      <c r="CF57" s="72"/>
      <c r="CG57" s="72"/>
      <c r="CH57" s="72"/>
      <c r="CI57" s="72"/>
      <c r="CJ57" s="72"/>
      <c r="CK57" s="72"/>
      <c r="CL57" s="72"/>
      <c r="CM57" s="72" t="s">
        <v>114</v>
      </c>
      <c r="CN57" s="72">
        <v>0</v>
      </c>
      <c r="CO57" s="72">
        <v>2</v>
      </c>
      <c r="CP57" s="72">
        <v>2</v>
      </c>
      <c r="CQ57" s="72">
        <v>0</v>
      </c>
      <c r="CR57" s="72">
        <v>4</v>
      </c>
      <c r="CS57" s="72">
        <v>2</v>
      </c>
      <c r="CT57" s="72">
        <v>0</v>
      </c>
      <c r="CU57" s="72">
        <v>4</v>
      </c>
      <c r="CV57" s="72">
        <v>2</v>
      </c>
      <c r="CW57" s="72">
        <v>0</v>
      </c>
      <c r="CX57" s="72">
        <v>4</v>
      </c>
      <c r="CY57" s="72">
        <v>2</v>
      </c>
      <c r="CZ57" s="72">
        <v>0</v>
      </c>
      <c r="DA57" s="72">
        <v>0</v>
      </c>
      <c r="DB57" s="72">
        <v>2</v>
      </c>
      <c r="DC57" s="72">
        <v>2</v>
      </c>
      <c r="DD57" s="72">
        <v>0</v>
      </c>
      <c r="DE57" s="72">
        <v>4</v>
      </c>
      <c r="DF57" s="72">
        <v>2</v>
      </c>
      <c r="DG57" s="72">
        <v>0</v>
      </c>
      <c r="DH57" s="72">
        <v>4</v>
      </c>
      <c r="DI57" s="72"/>
      <c r="DJ57" s="72"/>
      <c r="DK57" s="72"/>
      <c r="DL57" s="72"/>
      <c r="DM57" s="72"/>
      <c r="DN57" s="72"/>
      <c r="DO57" s="72"/>
      <c r="DP57" s="72"/>
      <c r="DQ57" s="72"/>
      <c r="DR57" s="72"/>
      <c r="DS57" s="72"/>
      <c r="DT57" s="72"/>
      <c r="DU57" s="72"/>
      <c r="DV57" s="72"/>
      <c r="DW57" s="72"/>
      <c r="DX57" s="72"/>
      <c r="DY57" s="72"/>
      <c r="DZ57" s="81"/>
      <c r="EA57" s="81"/>
      <c r="EB57" s="81"/>
      <c r="EC57" s="72"/>
      <c r="ED57" s="72"/>
      <c r="EE57" s="72"/>
      <c r="EF57" s="72"/>
      <c r="EG57" s="72"/>
      <c r="EH57" s="72"/>
      <c r="EI57" s="72"/>
      <c r="EJ57" s="72"/>
      <c r="EK57" s="72"/>
      <c r="EL57" s="72"/>
      <c r="EM57" s="72"/>
      <c r="EN57" s="72"/>
      <c r="EO57" s="72"/>
      <c r="EP57" s="72"/>
      <c r="EQ57" s="72"/>
      <c r="ER57" s="72"/>
      <c r="ES57" s="72"/>
      <c r="ET57" s="72"/>
      <c r="EU57" s="72"/>
      <c r="EV57" s="72" t="s">
        <v>100</v>
      </c>
      <c r="EW57" s="72">
        <v>0</v>
      </c>
      <c r="EX57" s="72">
        <v>2</v>
      </c>
      <c r="EY57" s="72">
        <v>0</v>
      </c>
      <c r="EZ57" s="72">
        <v>0</v>
      </c>
      <c r="FA57" s="72">
        <v>0</v>
      </c>
      <c r="FB57" s="72">
        <v>2</v>
      </c>
      <c r="FC57" s="72">
        <v>0</v>
      </c>
      <c r="FD57" s="72">
        <v>0</v>
      </c>
      <c r="FE57" s="72">
        <v>0</v>
      </c>
      <c r="FF57" s="72">
        <v>0</v>
      </c>
      <c r="FG57" s="72">
        <v>0</v>
      </c>
      <c r="FH57" s="72"/>
      <c r="FI57" s="72" t="s">
        <v>98</v>
      </c>
      <c r="FJ57" s="72">
        <v>0</v>
      </c>
      <c r="FK57" s="72">
        <v>0</v>
      </c>
      <c r="FL57" s="72">
        <v>0</v>
      </c>
      <c r="FM57" s="72">
        <v>0</v>
      </c>
      <c r="FN57" s="72">
        <v>0</v>
      </c>
      <c r="FO57" s="72">
        <v>0</v>
      </c>
      <c r="FP57" s="72">
        <v>0</v>
      </c>
      <c r="FQ57" s="72">
        <v>0</v>
      </c>
      <c r="FR57" s="72">
        <v>0</v>
      </c>
      <c r="FS57" s="72">
        <v>0</v>
      </c>
      <c r="FT57" s="72">
        <v>0</v>
      </c>
      <c r="FU57" s="72"/>
      <c r="FV57" s="72" t="s">
        <v>98</v>
      </c>
      <c r="FW57" s="72">
        <v>0</v>
      </c>
      <c r="FX57" s="72">
        <v>0</v>
      </c>
      <c r="FY57" s="72">
        <v>0</v>
      </c>
      <c r="FZ57" s="72">
        <v>0</v>
      </c>
      <c r="GA57" s="72">
        <v>0</v>
      </c>
      <c r="GB57" s="72">
        <v>0</v>
      </c>
      <c r="GC57" s="72">
        <v>0</v>
      </c>
      <c r="GD57" s="72">
        <v>0</v>
      </c>
      <c r="GE57" s="72">
        <v>0</v>
      </c>
      <c r="GF57" s="72">
        <v>0</v>
      </c>
      <c r="GG57" s="72">
        <v>0</v>
      </c>
      <c r="GH57" s="72"/>
      <c r="GI57" s="72"/>
      <c r="GJ57" s="72"/>
      <c r="GK57" s="72"/>
      <c r="GL57" s="72"/>
      <c r="GM57" s="72"/>
      <c r="GN57" s="72"/>
      <c r="GO57" s="72"/>
      <c r="GP57" s="72"/>
      <c r="GQ57" s="72"/>
      <c r="GR57" s="72"/>
      <c r="GS57" s="72"/>
      <c r="GT57" s="72"/>
      <c r="GU57" s="72"/>
      <c r="GV57" s="72"/>
      <c r="GW57" s="72"/>
      <c r="GX57" s="72"/>
      <c r="HU57" s="124"/>
      <c r="HV57" s="83" t="s">
        <v>72</v>
      </c>
      <c r="IS57" s="64" t="s">
        <v>72</v>
      </c>
    </row>
    <row r="58" spans="1:298" x14ac:dyDescent="0.25">
      <c r="A58" s="8"/>
      <c r="B58" s="5" t="s">
        <v>61</v>
      </c>
      <c r="C58" s="8"/>
      <c r="D58" s="6" t="s">
        <v>478</v>
      </c>
      <c r="E58" s="8">
        <v>1</v>
      </c>
      <c r="F58" s="43" t="s">
        <v>480</v>
      </c>
      <c r="G58" s="16"/>
      <c r="H58" s="9"/>
      <c r="I58" s="9"/>
      <c r="J58" s="9"/>
      <c r="K58" s="9"/>
      <c r="L58" s="6" t="s">
        <v>10</v>
      </c>
      <c r="M58" s="11">
        <f>INDEX(cenník!$C$2:$I$568,MATCH($L58,cenník!$B$2:$B$557,0),MATCH(M$2,cenník!$C$1:$I$1,0))</f>
        <v>851541</v>
      </c>
      <c r="N58" s="11" t="str">
        <f>INDEX(cenník!$C$2:$I$568,MATCH($L58,cenník!$B$2:$B$557,0),MATCH(N$2,cenník!$C$1:$I$1,0))</f>
        <v>ks</v>
      </c>
      <c r="O58" s="11">
        <f>SUM(Z41:Z56)</f>
        <v>0</v>
      </c>
      <c r="P58" s="36">
        <f>INDEX(cenník!$C$2:$I$568,MATCH($L58,cenník!$B$2:$B$557,0),MATCH(P$2,cenník!$C$1:$I$1,0))</f>
        <v>1.82</v>
      </c>
      <c r="Q58" s="36">
        <f t="shared" si="92"/>
        <v>0</v>
      </c>
      <c r="R58" s="37">
        <f t="shared" si="90"/>
        <v>0</v>
      </c>
      <c r="S58" s="36">
        <f t="shared" si="91"/>
        <v>1.82</v>
      </c>
      <c r="T58" s="36">
        <f t="shared" si="93"/>
        <v>0</v>
      </c>
      <c r="U58" s="36">
        <f>INDEX(cenník!$C$2:$I$568,MATCH($L58,cenník!$B$2:$B$557,0),MATCH(U$2,cenník!$C$1:$I$1,0))*O58</f>
        <v>0</v>
      </c>
      <c r="V58" s="72"/>
      <c r="W58" s="72"/>
      <c r="X58" s="72"/>
      <c r="Y58" s="72"/>
      <c r="Z58" s="72"/>
      <c r="AA58" s="72"/>
      <c r="AB58" s="72"/>
      <c r="AC58" s="72"/>
      <c r="AD58" s="72"/>
      <c r="AE58" s="72"/>
      <c r="AF58" s="72"/>
      <c r="AG58" s="72"/>
      <c r="AH58" s="72"/>
      <c r="AI58" s="72"/>
      <c r="AJ58" s="72"/>
      <c r="AK58" s="72"/>
      <c r="AL58" s="72"/>
      <c r="AM58" s="72">
        <v>0</v>
      </c>
      <c r="AN58" s="72">
        <v>1</v>
      </c>
      <c r="AO58" s="72">
        <v>2</v>
      </c>
      <c r="AP58" s="72">
        <v>3</v>
      </c>
      <c r="AQ58" s="72">
        <v>4</v>
      </c>
      <c r="AR58" s="72">
        <v>5</v>
      </c>
      <c r="AS58" s="72">
        <v>6</v>
      </c>
      <c r="AT58" s="72">
        <v>7</v>
      </c>
      <c r="AU58" s="72">
        <v>8</v>
      </c>
      <c r="AV58" s="72">
        <v>9</v>
      </c>
      <c r="AW58" s="72">
        <v>10</v>
      </c>
      <c r="AX58" s="72">
        <v>11</v>
      </c>
      <c r="AY58" s="72">
        <v>12</v>
      </c>
      <c r="AZ58" s="72">
        <v>13</v>
      </c>
      <c r="BA58" s="72">
        <v>14</v>
      </c>
      <c r="BB58" s="72">
        <v>15</v>
      </c>
      <c r="BC58" s="72">
        <v>16</v>
      </c>
      <c r="BD58" s="72">
        <v>17</v>
      </c>
      <c r="BE58" s="72">
        <v>18</v>
      </c>
      <c r="BF58" s="72">
        <v>19</v>
      </c>
      <c r="BG58" s="72">
        <v>20</v>
      </c>
      <c r="BH58" s="72">
        <v>21</v>
      </c>
      <c r="BI58" s="72">
        <v>22</v>
      </c>
      <c r="BJ58" s="72">
        <v>23</v>
      </c>
      <c r="BK58" s="72">
        <v>24</v>
      </c>
      <c r="BL58" s="72">
        <v>25</v>
      </c>
      <c r="BM58" s="72">
        <v>26</v>
      </c>
      <c r="BN58" s="72">
        <v>27</v>
      </c>
      <c r="BO58" s="72">
        <v>28</v>
      </c>
      <c r="BP58" s="72">
        <v>29</v>
      </c>
      <c r="BQ58" s="72">
        <v>30</v>
      </c>
      <c r="BR58" s="72">
        <v>31</v>
      </c>
      <c r="BS58" s="72">
        <v>32</v>
      </c>
      <c r="BT58" s="72">
        <v>33</v>
      </c>
      <c r="BU58" s="72">
        <v>34</v>
      </c>
      <c r="BV58" s="72">
        <v>35</v>
      </c>
      <c r="BW58" s="72">
        <v>36</v>
      </c>
      <c r="BX58" s="72">
        <v>37</v>
      </c>
      <c r="BY58" s="72">
        <v>38</v>
      </c>
      <c r="BZ58" s="72">
        <v>39</v>
      </c>
      <c r="CA58" s="72">
        <v>40</v>
      </c>
      <c r="CB58" s="72">
        <v>41</v>
      </c>
      <c r="CC58" s="72">
        <v>42</v>
      </c>
      <c r="CD58" s="72">
        <v>43</v>
      </c>
      <c r="CE58" s="72">
        <v>44</v>
      </c>
      <c r="CF58" s="72">
        <v>45</v>
      </c>
      <c r="CG58" s="72">
        <v>46</v>
      </c>
      <c r="CH58" s="72">
        <v>47</v>
      </c>
      <c r="CI58" s="72">
        <v>48</v>
      </c>
      <c r="CJ58" s="72">
        <v>49</v>
      </c>
      <c r="CK58" s="72">
        <v>50</v>
      </c>
      <c r="CL58" s="72"/>
      <c r="CM58" s="72" t="s">
        <v>101</v>
      </c>
      <c r="CN58" s="72">
        <v>0</v>
      </c>
      <c r="CO58" s="72">
        <v>0</v>
      </c>
      <c r="CP58" s="72">
        <v>0</v>
      </c>
      <c r="CQ58" s="72">
        <v>2</v>
      </c>
      <c r="CR58" s="72">
        <v>0</v>
      </c>
      <c r="CS58" s="72">
        <v>2</v>
      </c>
      <c r="CT58" s="72">
        <v>4</v>
      </c>
      <c r="CU58" s="72">
        <v>2</v>
      </c>
      <c r="CV58" s="72">
        <v>4</v>
      </c>
      <c r="CW58" s="72">
        <v>6</v>
      </c>
      <c r="CX58" s="72">
        <v>4</v>
      </c>
      <c r="CY58" s="72">
        <v>6</v>
      </c>
      <c r="CZ58" s="72">
        <v>8</v>
      </c>
      <c r="DA58" s="72">
        <v>8</v>
      </c>
      <c r="DB58" s="72">
        <v>8</v>
      </c>
      <c r="DC58" s="72">
        <v>8</v>
      </c>
      <c r="DD58" s="72">
        <v>10</v>
      </c>
      <c r="DE58" s="72">
        <v>8</v>
      </c>
      <c r="DF58" s="72">
        <v>10</v>
      </c>
      <c r="DG58" s="72">
        <v>12</v>
      </c>
      <c r="DH58" s="72">
        <v>10</v>
      </c>
      <c r="DI58" s="72"/>
      <c r="DJ58" s="72"/>
      <c r="DK58" s="72"/>
      <c r="DL58" s="72"/>
      <c r="DM58" s="72"/>
      <c r="DN58" s="72"/>
      <c r="DO58" s="72"/>
      <c r="DP58" s="72"/>
      <c r="DQ58" s="72"/>
      <c r="DR58" s="72"/>
      <c r="DS58" s="72"/>
      <c r="DT58" s="72"/>
      <c r="DU58" s="72"/>
      <c r="DV58" s="72"/>
      <c r="DW58" s="72"/>
      <c r="DX58" s="72"/>
      <c r="DY58" s="72"/>
      <c r="DZ58" s="81"/>
      <c r="EA58" s="81"/>
      <c r="EB58" s="81"/>
      <c r="EC58" s="72"/>
      <c r="ED58" s="72"/>
      <c r="EE58" s="72"/>
      <c r="EF58" s="72"/>
      <c r="EG58" s="72"/>
      <c r="EH58" s="72"/>
      <c r="EI58" s="72"/>
      <c r="EJ58" s="72"/>
      <c r="EK58" s="72"/>
      <c r="EL58" s="72"/>
      <c r="EM58" s="72"/>
      <c r="EN58" s="72"/>
      <c r="EO58" s="72"/>
      <c r="EP58" s="72"/>
      <c r="EQ58" s="72"/>
      <c r="ER58" s="72"/>
      <c r="ES58" s="72"/>
      <c r="ET58" s="72"/>
      <c r="EU58" s="72"/>
      <c r="EV58" s="72" t="s">
        <v>114</v>
      </c>
      <c r="EW58" s="72">
        <v>0</v>
      </c>
      <c r="EX58" s="72">
        <v>0</v>
      </c>
      <c r="EY58" s="72">
        <v>0</v>
      </c>
      <c r="EZ58" s="72">
        <v>0</v>
      </c>
      <c r="FA58" s="72">
        <v>0</v>
      </c>
      <c r="FB58" s="72">
        <v>0</v>
      </c>
      <c r="FC58" s="72">
        <v>0</v>
      </c>
      <c r="FD58" s="72">
        <v>0</v>
      </c>
      <c r="FE58" s="72">
        <v>0</v>
      </c>
      <c r="FF58" s="72">
        <v>0</v>
      </c>
      <c r="FG58" s="72">
        <v>0</v>
      </c>
      <c r="FH58" s="72"/>
      <c r="FI58" s="72" t="s">
        <v>100</v>
      </c>
      <c r="FJ58" s="72">
        <v>0</v>
      </c>
      <c r="FK58" s="72">
        <v>2</v>
      </c>
      <c r="FL58" s="72">
        <v>0</v>
      </c>
      <c r="FM58" s="72">
        <v>2</v>
      </c>
      <c r="FN58" s="72">
        <v>0</v>
      </c>
      <c r="FO58" s="72">
        <v>0</v>
      </c>
      <c r="FP58" s="72">
        <v>0</v>
      </c>
      <c r="FQ58" s="72">
        <v>0</v>
      </c>
      <c r="FR58" s="72">
        <v>0</v>
      </c>
      <c r="FS58" s="72">
        <v>0</v>
      </c>
      <c r="FT58" s="72">
        <v>0</v>
      </c>
      <c r="FU58" s="72"/>
      <c r="FV58" s="72" t="s">
        <v>100</v>
      </c>
      <c r="FW58" s="72">
        <v>0</v>
      </c>
      <c r="FX58" s="72">
        <v>0</v>
      </c>
      <c r="FY58" s="72">
        <v>0</v>
      </c>
      <c r="FZ58" s="72">
        <v>0</v>
      </c>
      <c r="GA58" s="72">
        <v>0</v>
      </c>
      <c r="GB58" s="72">
        <v>0</v>
      </c>
      <c r="GC58" s="72">
        <v>0</v>
      </c>
      <c r="GD58" s="72">
        <v>0</v>
      </c>
      <c r="GE58" s="72">
        <v>0</v>
      </c>
      <c r="GF58" s="72">
        <v>0</v>
      </c>
      <c r="GG58" s="72">
        <v>0</v>
      </c>
      <c r="GH58" s="72"/>
      <c r="GI58" s="72"/>
      <c r="GJ58" s="72"/>
      <c r="GK58" s="72"/>
      <c r="GL58" s="72"/>
      <c r="GM58" s="72"/>
      <c r="GN58" s="72"/>
      <c r="GO58" s="72"/>
      <c r="GP58" s="72"/>
      <c r="GQ58" s="72"/>
      <c r="GR58" s="72"/>
      <c r="GS58" s="72"/>
      <c r="GT58" s="72"/>
      <c r="GU58" s="72"/>
      <c r="GV58" s="72"/>
      <c r="GW58" s="72"/>
      <c r="GX58" s="72"/>
      <c r="HW58" s="64">
        <v>0</v>
      </c>
      <c r="HX58" s="64">
        <v>1</v>
      </c>
      <c r="HY58" s="64">
        <v>2</v>
      </c>
      <c r="HZ58" s="64">
        <v>3</v>
      </c>
      <c r="IA58" s="64">
        <v>4</v>
      </c>
      <c r="IB58" s="64">
        <v>5</v>
      </c>
      <c r="IC58" s="64">
        <v>6</v>
      </c>
      <c r="ID58" s="64">
        <v>7</v>
      </c>
      <c r="IE58" s="64">
        <v>8</v>
      </c>
      <c r="IF58" s="64">
        <v>9</v>
      </c>
      <c r="IG58" s="64">
        <v>10</v>
      </c>
      <c r="IH58" s="64">
        <v>11</v>
      </c>
      <c r="II58" s="64">
        <v>12</v>
      </c>
      <c r="IJ58" s="64">
        <v>13</v>
      </c>
      <c r="IK58" s="64">
        <v>14</v>
      </c>
      <c r="IL58" s="64">
        <v>15</v>
      </c>
      <c r="IM58" s="64">
        <v>16</v>
      </c>
      <c r="IN58" s="64">
        <v>17</v>
      </c>
      <c r="IO58" s="64">
        <v>18</v>
      </c>
      <c r="IP58" s="64">
        <v>19</v>
      </c>
      <c r="IQ58" s="64">
        <v>20</v>
      </c>
      <c r="IT58" s="64">
        <f t="shared" si="42"/>
        <v>0</v>
      </c>
      <c r="IU58" s="64">
        <f t="shared" si="43"/>
        <v>2</v>
      </c>
      <c r="IV58" s="64">
        <f t="shared" si="44"/>
        <v>4</v>
      </c>
      <c r="IW58" s="64">
        <f t="shared" si="45"/>
        <v>6</v>
      </c>
      <c r="IX58" s="64">
        <f t="shared" si="46"/>
        <v>8</v>
      </c>
      <c r="IY58" s="64">
        <f t="shared" si="47"/>
        <v>10</v>
      </c>
      <c r="IZ58" s="64">
        <f t="shared" si="48"/>
        <v>12</v>
      </c>
      <c r="JA58" s="64">
        <f t="shared" si="49"/>
        <v>14</v>
      </c>
      <c r="JB58" s="64">
        <f t="shared" si="50"/>
        <v>16</v>
      </c>
      <c r="JC58" s="64">
        <f t="shared" si="51"/>
        <v>18</v>
      </c>
      <c r="JD58" s="64">
        <f t="shared" si="52"/>
        <v>20</v>
      </c>
      <c r="JE58" s="64">
        <f t="shared" si="53"/>
        <v>22</v>
      </c>
      <c r="JF58" s="64">
        <f t="shared" si="54"/>
        <v>24</v>
      </c>
      <c r="JG58" s="64">
        <f t="shared" si="55"/>
        <v>26</v>
      </c>
      <c r="JH58" s="64">
        <f t="shared" si="56"/>
        <v>28</v>
      </c>
      <c r="JI58" s="64">
        <f t="shared" si="57"/>
        <v>30</v>
      </c>
      <c r="JJ58" s="64">
        <f t="shared" si="58"/>
        <v>32</v>
      </c>
      <c r="JK58" s="64">
        <f t="shared" si="59"/>
        <v>34</v>
      </c>
      <c r="JL58" s="64">
        <f t="shared" si="60"/>
        <v>36</v>
      </c>
      <c r="JM58" s="64">
        <f t="shared" si="61"/>
        <v>38</v>
      </c>
      <c r="JN58" s="64">
        <f t="shared" si="62"/>
        <v>40</v>
      </c>
    </row>
    <row r="59" spans="1:298" x14ac:dyDescent="0.25">
      <c r="A59" s="8"/>
      <c r="B59" s="5" t="s">
        <v>61</v>
      </c>
      <c r="C59" s="8"/>
      <c r="D59" s="6" t="s">
        <v>479</v>
      </c>
      <c r="E59" s="8">
        <v>1</v>
      </c>
      <c r="F59" s="43" t="s">
        <v>481</v>
      </c>
      <c r="G59" s="9"/>
      <c r="H59" s="9"/>
      <c r="I59" s="9"/>
      <c r="J59" s="9"/>
      <c r="K59" s="9"/>
      <c r="L59" s="6" t="str">
        <f>IF(E53=W60,"CC50H35/0,85MC",IF(E53=X60,"CC50H35/1MC",IF(E53=Y60,"CC50H35/1,15MC",0)))</f>
        <v>CC50H35/0,85MC</v>
      </c>
      <c r="M59" s="11">
        <f>INDEX(cenník!$C$2:$I$568,MATCH($L59,cenník!$B$2:$B$557,0),MATCH(M$2,cenník!$C$1:$I$1,0))</f>
        <v>895385</v>
      </c>
      <c r="N59" s="11" t="str">
        <f>INDEX(cenník!$C$2:$I$568,MATCH($L59,cenník!$B$2:$B$557,0),MATCH(N$2,cenník!$C$1:$I$1,0))</f>
        <v>ks</v>
      </c>
      <c r="O59" s="11">
        <f>SUM(W41:W56)</f>
        <v>0</v>
      </c>
      <c r="P59" s="36">
        <f>INDEX(cenník!$C$2:$I$568,MATCH($L59,cenník!$B$2:$B$557,0),MATCH(P$2,cenník!$C$1:$I$1,0))</f>
        <v>8.01</v>
      </c>
      <c r="Q59" s="36">
        <f t="shared" si="92"/>
        <v>0</v>
      </c>
      <c r="R59" s="37">
        <f t="shared" si="90"/>
        <v>0</v>
      </c>
      <c r="S59" s="36">
        <f t="shared" si="91"/>
        <v>8.01</v>
      </c>
      <c r="T59" s="36">
        <f t="shared" si="93"/>
        <v>0</v>
      </c>
      <c r="U59" s="36">
        <f>INDEX(cenník!$C$2:$I$568,MATCH($L59,cenník!$B$2:$B$557,0),MATCH(U$2,cenník!$C$1:$I$1,0))*O59</f>
        <v>0</v>
      </c>
      <c r="V59" s="72"/>
      <c r="W59" s="72"/>
      <c r="X59" s="72"/>
      <c r="Y59" s="72"/>
      <c r="Z59" s="72"/>
      <c r="AA59" s="72"/>
      <c r="AB59" s="72"/>
      <c r="AC59" s="72"/>
      <c r="AD59" s="72"/>
      <c r="AE59" s="72"/>
      <c r="AF59" s="72"/>
      <c r="AG59" s="72"/>
      <c r="AH59" s="72"/>
      <c r="AI59" s="72"/>
      <c r="AJ59" s="72"/>
      <c r="AK59" s="72"/>
      <c r="AL59" s="72" t="s">
        <v>63</v>
      </c>
      <c r="AM59" s="72">
        <v>0</v>
      </c>
      <c r="AN59" s="72">
        <v>0</v>
      </c>
      <c r="AO59" s="72">
        <v>0</v>
      </c>
      <c r="AP59" s="72">
        <v>0</v>
      </c>
      <c r="AQ59" s="72">
        <v>0</v>
      </c>
      <c r="AR59" s="72">
        <v>0</v>
      </c>
      <c r="AS59" s="72">
        <v>0</v>
      </c>
      <c r="AT59" s="72">
        <v>0</v>
      </c>
      <c r="AU59" s="72">
        <v>0</v>
      </c>
      <c r="AV59" s="72">
        <v>0</v>
      </c>
      <c r="AW59" s="72">
        <v>0</v>
      </c>
      <c r="AX59" s="72">
        <v>0</v>
      </c>
      <c r="AY59" s="72">
        <v>0</v>
      </c>
      <c r="AZ59" s="72">
        <v>0</v>
      </c>
      <c r="BA59" s="72">
        <v>0</v>
      </c>
      <c r="BB59" s="72">
        <v>0</v>
      </c>
      <c r="BC59" s="72">
        <v>0</v>
      </c>
      <c r="BD59" s="72">
        <v>0</v>
      </c>
      <c r="BE59" s="72">
        <v>0</v>
      </c>
      <c r="BF59" s="72">
        <v>0</v>
      </c>
      <c r="BG59" s="72">
        <v>0</v>
      </c>
      <c r="BH59" s="72">
        <v>0</v>
      </c>
      <c r="BI59" s="72">
        <v>0</v>
      </c>
      <c r="BJ59" s="72">
        <v>0</v>
      </c>
      <c r="BK59" s="72">
        <v>0</v>
      </c>
      <c r="BL59" s="72">
        <v>0</v>
      </c>
      <c r="BM59" s="72">
        <v>0</v>
      </c>
      <c r="BN59" s="72">
        <v>0</v>
      </c>
      <c r="BO59" s="72">
        <v>0</v>
      </c>
      <c r="BP59" s="72">
        <v>0</v>
      </c>
      <c r="BQ59" s="72">
        <v>0</v>
      </c>
      <c r="BR59" s="72">
        <v>0</v>
      </c>
      <c r="BS59" s="72">
        <v>0</v>
      </c>
      <c r="BT59" s="72">
        <v>0</v>
      </c>
      <c r="BU59" s="72">
        <v>0</v>
      </c>
      <c r="BV59" s="72">
        <v>0</v>
      </c>
      <c r="BW59" s="72">
        <v>0</v>
      </c>
      <c r="BX59" s="72">
        <v>0</v>
      </c>
      <c r="BY59" s="72">
        <v>0</v>
      </c>
      <c r="BZ59" s="72">
        <v>0</v>
      </c>
      <c r="CA59" s="72">
        <v>0</v>
      </c>
      <c r="CB59" s="72">
        <v>0</v>
      </c>
      <c r="CC59" s="72">
        <v>0</v>
      </c>
      <c r="CD59" s="72">
        <v>0</v>
      </c>
      <c r="CE59" s="72">
        <v>0</v>
      </c>
      <c r="CF59" s="72">
        <v>0</v>
      </c>
      <c r="CG59" s="72">
        <v>0</v>
      </c>
      <c r="CH59" s="72">
        <v>0</v>
      </c>
      <c r="CI59" s="72">
        <v>0</v>
      </c>
      <c r="CJ59" s="72">
        <v>0</v>
      </c>
      <c r="CK59" s="72">
        <v>0</v>
      </c>
      <c r="CL59" s="72"/>
      <c r="CM59" s="72" t="s">
        <v>10</v>
      </c>
      <c r="CN59" s="72">
        <v>0</v>
      </c>
      <c r="CO59" s="72">
        <v>0</v>
      </c>
      <c r="CP59" s="72">
        <v>0</v>
      </c>
      <c r="CQ59" s="72">
        <v>0</v>
      </c>
      <c r="CR59" s="72">
        <v>2</v>
      </c>
      <c r="CS59" s="72">
        <v>2</v>
      </c>
      <c r="CT59" s="72">
        <v>2</v>
      </c>
      <c r="CU59" s="72">
        <v>4</v>
      </c>
      <c r="CV59" s="72">
        <v>4</v>
      </c>
      <c r="CW59" s="72">
        <v>4</v>
      </c>
      <c r="CX59" s="72">
        <v>6</v>
      </c>
      <c r="CY59" s="72">
        <v>6</v>
      </c>
      <c r="CZ59" s="72">
        <v>6</v>
      </c>
      <c r="DA59" s="72">
        <v>6</v>
      </c>
      <c r="DB59" s="72">
        <v>8</v>
      </c>
      <c r="DC59" s="72">
        <v>8</v>
      </c>
      <c r="DD59" s="72">
        <v>8</v>
      </c>
      <c r="DE59" s="72">
        <v>10</v>
      </c>
      <c r="DF59" s="72">
        <v>10</v>
      </c>
      <c r="DG59" s="72">
        <v>10</v>
      </c>
      <c r="DH59" s="72">
        <v>12</v>
      </c>
      <c r="DI59" s="72"/>
      <c r="DJ59" s="72"/>
      <c r="DK59" s="72"/>
      <c r="DL59" s="72"/>
      <c r="DM59" s="72"/>
      <c r="DN59" s="72"/>
      <c r="DO59" s="72"/>
      <c r="DP59" s="72"/>
      <c r="DQ59" s="72"/>
      <c r="DR59" s="72"/>
      <c r="DS59" s="72"/>
      <c r="DT59" s="72"/>
      <c r="DU59" s="72"/>
      <c r="DV59" s="72"/>
      <c r="DW59" s="72"/>
      <c r="DX59" s="72"/>
      <c r="DY59" s="72"/>
      <c r="DZ59" s="81"/>
      <c r="EA59" s="81"/>
      <c r="EB59" s="81"/>
      <c r="EC59" s="72"/>
      <c r="ED59" s="72"/>
      <c r="EE59" s="72"/>
      <c r="EF59" s="72"/>
      <c r="EG59" s="72"/>
      <c r="EH59" s="72"/>
      <c r="EI59" s="72"/>
      <c r="EJ59" s="72"/>
      <c r="EK59" s="72"/>
      <c r="EL59" s="72"/>
      <c r="EM59" s="72"/>
      <c r="EN59" s="72"/>
      <c r="EO59" s="72"/>
      <c r="EP59" s="72"/>
      <c r="EQ59" s="72"/>
      <c r="ER59" s="72"/>
      <c r="ES59" s="72"/>
      <c r="ET59" s="72"/>
      <c r="EU59" s="72"/>
      <c r="EV59" s="72" t="s">
        <v>9</v>
      </c>
      <c r="EW59" s="72">
        <v>0</v>
      </c>
      <c r="EX59" s="72">
        <v>0</v>
      </c>
      <c r="EY59" s="72">
        <v>0</v>
      </c>
      <c r="EZ59" s="72">
        <v>0</v>
      </c>
      <c r="FA59" s="72">
        <v>0</v>
      </c>
      <c r="FB59" s="72">
        <v>2</v>
      </c>
      <c r="FC59" s="72">
        <v>2</v>
      </c>
      <c r="FD59" s="72">
        <v>0</v>
      </c>
      <c r="FE59" s="72">
        <v>2</v>
      </c>
      <c r="FF59" s="72">
        <v>0</v>
      </c>
      <c r="FG59" s="72">
        <v>4</v>
      </c>
      <c r="FH59" s="72"/>
      <c r="FI59" s="72" t="s">
        <v>114</v>
      </c>
      <c r="FJ59" s="72">
        <v>0</v>
      </c>
      <c r="FK59" s="72">
        <v>0</v>
      </c>
      <c r="FL59" s="72">
        <v>0</v>
      </c>
      <c r="FM59" s="72">
        <v>0</v>
      </c>
      <c r="FN59" s="72">
        <v>0</v>
      </c>
      <c r="FO59" s="72">
        <v>0</v>
      </c>
      <c r="FP59" s="72">
        <v>0</v>
      </c>
      <c r="FQ59" s="72">
        <v>0</v>
      </c>
      <c r="FR59" s="72">
        <v>0</v>
      </c>
      <c r="FS59" s="72">
        <v>0</v>
      </c>
      <c r="FT59" s="72">
        <v>0</v>
      </c>
      <c r="FU59" s="72"/>
      <c r="FV59" s="72" t="s">
        <v>114</v>
      </c>
      <c r="FW59" s="72">
        <v>0</v>
      </c>
      <c r="FX59" s="72">
        <v>2</v>
      </c>
      <c r="FY59" s="72">
        <v>0</v>
      </c>
      <c r="FZ59" s="72">
        <v>0</v>
      </c>
      <c r="GA59" s="72">
        <v>0</v>
      </c>
      <c r="GB59" s="72">
        <v>0</v>
      </c>
      <c r="GC59" s="72">
        <v>0</v>
      </c>
      <c r="GD59" s="72">
        <v>0</v>
      </c>
      <c r="GE59" s="72">
        <v>0</v>
      </c>
      <c r="GF59" s="72">
        <v>0</v>
      </c>
      <c r="GG59" s="72">
        <v>0</v>
      </c>
      <c r="GH59" s="72"/>
      <c r="GI59" s="72"/>
      <c r="GJ59" s="72"/>
      <c r="GK59" s="72"/>
      <c r="GL59" s="72"/>
      <c r="GM59" s="72"/>
      <c r="GN59" s="72"/>
      <c r="GO59" s="72"/>
      <c r="GP59" s="72"/>
      <c r="GQ59" s="72"/>
      <c r="GR59" s="72"/>
      <c r="GS59" s="72"/>
      <c r="GT59" s="72"/>
      <c r="GU59" s="72"/>
      <c r="GV59" s="72"/>
      <c r="GW59" s="72"/>
      <c r="GX59" s="72" t="s">
        <v>92</v>
      </c>
      <c r="GY59" s="72"/>
      <c r="GZ59" s="72"/>
      <c r="HA59" s="72"/>
      <c r="HB59" s="72"/>
      <c r="HC59" s="72"/>
      <c r="HV59" s="64" t="s">
        <v>380</v>
      </c>
      <c r="HW59" s="64">
        <v>0</v>
      </c>
      <c r="HX59" s="64">
        <v>2</v>
      </c>
      <c r="HY59" s="64">
        <v>2</v>
      </c>
      <c r="HZ59" s="64">
        <v>0</v>
      </c>
      <c r="IA59" s="64">
        <v>2</v>
      </c>
      <c r="IB59" s="64">
        <v>4</v>
      </c>
      <c r="IC59" s="64">
        <v>0</v>
      </c>
      <c r="ID59" s="64">
        <v>2</v>
      </c>
      <c r="IE59" s="64">
        <v>0</v>
      </c>
      <c r="IF59" s="64">
        <v>2</v>
      </c>
      <c r="IG59" s="64">
        <v>4</v>
      </c>
      <c r="IH59" s="64">
        <v>0</v>
      </c>
      <c r="II59" s="64">
        <v>2</v>
      </c>
      <c r="IJ59" s="64">
        <v>4</v>
      </c>
      <c r="IK59" s="64">
        <v>0</v>
      </c>
      <c r="IL59" s="64">
        <v>2</v>
      </c>
      <c r="IM59" s="64">
        <v>4</v>
      </c>
      <c r="IN59" s="64">
        <v>0</v>
      </c>
      <c r="IO59" s="64">
        <v>2</v>
      </c>
      <c r="IP59" s="64">
        <v>4</v>
      </c>
      <c r="IQ59" s="64">
        <v>0</v>
      </c>
      <c r="IS59" s="64" t="s">
        <v>380</v>
      </c>
      <c r="IT59" s="64">
        <f t="shared" si="42"/>
        <v>0</v>
      </c>
      <c r="IU59" s="64">
        <f t="shared" si="43"/>
        <v>4</v>
      </c>
      <c r="IV59" s="64">
        <f t="shared" si="44"/>
        <v>4</v>
      </c>
      <c r="IW59" s="64">
        <f t="shared" si="45"/>
        <v>0</v>
      </c>
      <c r="IX59" s="64">
        <f t="shared" si="46"/>
        <v>4</v>
      </c>
      <c r="IY59" s="64">
        <f t="shared" si="47"/>
        <v>8</v>
      </c>
      <c r="IZ59" s="64">
        <f t="shared" si="48"/>
        <v>0</v>
      </c>
      <c r="JA59" s="64">
        <f t="shared" si="49"/>
        <v>4</v>
      </c>
      <c r="JB59" s="64">
        <f t="shared" si="50"/>
        <v>0</v>
      </c>
      <c r="JC59" s="64">
        <f t="shared" si="51"/>
        <v>4</v>
      </c>
      <c r="JD59" s="64">
        <f t="shared" si="52"/>
        <v>8</v>
      </c>
      <c r="JE59" s="64">
        <f t="shared" si="53"/>
        <v>0</v>
      </c>
      <c r="JF59" s="64">
        <f t="shared" si="54"/>
        <v>4</v>
      </c>
      <c r="JG59" s="64">
        <f t="shared" si="55"/>
        <v>8</v>
      </c>
      <c r="JH59" s="64">
        <f t="shared" si="56"/>
        <v>0</v>
      </c>
      <c r="JI59" s="64">
        <f t="shared" si="57"/>
        <v>4</v>
      </c>
      <c r="JJ59" s="64">
        <f t="shared" si="58"/>
        <v>8</v>
      </c>
      <c r="JK59" s="64">
        <f t="shared" si="59"/>
        <v>0</v>
      </c>
      <c r="JL59" s="64">
        <f t="shared" si="60"/>
        <v>4</v>
      </c>
      <c r="JM59" s="64">
        <f t="shared" si="61"/>
        <v>8</v>
      </c>
      <c r="JN59" s="64">
        <f t="shared" si="62"/>
        <v>0</v>
      </c>
    </row>
    <row r="60" spans="1:298" x14ac:dyDescent="0.25">
      <c r="A60" s="8"/>
      <c r="B60" s="5" t="s">
        <v>61</v>
      </c>
      <c r="C60" s="8"/>
      <c r="D60" s="44" t="s">
        <v>573</v>
      </c>
      <c r="E60" s="34"/>
      <c r="F60" s="33"/>
      <c r="G60" s="33"/>
      <c r="H60" s="9"/>
      <c r="I60" s="9"/>
      <c r="J60" s="9"/>
      <c r="K60" s="9"/>
      <c r="L60" s="6" t="s">
        <v>96</v>
      </c>
      <c r="M60" s="11">
        <f>INDEX(cenník!$C$2:$I$568,MATCH($L60,cenník!$B$2:$B$557,0),MATCH(M$2,cenník!$C$1:$I$1,0))</f>
        <v>895375</v>
      </c>
      <c r="N60" s="11" t="str">
        <f>INDEX(cenník!$C$2:$I$568,MATCH($L60,cenník!$B$2:$B$557,0),MATCH(N$2,cenník!$C$1:$I$1,0))</f>
        <v>ks</v>
      </c>
      <c r="O60" s="10">
        <f>O59+SUM(X41:X56)</f>
        <v>0</v>
      </c>
      <c r="P60" s="36">
        <f>INDEX(cenník!$C$2:$I$568,MATCH($L60,cenník!$B$2:$B$557,0),MATCH(P$2,cenník!$C$1:$I$1,0))</f>
        <v>15.24</v>
      </c>
      <c r="Q60" s="36">
        <f t="shared" si="92"/>
        <v>0</v>
      </c>
      <c r="R60" s="37">
        <f t="shared" si="90"/>
        <v>0</v>
      </c>
      <c r="S60" s="36">
        <f t="shared" si="91"/>
        <v>15.24</v>
      </c>
      <c r="T60" s="36">
        <f t="shared" si="93"/>
        <v>0</v>
      </c>
      <c r="U60" s="36">
        <f>INDEX(cenník!$C$2:$I$568,MATCH($L60,cenník!$B$2:$B$557,0),MATCH(U$2,cenník!$C$1:$I$1,0))*O60</f>
        <v>0</v>
      </c>
      <c r="V60" s="72"/>
      <c r="W60" s="72">
        <v>25</v>
      </c>
      <c r="X60" s="72">
        <v>30</v>
      </c>
      <c r="Y60" s="72">
        <v>35</v>
      </c>
      <c r="Z60" s="72"/>
      <c r="AA60" s="72"/>
      <c r="AB60" s="72"/>
      <c r="AC60" s="72"/>
      <c r="AD60" s="72"/>
      <c r="AE60" s="72"/>
      <c r="AF60" s="72"/>
      <c r="AG60" s="72"/>
      <c r="AH60" s="72"/>
      <c r="AI60" s="72"/>
      <c r="AJ60" s="72"/>
      <c r="AK60" s="72"/>
      <c r="AL60" s="72" t="s">
        <v>11</v>
      </c>
      <c r="AM60" s="72">
        <v>0</v>
      </c>
      <c r="AN60" s="72">
        <v>2</v>
      </c>
      <c r="AO60" s="72">
        <v>4</v>
      </c>
      <c r="AP60" s="72">
        <v>2</v>
      </c>
      <c r="AQ60" s="72">
        <v>4</v>
      </c>
      <c r="AR60" s="72">
        <v>0</v>
      </c>
      <c r="AS60" s="72">
        <v>2</v>
      </c>
      <c r="AT60" s="72">
        <v>0</v>
      </c>
      <c r="AU60" s="72">
        <v>0</v>
      </c>
      <c r="AV60" s="72">
        <v>0</v>
      </c>
      <c r="AW60" s="72">
        <v>2</v>
      </c>
      <c r="AX60" s="72">
        <v>0</v>
      </c>
      <c r="AY60" s="72">
        <v>2</v>
      </c>
      <c r="AZ60" s="72">
        <v>0</v>
      </c>
      <c r="BA60" s="72">
        <v>2</v>
      </c>
      <c r="BB60" s="72">
        <v>4</v>
      </c>
      <c r="BC60" s="72">
        <v>0</v>
      </c>
      <c r="BD60" s="72">
        <v>4</v>
      </c>
      <c r="BE60" s="72">
        <v>0</v>
      </c>
      <c r="BF60" s="72">
        <v>0</v>
      </c>
      <c r="BG60" s="72">
        <v>0</v>
      </c>
      <c r="BH60" s="72">
        <v>0</v>
      </c>
      <c r="BI60" s="72">
        <v>0</v>
      </c>
      <c r="BJ60" s="72">
        <v>0</v>
      </c>
      <c r="BK60" s="72">
        <v>0</v>
      </c>
      <c r="BL60" s="72">
        <v>0</v>
      </c>
      <c r="BM60" s="72">
        <v>0</v>
      </c>
      <c r="BN60" s="72">
        <v>0</v>
      </c>
      <c r="BO60" s="72">
        <v>2</v>
      </c>
      <c r="BP60" s="72">
        <v>0</v>
      </c>
      <c r="BQ60" s="72">
        <v>0</v>
      </c>
      <c r="BR60" s="72">
        <v>0</v>
      </c>
      <c r="BS60" s="72">
        <v>4</v>
      </c>
      <c r="BT60" s="72">
        <v>0</v>
      </c>
      <c r="BU60" s="72">
        <v>0</v>
      </c>
      <c r="BV60" s="72">
        <v>0</v>
      </c>
      <c r="BW60" s="72">
        <v>0</v>
      </c>
      <c r="BX60" s="72">
        <v>0</v>
      </c>
      <c r="BY60" s="72">
        <v>0</v>
      </c>
      <c r="BZ60" s="72">
        <v>0</v>
      </c>
      <c r="CA60" s="72">
        <v>0</v>
      </c>
      <c r="CB60" s="72">
        <v>0</v>
      </c>
      <c r="CC60" s="72">
        <v>0</v>
      </c>
      <c r="CD60" s="72">
        <v>0</v>
      </c>
      <c r="CE60" s="72">
        <v>0</v>
      </c>
      <c r="CF60" s="72">
        <v>0</v>
      </c>
      <c r="CG60" s="72">
        <v>0</v>
      </c>
      <c r="CH60" s="72">
        <v>4</v>
      </c>
      <c r="CI60" s="72">
        <v>0</v>
      </c>
      <c r="CJ60" s="72">
        <v>0</v>
      </c>
      <c r="CK60" s="72">
        <v>0</v>
      </c>
      <c r="CL60" s="72"/>
      <c r="CM60" s="72"/>
      <c r="CN60" s="72"/>
      <c r="CO60" s="72"/>
      <c r="CP60" s="72"/>
      <c r="CQ60" s="72"/>
      <c r="CR60" s="72"/>
      <c r="CS60" s="72"/>
      <c r="CT60" s="72"/>
      <c r="CU60" s="72"/>
      <c r="CV60" s="72"/>
      <c r="CW60" s="72"/>
      <c r="CX60" s="72"/>
      <c r="CY60" s="72"/>
      <c r="CZ60" s="72"/>
      <c r="DA60" s="72"/>
      <c r="DB60" s="72"/>
      <c r="DC60" s="72"/>
      <c r="DD60" s="72"/>
      <c r="DE60" s="72"/>
      <c r="DF60" s="72"/>
      <c r="DG60" s="72"/>
      <c r="DH60" s="72"/>
      <c r="DI60" s="72"/>
      <c r="DJ60" s="72"/>
      <c r="DK60" s="72"/>
      <c r="DL60" s="72"/>
      <c r="DM60" s="72"/>
      <c r="DN60" s="72"/>
      <c r="DO60" s="72"/>
      <c r="DP60" s="72"/>
      <c r="DQ60" s="72"/>
      <c r="DR60" s="72"/>
      <c r="DS60" s="72"/>
      <c r="DT60" s="72"/>
      <c r="DU60" s="72"/>
      <c r="DV60" s="72"/>
      <c r="DW60" s="72"/>
      <c r="DX60" s="72"/>
      <c r="DY60" s="72"/>
      <c r="DZ60" s="81"/>
      <c r="EA60" s="81"/>
      <c r="EB60" s="81"/>
      <c r="EC60" s="72"/>
      <c r="ED60" s="72"/>
      <c r="EE60" s="72"/>
      <c r="EF60" s="72"/>
      <c r="EG60" s="72"/>
      <c r="EH60" s="72"/>
      <c r="EI60" s="72"/>
      <c r="EJ60" s="72"/>
      <c r="EK60" s="72"/>
      <c r="EL60" s="72"/>
      <c r="EM60" s="72"/>
      <c r="EN60" s="72"/>
      <c r="EO60" s="72"/>
      <c r="EP60" s="72"/>
      <c r="EQ60" s="72"/>
      <c r="ER60" s="72"/>
      <c r="ES60" s="72"/>
      <c r="ET60" s="72"/>
      <c r="EU60" s="72"/>
      <c r="EV60" s="72" t="s">
        <v>101</v>
      </c>
      <c r="EW60" s="72">
        <v>0</v>
      </c>
      <c r="EX60" s="72">
        <v>0</v>
      </c>
      <c r="EY60" s="72">
        <v>2</v>
      </c>
      <c r="EZ60" s="72">
        <v>2</v>
      </c>
      <c r="FA60" s="72">
        <v>4</v>
      </c>
      <c r="FB60" s="72">
        <v>2</v>
      </c>
      <c r="FC60" s="72">
        <v>2</v>
      </c>
      <c r="FD60" s="72">
        <v>2</v>
      </c>
      <c r="FE60" s="72">
        <v>6</v>
      </c>
      <c r="FF60" s="72">
        <v>8</v>
      </c>
      <c r="FG60" s="72">
        <v>2</v>
      </c>
      <c r="FH60" s="72"/>
      <c r="FI60" s="72" t="s">
        <v>9</v>
      </c>
      <c r="FJ60" s="72">
        <v>0</v>
      </c>
      <c r="FK60" s="72">
        <v>0</v>
      </c>
      <c r="FL60" s="72">
        <v>2</v>
      </c>
      <c r="FM60" s="72">
        <v>0</v>
      </c>
      <c r="FN60" s="72">
        <v>2</v>
      </c>
      <c r="FO60" s="72">
        <v>4</v>
      </c>
      <c r="FP60" s="72">
        <v>2</v>
      </c>
      <c r="FQ60" s="72">
        <v>4</v>
      </c>
      <c r="FR60" s="72">
        <v>2</v>
      </c>
      <c r="FS60" s="72">
        <v>2</v>
      </c>
      <c r="FT60" s="72">
        <v>0</v>
      </c>
      <c r="FU60" s="72"/>
      <c r="FV60" s="72" t="s">
        <v>9</v>
      </c>
      <c r="FW60" s="72">
        <v>0</v>
      </c>
      <c r="FX60" s="72">
        <v>0</v>
      </c>
      <c r="FY60" s="72">
        <v>2</v>
      </c>
      <c r="FZ60" s="72">
        <v>2</v>
      </c>
      <c r="GA60" s="72">
        <v>0</v>
      </c>
      <c r="GB60" s="72">
        <v>0</v>
      </c>
      <c r="GC60" s="72">
        <v>6</v>
      </c>
      <c r="GD60" s="72">
        <v>0</v>
      </c>
      <c r="GE60" s="72">
        <v>4</v>
      </c>
      <c r="GF60" s="72">
        <v>10</v>
      </c>
      <c r="GG60" s="72">
        <v>2</v>
      </c>
      <c r="GH60" s="72"/>
      <c r="GI60" s="72"/>
      <c r="GJ60" s="72"/>
      <c r="GK60" s="72"/>
      <c r="GL60" s="72"/>
      <c r="GM60" s="72"/>
      <c r="GN60" s="72"/>
      <c r="GO60" s="72"/>
      <c r="GP60" s="72"/>
      <c r="GQ60" s="72"/>
      <c r="GR60" s="72"/>
      <c r="GS60" s="72"/>
      <c r="GT60" s="72"/>
      <c r="GU60" s="72"/>
      <c r="GV60" s="72"/>
      <c r="GW60" s="72"/>
      <c r="GX60" s="88" t="s">
        <v>85</v>
      </c>
      <c r="GY60" s="88" t="s">
        <v>86</v>
      </c>
      <c r="GZ60" s="72"/>
      <c r="HA60" s="72"/>
      <c r="HB60" s="72"/>
      <c r="HC60" s="72"/>
      <c r="HV60" s="64" t="s">
        <v>379</v>
      </c>
      <c r="HW60" s="64">
        <v>0</v>
      </c>
      <c r="HX60" s="64">
        <v>0</v>
      </c>
      <c r="HY60" s="64">
        <v>2</v>
      </c>
      <c r="HZ60" s="64">
        <v>4</v>
      </c>
      <c r="IA60" s="64">
        <v>4</v>
      </c>
      <c r="IB60" s="64">
        <v>4</v>
      </c>
      <c r="IC60" s="64">
        <v>8</v>
      </c>
      <c r="ID60" s="64">
        <v>8</v>
      </c>
      <c r="IE60" s="64">
        <v>10</v>
      </c>
      <c r="IF60" s="64">
        <v>10</v>
      </c>
      <c r="IG60" s="64">
        <v>10</v>
      </c>
      <c r="IH60" s="64">
        <v>14</v>
      </c>
      <c r="II60" s="64">
        <v>14</v>
      </c>
      <c r="IJ60" s="64">
        <v>14</v>
      </c>
      <c r="IK60" s="64">
        <v>18</v>
      </c>
      <c r="IL60" s="64">
        <v>18</v>
      </c>
      <c r="IM60" s="64">
        <v>18</v>
      </c>
      <c r="IN60" s="64">
        <v>22</v>
      </c>
      <c r="IO60" s="64">
        <v>22</v>
      </c>
      <c r="IP60" s="64">
        <v>22</v>
      </c>
      <c r="IQ60" s="64">
        <v>26</v>
      </c>
      <c r="IS60" s="64" t="s">
        <v>379</v>
      </c>
      <c r="IT60" s="64">
        <f t="shared" si="42"/>
        <v>0</v>
      </c>
      <c r="IU60" s="64">
        <f t="shared" si="43"/>
        <v>0</v>
      </c>
      <c r="IV60" s="64">
        <f t="shared" si="44"/>
        <v>4</v>
      </c>
      <c r="IW60" s="64">
        <f t="shared" si="45"/>
        <v>8</v>
      </c>
      <c r="IX60" s="64">
        <f t="shared" si="46"/>
        <v>8</v>
      </c>
      <c r="IY60" s="64">
        <f t="shared" si="47"/>
        <v>8</v>
      </c>
      <c r="IZ60" s="64">
        <f t="shared" si="48"/>
        <v>16</v>
      </c>
      <c r="JA60" s="64">
        <f t="shared" si="49"/>
        <v>16</v>
      </c>
      <c r="JB60" s="64">
        <f t="shared" si="50"/>
        <v>20</v>
      </c>
      <c r="JC60" s="64">
        <f t="shared" si="51"/>
        <v>20</v>
      </c>
      <c r="JD60" s="64">
        <f t="shared" si="52"/>
        <v>20</v>
      </c>
      <c r="JE60" s="64">
        <f t="shared" si="53"/>
        <v>28</v>
      </c>
      <c r="JF60" s="64">
        <f t="shared" si="54"/>
        <v>28</v>
      </c>
      <c r="JG60" s="64">
        <f t="shared" si="55"/>
        <v>28</v>
      </c>
      <c r="JH60" s="64">
        <f t="shared" si="56"/>
        <v>36</v>
      </c>
      <c r="JI60" s="64">
        <f t="shared" si="57"/>
        <v>36</v>
      </c>
      <c r="JJ60" s="64">
        <f t="shared" si="58"/>
        <v>36</v>
      </c>
      <c r="JK60" s="64">
        <f t="shared" si="59"/>
        <v>44</v>
      </c>
      <c r="JL60" s="64">
        <f t="shared" si="60"/>
        <v>44</v>
      </c>
      <c r="JM60" s="64">
        <f t="shared" si="61"/>
        <v>44</v>
      </c>
      <c r="JN60" s="64">
        <f t="shared" si="62"/>
        <v>52</v>
      </c>
      <c r="JQ60" s="88"/>
    </row>
    <row r="61" spans="1:298" x14ac:dyDescent="0.25">
      <c r="A61" s="8"/>
      <c r="B61" s="5" t="s">
        <v>61</v>
      </c>
      <c r="C61" s="8"/>
      <c r="D61" s="44" t="s">
        <v>520</v>
      </c>
      <c r="E61" s="9"/>
      <c r="F61" s="9"/>
      <c r="G61" s="9"/>
      <c r="H61" s="9"/>
      <c r="I61" s="9"/>
      <c r="J61" s="9"/>
      <c r="K61" s="9"/>
      <c r="L61" s="6" t="s">
        <v>97</v>
      </c>
      <c r="M61" s="11">
        <f>INDEX(cenník!$C$2:$I$568,MATCH($L61,cenník!$B$2:$B$557,0),MATCH(M$2,cenník!$C$1:$I$1,0))</f>
        <v>895326</v>
      </c>
      <c r="N61" s="11" t="str">
        <f>INDEX(cenník!$C$2:$I$568,MATCH($L61,cenník!$B$2:$B$557,0),MATCH(N$2,cenník!$C$1:$I$1,0))</f>
        <v>ks</v>
      </c>
      <c r="O61" s="11">
        <f>O59</f>
        <v>0</v>
      </c>
      <c r="P61" s="36">
        <f>INDEX(cenník!$C$2:$I$568,MATCH($L61,cenník!$B$2:$B$557,0),MATCH(P$2,cenník!$C$1:$I$1,0))</f>
        <v>21.53</v>
      </c>
      <c r="Q61" s="36">
        <f t="shared" si="92"/>
        <v>0</v>
      </c>
      <c r="R61" s="37">
        <f t="shared" si="90"/>
        <v>0</v>
      </c>
      <c r="S61" s="36">
        <f t="shared" si="91"/>
        <v>21.53</v>
      </c>
      <c r="T61" s="36">
        <f t="shared" si="93"/>
        <v>0</v>
      </c>
      <c r="U61" s="36">
        <f>INDEX(cenník!$C$2:$I$568,MATCH($L61,cenník!$B$2:$B$557,0),MATCH(U$2,cenník!$C$1:$I$1,0))*O61</f>
        <v>0</v>
      </c>
      <c r="V61" s="72"/>
      <c r="W61" s="72"/>
      <c r="X61" s="72"/>
      <c r="Y61" s="72"/>
      <c r="Z61" s="72"/>
      <c r="AA61" s="72"/>
      <c r="AB61" s="72"/>
      <c r="AC61" s="72"/>
      <c r="AD61" s="72"/>
      <c r="AE61" s="72"/>
      <c r="AF61" s="72"/>
      <c r="AG61" s="72"/>
      <c r="AH61" s="72"/>
      <c r="AI61" s="72"/>
      <c r="AJ61" s="72"/>
      <c r="AK61" s="72"/>
      <c r="AL61" s="72" t="s">
        <v>64</v>
      </c>
      <c r="AM61" s="72">
        <v>0</v>
      </c>
      <c r="AN61" s="72">
        <v>0</v>
      </c>
      <c r="AO61" s="72">
        <v>0</v>
      </c>
      <c r="AP61" s="72">
        <v>0</v>
      </c>
      <c r="AQ61" s="72">
        <v>0</v>
      </c>
      <c r="AR61" s="72">
        <v>0</v>
      </c>
      <c r="AS61" s="72">
        <v>2</v>
      </c>
      <c r="AT61" s="72">
        <v>0</v>
      </c>
      <c r="AU61" s="72">
        <v>4</v>
      </c>
      <c r="AV61" s="72">
        <v>0</v>
      </c>
      <c r="AW61" s="72">
        <v>0</v>
      </c>
      <c r="AX61" s="72">
        <v>0</v>
      </c>
      <c r="AY61" s="72">
        <v>0</v>
      </c>
      <c r="AZ61" s="72">
        <v>0</v>
      </c>
      <c r="BA61" s="72">
        <v>0</v>
      </c>
      <c r="BB61" s="72">
        <v>0</v>
      </c>
      <c r="BC61" s="72">
        <v>0</v>
      </c>
      <c r="BD61" s="72">
        <v>0</v>
      </c>
      <c r="BE61" s="72">
        <v>0</v>
      </c>
      <c r="BF61" s="72">
        <v>2</v>
      </c>
      <c r="BG61" s="72">
        <v>0</v>
      </c>
      <c r="BH61" s="72">
        <v>2</v>
      </c>
      <c r="BI61" s="72">
        <v>0</v>
      </c>
      <c r="BJ61" s="72">
        <v>0</v>
      </c>
      <c r="BK61" s="72">
        <v>0</v>
      </c>
      <c r="BL61" s="72">
        <v>0</v>
      </c>
      <c r="BM61" s="72">
        <v>0</v>
      </c>
      <c r="BN61" s="72">
        <v>0</v>
      </c>
      <c r="BO61" s="72">
        <v>0</v>
      </c>
      <c r="BP61" s="72">
        <v>0</v>
      </c>
      <c r="BQ61" s="72">
        <v>2</v>
      </c>
      <c r="BR61" s="72">
        <v>0</v>
      </c>
      <c r="BS61" s="72">
        <v>0</v>
      </c>
      <c r="BT61" s="72">
        <v>0</v>
      </c>
      <c r="BU61" s="72">
        <v>0</v>
      </c>
      <c r="BV61" s="72">
        <v>0</v>
      </c>
      <c r="BW61" s="72">
        <v>0</v>
      </c>
      <c r="BX61" s="72">
        <v>0</v>
      </c>
      <c r="BY61" s="72">
        <v>0</v>
      </c>
      <c r="BZ61" s="72">
        <v>0</v>
      </c>
      <c r="CA61" s="72">
        <v>0</v>
      </c>
      <c r="CB61" s="72">
        <v>0</v>
      </c>
      <c r="CC61" s="72">
        <v>0</v>
      </c>
      <c r="CD61" s="72">
        <v>2</v>
      </c>
      <c r="CE61" s="72">
        <v>0</v>
      </c>
      <c r="CF61" s="72">
        <v>2</v>
      </c>
      <c r="CG61" s="72">
        <v>0</v>
      </c>
      <c r="CH61" s="72">
        <v>0</v>
      </c>
      <c r="CI61" s="72">
        <v>0</v>
      </c>
      <c r="CJ61" s="72">
        <v>0</v>
      </c>
      <c r="CK61" s="72">
        <v>0</v>
      </c>
      <c r="CL61" s="72"/>
      <c r="CM61" s="72" t="s">
        <v>199</v>
      </c>
      <c r="CN61" s="72"/>
      <c r="CO61" s="72"/>
      <c r="CP61" s="72"/>
      <c r="CQ61" s="72"/>
      <c r="CR61" s="72"/>
      <c r="CS61" s="72"/>
      <c r="CT61" s="72"/>
      <c r="CU61" s="72"/>
      <c r="CV61" s="72"/>
      <c r="CW61" s="72"/>
      <c r="CX61" s="72"/>
      <c r="CY61" s="72"/>
      <c r="CZ61" s="72"/>
      <c r="DA61" s="72"/>
      <c r="DB61" s="72"/>
      <c r="DC61" s="72"/>
      <c r="DD61" s="72"/>
      <c r="DE61" s="72"/>
      <c r="DF61" s="72"/>
      <c r="DG61" s="72"/>
      <c r="DH61" s="72"/>
      <c r="DI61" s="72"/>
      <c r="DJ61" s="72"/>
      <c r="DK61" s="72"/>
      <c r="DL61" s="72"/>
      <c r="DM61" s="72"/>
      <c r="DN61" s="72"/>
      <c r="DO61" s="72"/>
      <c r="DP61" s="72"/>
      <c r="DQ61" s="72"/>
      <c r="DR61" s="72"/>
      <c r="DS61" s="72"/>
      <c r="DT61" s="72"/>
      <c r="DU61" s="72"/>
      <c r="DV61" s="72"/>
      <c r="DW61" s="72"/>
      <c r="DX61" s="72"/>
      <c r="DY61" s="72"/>
      <c r="DZ61" s="81"/>
      <c r="EA61" s="81"/>
      <c r="EB61" s="81"/>
      <c r="EC61" s="72"/>
      <c r="ED61" s="72"/>
      <c r="EE61" s="72"/>
      <c r="EF61" s="72"/>
      <c r="EG61" s="72"/>
      <c r="EH61" s="72"/>
      <c r="EI61" s="72"/>
      <c r="EJ61" s="72"/>
      <c r="EK61" s="72"/>
      <c r="EL61" s="72"/>
      <c r="EM61" s="72"/>
      <c r="EN61" s="72"/>
      <c r="EO61" s="72"/>
      <c r="EP61" s="72"/>
      <c r="EQ61" s="72"/>
      <c r="ER61" s="72"/>
      <c r="ES61" s="72"/>
      <c r="ET61" s="72"/>
      <c r="EU61" s="72"/>
      <c r="EV61" s="72" t="s">
        <v>102</v>
      </c>
      <c r="EW61" s="72">
        <v>0</v>
      </c>
      <c r="EX61" s="72">
        <v>0</v>
      </c>
      <c r="EY61" s="72">
        <v>0</v>
      </c>
      <c r="EZ61" s="72">
        <v>0</v>
      </c>
      <c r="FA61" s="72">
        <v>0</v>
      </c>
      <c r="FB61" s="72">
        <v>0</v>
      </c>
      <c r="FC61" s="72">
        <v>2</v>
      </c>
      <c r="FD61" s="72">
        <v>4</v>
      </c>
      <c r="FE61" s="72">
        <v>0</v>
      </c>
      <c r="FF61" s="72">
        <v>0</v>
      </c>
      <c r="FG61" s="72">
        <v>4</v>
      </c>
      <c r="FH61" s="72"/>
      <c r="FI61" s="72" t="s">
        <v>101</v>
      </c>
      <c r="FJ61" s="72">
        <v>0</v>
      </c>
      <c r="FK61" s="72">
        <v>0</v>
      </c>
      <c r="FL61" s="72">
        <v>0</v>
      </c>
      <c r="FM61" s="72">
        <v>0</v>
      </c>
      <c r="FN61" s="72">
        <v>0</v>
      </c>
      <c r="FO61" s="72">
        <v>2</v>
      </c>
      <c r="FP61" s="72">
        <v>0</v>
      </c>
      <c r="FQ61" s="72">
        <v>2</v>
      </c>
      <c r="FR61" s="72">
        <v>0</v>
      </c>
      <c r="FS61" s="72">
        <v>8</v>
      </c>
      <c r="FT61" s="72">
        <v>6</v>
      </c>
      <c r="FU61" s="72"/>
      <c r="FV61" s="72" t="s">
        <v>101</v>
      </c>
      <c r="FW61" s="72">
        <v>0</v>
      </c>
      <c r="FX61" s="72">
        <v>0</v>
      </c>
      <c r="FY61" s="72">
        <v>0</v>
      </c>
      <c r="FZ61" s="72">
        <v>2</v>
      </c>
      <c r="GA61" s="72">
        <v>0</v>
      </c>
      <c r="GB61" s="72">
        <v>6</v>
      </c>
      <c r="GC61" s="72">
        <v>2</v>
      </c>
      <c r="GD61" s="72">
        <v>2</v>
      </c>
      <c r="GE61" s="72">
        <v>4</v>
      </c>
      <c r="GF61" s="72">
        <v>0</v>
      </c>
      <c r="GG61" s="72">
        <v>6</v>
      </c>
      <c r="GH61" s="72"/>
      <c r="GI61" s="72"/>
      <c r="GJ61" s="72"/>
      <c r="GK61" s="72"/>
      <c r="GL61" s="72"/>
      <c r="GM61" s="72"/>
      <c r="GN61" s="72"/>
      <c r="GO61" s="72"/>
      <c r="GP61" s="72"/>
      <c r="GQ61" s="72"/>
      <c r="GR61" s="72"/>
      <c r="GS61" s="72"/>
      <c r="GT61" s="72"/>
      <c r="GU61" s="72"/>
      <c r="GV61" s="72"/>
      <c r="GW61" s="72"/>
      <c r="GX61" s="72">
        <v>20</v>
      </c>
      <c r="GY61" s="72">
        <v>2200</v>
      </c>
      <c r="GZ61" s="72"/>
      <c r="HA61" s="72"/>
      <c r="HB61" s="72"/>
      <c r="HC61" s="72"/>
      <c r="HV61" s="64" t="s">
        <v>406</v>
      </c>
      <c r="HW61" s="64">
        <v>0</v>
      </c>
      <c r="HX61" s="64">
        <v>0</v>
      </c>
      <c r="HY61" s="64">
        <v>2</v>
      </c>
      <c r="HZ61" s="64">
        <v>2</v>
      </c>
      <c r="IA61" s="64">
        <v>4</v>
      </c>
      <c r="IB61" s="64">
        <v>6</v>
      </c>
      <c r="IC61" s="64">
        <v>6</v>
      </c>
      <c r="ID61" s="64">
        <v>8</v>
      </c>
      <c r="IE61" s="64">
        <v>8</v>
      </c>
      <c r="IF61" s="64">
        <v>10</v>
      </c>
      <c r="IG61" s="64">
        <v>12</v>
      </c>
      <c r="IH61" s="64">
        <v>12</v>
      </c>
      <c r="II61" s="64">
        <v>14</v>
      </c>
      <c r="IJ61" s="64">
        <v>16</v>
      </c>
      <c r="IK61" s="64">
        <v>16</v>
      </c>
      <c r="IL61" s="64">
        <v>18</v>
      </c>
      <c r="IM61" s="64">
        <v>20</v>
      </c>
      <c r="IN61" s="64">
        <v>20</v>
      </c>
      <c r="IO61" s="64">
        <v>22</v>
      </c>
      <c r="IP61" s="64">
        <v>24</v>
      </c>
      <c r="IQ61" s="64">
        <v>24</v>
      </c>
      <c r="IS61" s="64" t="s">
        <v>406</v>
      </c>
      <c r="IT61" s="64">
        <f t="shared" si="42"/>
        <v>0</v>
      </c>
      <c r="IU61" s="64">
        <f t="shared" si="43"/>
        <v>0</v>
      </c>
      <c r="IV61" s="64">
        <f t="shared" si="44"/>
        <v>4</v>
      </c>
      <c r="IW61" s="64">
        <f t="shared" si="45"/>
        <v>4</v>
      </c>
      <c r="IX61" s="64">
        <f t="shared" si="46"/>
        <v>8</v>
      </c>
      <c r="IY61" s="64">
        <f t="shared" si="47"/>
        <v>12</v>
      </c>
      <c r="IZ61" s="64">
        <f t="shared" si="48"/>
        <v>12</v>
      </c>
      <c r="JA61" s="64">
        <f t="shared" si="49"/>
        <v>16</v>
      </c>
      <c r="JB61" s="64">
        <f t="shared" si="50"/>
        <v>16</v>
      </c>
      <c r="JC61" s="64">
        <f t="shared" si="51"/>
        <v>20</v>
      </c>
      <c r="JD61" s="64">
        <f t="shared" si="52"/>
        <v>24</v>
      </c>
      <c r="JE61" s="64">
        <f t="shared" si="53"/>
        <v>24</v>
      </c>
      <c r="JF61" s="64">
        <f t="shared" si="54"/>
        <v>28</v>
      </c>
      <c r="JG61" s="64">
        <f t="shared" si="55"/>
        <v>32</v>
      </c>
      <c r="JH61" s="64">
        <f t="shared" si="56"/>
        <v>32</v>
      </c>
      <c r="JI61" s="64">
        <f t="shared" si="57"/>
        <v>36</v>
      </c>
      <c r="JJ61" s="64">
        <f t="shared" si="58"/>
        <v>40</v>
      </c>
      <c r="JK61" s="64">
        <f t="shared" si="59"/>
        <v>40</v>
      </c>
      <c r="JL61" s="64">
        <f t="shared" si="60"/>
        <v>44</v>
      </c>
      <c r="JM61" s="64">
        <f t="shared" si="61"/>
        <v>48</v>
      </c>
      <c r="JN61" s="64">
        <f t="shared" si="62"/>
        <v>48</v>
      </c>
      <c r="JQ61" s="88"/>
    </row>
    <row r="62" spans="1:298" x14ac:dyDescent="0.25">
      <c r="A62" s="8"/>
      <c r="B62" s="5" t="s">
        <v>61</v>
      </c>
      <c r="C62" s="8"/>
      <c r="D62" s="44"/>
      <c r="E62" s="9"/>
      <c r="F62" s="9"/>
      <c r="G62" s="9"/>
      <c r="H62" s="9"/>
      <c r="I62" s="9"/>
      <c r="J62" s="9"/>
      <c r="K62" s="9"/>
      <c r="L62" s="6" t="str">
        <f>INDEX(($Z$89:$AA$99),MATCH(I50,$Y$89:$Y$98,0),MATCH(E51,$Z$88:$AA$88,0),1)</f>
        <v>BUF30</v>
      </c>
      <c r="M62" s="11">
        <f>INDEX(cenník!$C$2:$I$568,MATCH($L62,cenník!$B$2:$B$557,0),MATCH(M$2,cenník!$C$1:$I$1,0))</f>
        <v>897330</v>
      </c>
      <c r="N62" s="11" t="str">
        <f>INDEX(cenník!$C$2:$I$568,MATCH($L62,cenník!$B$2:$B$557,0),MATCH(N$2,cenník!$C$1:$I$1,0))</f>
        <v>ks</v>
      </c>
      <c r="O62" s="11">
        <f>SUM(IF(A49=0,0,IF((A49&gt;0),C49*4)),IF(A50=0,0,IF((A50&gt;0),C50*4)),IF(A51=0,0,IF((A51&gt;0),C51*4)),IF(A52=0,0,IF((A52&gt;0),C52*4)),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,IF(A64=0,0,IF((A64&gt;0),C64*4)))</f>
        <v>0</v>
      </c>
      <c r="P62" s="36">
        <f>INDEX(cenník!$C$2:$I$568,MATCH($L62,cenník!$B$2:$B$557,0),MATCH(P$2,cenník!$C$1:$I$1,0))</f>
        <v>0.62</v>
      </c>
      <c r="Q62" s="36">
        <f t="shared" si="92"/>
        <v>0</v>
      </c>
      <c r="R62" s="37">
        <f t="shared" si="90"/>
        <v>0</v>
      </c>
      <c r="S62" s="36">
        <f t="shared" si="91"/>
        <v>0.62</v>
      </c>
      <c r="T62" s="36">
        <f t="shared" si="93"/>
        <v>0</v>
      </c>
      <c r="U62" s="36">
        <f>INDEX(cenník!$C$2:$I$568,MATCH($L62,cenník!$B$2:$B$557,0),MATCH(U$2,cenník!$C$1:$I$1,0))*O62</f>
        <v>0</v>
      </c>
      <c r="V62" s="72"/>
      <c r="W62" s="72"/>
      <c r="X62" s="72"/>
      <c r="Y62" s="72"/>
      <c r="Z62" s="72"/>
      <c r="AA62" s="72"/>
      <c r="AB62" s="72"/>
      <c r="AC62" s="72"/>
      <c r="AD62" s="72"/>
      <c r="AE62" s="72"/>
      <c r="AF62" s="72"/>
      <c r="AG62" s="72"/>
      <c r="AH62" s="72"/>
      <c r="AI62" s="72"/>
      <c r="AJ62" s="72"/>
      <c r="AK62" s="72"/>
      <c r="AL62" s="72" t="s">
        <v>14</v>
      </c>
      <c r="AM62" s="72">
        <v>0</v>
      </c>
      <c r="AN62" s="72">
        <v>0</v>
      </c>
      <c r="AO62" s="72">
        <v>0</v>
      </c>
      <c r="AP62" s="72">
        <v>0</v>
      </c>
      <c r="AQ62" s="72">
        <v>2</v>
      </c>
      <c r="AR62" s="72">
        <v>6</v>
      </c>
      <c r="AS62" s="72">
        <v>2</v>
      </c>
      <c r="AT62" s="72">
        <v>8</v>
      </c>
      <c r="AU62" s="72">
        <v>0</v>
      </c>
      <c r="AV62" s="72">
        <v>6</v>
      </c>
      <c r="AW62" s="72">
        <v>10</v>
      </c>
      <c r="AX62" s="72">
        <v>2</v>
      </c>
      <c r="AY62" s="72">
        <v>8</v>
      </c>
      <c r="AZ62" s="72">
        <v>0</v>
      </c>
      <c r="BA62" s="72">
        <v>2</v>
      </c>
      <c r="BB62" s="72">
        <v>6</v>
      </c>
      <c r="BC62" s="72">
        <v>14</v>
      </c>
      <c r="BD62" s="72">
        <v>6</v>
      </c>
      <c r="BE62" s="72">
        <v>10</v>
      </c>
      <c r="BF62" s="72">
        <v>16</v>
      </c>
      <c r="BG62" s="72">
        <v>8</v>
      </c>
      <c r="BH62" s="72">
        <v>12</v>
      </c>
      <c r="BI62" s="72">
        <v>4</v>
      </c>
      <c r="BJ62" s="72">
        <v>24</v>
      </c>
      <c r="BK62" s="72">
        <v>0</v>
      </c>
      <c r="BL62" s="72">
        <v>20</v>
      </c>
      <c r="BM62" s="72">
        <v>0</v>
      </c>
      <c r="BN62" s="72">
        <v>16</v>
      </c>
      <c r="BO62" s="72">
        <v>20</v>
      </c>
      <c r="BP62" s="72">
        <v>12</v>
      </c>
      <c r="BQ62" s="72">
        <v>18</v>
      </c>
      <c r="BR62" s="72">
        <v>10</v>
      </c>
      <c r="BS62" s="72">
        <v>4</v>
      </c>
      <c r="BT62" s="72">
        <v>6</v>
      </c>
      <c r="BU62" s="72">
        <v>26</v>
      </c>
      <c r="BV62" s="72">
        <v>2</v>
      </c>
      <c r="BW62" s="72">
        <v>22</v>
      </c>
      <c r="BX62" s="72">
        <v>0</v>
      </c>
      <c r="BY62" s="72">
        <v>18</v>
      </c>
      <c r="BZ62" s="72">
        <v>0</v>
      </c>
      <c r="CA62" s="72">
        <v>14</v>
      </c>
      <c r="CB62" s="72">
        <v>34</v>
      </c>
      <c r="CC62" s="72">
        <v>10</v>
      </c>
      <c r="CD62" s="72">
        <v>16</v>
      </c>
      <c r="CE62" s="72">
        <v>8</v>
      </c>
      <c r="CF62" s="72">
        <v>12</v>
      </c>
      <c r="CG62" s="72">
        <v>4</v>
      </c>
      <c r="CH62" s="72">
        <v>2</v>
      </c>
      <c r="CI62" s="72">
        <v>0</v>
      </c>
      <c r="CJ62" s="72">
        <v>20</v>
      </c>
      <c r="CK62" s="72">
        <v>0</v>
      </c>
      <c r="CL62" s="72"/>
      <c r="CM62" s="72"/>
      <c r="CN62" s="72">
        <v>0</v>
      </c>
      <c r="CO62" s="72">
        <v>1</v>
      </c>
      <c r="CP62" s="72">
        <v>2</v>
      </c>
      <c r="CQ62" s="72">
        <v>3</v>
      </c>
      <c r="CR62" s="72">
        <v>4</v>
      </c>
      <c r="CS62" s="72">
        <v>5</v>
      </c>
      <c r="CT62" s="72">
        <v>6</v>
      </c>
      <c r="CU62" s="72">
        <v>7</v>
      </c>
      <c r="CV62" s="72">
        <v>8</v>
      </c>
      <c r="CW62" s="72">
        <v>9</v>
      </c>
      <c r="CX62" s="72">
        <v>10</v>
      </c>
      <c r="CY62" s="72">
        <v>11</v>
      </c>
      <c r="CZ62" s="72">
        <v>12</v>
      </c>
      <c r="DA62" s="72">
        <v>13</v>
      </c>
      <c r="DB62" s="72">
        <v>14</v>
      </c>
      <c r="DC62" s="72">
        <v>15</v>
      </c>
      <c r="DD62" s="72">
        <v>16</v>
      </c>
      <c r="DE62" s="72">
        <v>17</v>
      </c>
      <c r="DF62" s="72">
        <v>18</v>
      </c>
      <c r="DG62" s="72">
        <v>19</v>
      </c>
      <c r="DH62" s="72">
        <v>20</v>
      </c>
      <c r="DI62" s="72"/>
      <c r="DJ62" s="72"/>
      <c r="DK62" s="72"/>
      <c r="DL62" s="72"/>
      <c r="DM62" s="72"/>
      <c r="DN62" s="72"/>
      <c r="DO62" s="72"/>
      <c r="DP62" s="72"/>
      <c r="DQ62" s="72"/>
      <c r="DR62" s="72"/>
      <c r="DS62" s="72"/>
      <c r="DT62" s="72"/>
      <c r="DU62" s="72"/>
      <c r="DV62" s="72"/>
      <c r="DW62" s="72"/>
      <c r="DX62" s="72"/>
      <c r="DY62" s="72"/>
      <c r="DZ62" s="81"/>
      <c r="EA62" s="81"/>
      <c r="EB62" s="81"/>
      <c r="EC62" s="72"/>
      <c r="ED62" s="72"/>
      <c r="EE62" s="72"/>
      <c r="EF62" s="72"/>
      <c r="EG62" s="72"/>
      <c r="EH62" s="72"/>
      <c r="EI62" s="72"/>
      <c r="EJ62" s="72"/>
      <c r="EK62" s="72"/>
      <c r="EL62" s="72"/>
      <c r="EM62" s="72"/>
      <c r="EN62" s="72"/>
      <c r="EO62" s="72"/>
      <c r="EP62" s="72"/>
      <c r="EQ62" s="72"/>
      <c r="ER62" s="72"/>
      <c r="ES62" s="72"/>
      <c r="ET62" s="72"/>
      <c r="EU62" s="72"/>
      <c r="EV62" s="72" t="s">
        <v>10</v>
      </c>
      <c r="EW62" s="72">
        <v>0</v>
      </c>
      <c r="EX62" s="72">
        <v>0</v>
      </c>
      <c r="EY62" s="72">
        <v>0</v>
      </c>
      <c r="EZ62" s="72">
        <v>2</v>
      </c>
      <c r="FA62" s="72">
        <v>2</v>
      </c>
      <c r="FB62" s="72">
        <v>4</v>
      </c>
      <c r="FC62" s="72">
        <v>4</v>
      </c>
      <c r="FD62" s="72">
        <v>6</v>
      </c>
      <c r="FE62" s="72">
        <v>6</v>
      </c>
      <c r="FF62" s="72">
        <v>8</v>
      </c>
      <c r="FG62" s="72">
        <v>8</v>
      </c>
      <c r="FH62" s="72"/>
      <c r="FI62" s="72" t="s">
        <v>102</v>
      </c>
      <c r="FJ62" s="72">
        <v>0</v>
      </c>
      <c r="FK62" s="72">
        <v>0</v>
      </c>
      <c r="FL62" s="72">
        <v>0</v>
      </c>
      <c r="FM62" s="72">
        <v>2</v>
      </c>
      <c r="FN62" s="72">
        <v>2</v>
      </c>
      <c r="FO62" s="72">
        <v>0</v>
      </c>
      <c r="FP62" s="72">
        <v>4</v>
      </c>
      <c r="FQ62" s="72">
        <v>2</v>
      </c>
      <c r="FR62" s="72">
        <v>6</v>
      </c>
      <c r="FS62" s="72">
        <v>0</v>
      </c>
      <c r="FT62" s="72">
        <v>4</v>
      </c>
      <c r="FU62" s="72"/>
      <c r="FV62" s="72" t="s">
        <v>102</v>
      </c>
      <c r="FW62" s="72">
        <v>0</v>
      </c>
      <c r="FX62" s="72">
        <v>0</v>
      </c>
      <c r="FY62" s="72">
        <v>0</v>
      </c>
      <c r="FZ62" s="72">
        <v>0</v>
      </c>
      <c r="GA62" s="72">
        <v>4</v>
      </c>
      <c r="GB62" s="72">
        <v>0</v>
      </c>
      <c r="GC62" s="72">
        <v>0</v>
      </c>
      <c r="GD62" s="72">
        <v>6</v>
      </c>
      <c r="GE62" s="72">
        <v>2</v>
      </c>
      <c r="GF62" s="72">
        <v>2</v>
      </c>
      <c r="GG62" s="72">
        <v>4</v>
      </c>
      <c r="GH62" s="72"/>
      <c r="GI62" s="72"/>
      <c r="GJ62" s="72"/>
      <c r="GK62" s="72"/>
      <c r="GL62" s="72"/>
      <c r="GM62" s="72"/>
      <c r="GN62" s="72"/>
      <c r="GO62" s="72"/>
      <c r="GP62" s="72"/>
      <c r="GQ62" s="72"/>
      <c r="GR62" s="72"/>
      <c r="GS62" s="72"/>
      <c r="GT62" s="72"/>
      <c r="GU62" s="72"/>
      <c r="GV62" s="72"/>
      <c r="GW62" s="72"/>
      <c r="GX62" s="72">
        <f>((GX61*GY61)+((GX61-1)*20))-500</f>
        <v>43880</v>
      </c>
      <c r="GY62" s="88" t="s">
        <v>91</v>
      </c>
      <c r="GZ62" s="88" t="s">
        <v>89</v>
      </c>
      <c r="HA62" s="88" t="s">
        <v>88</v>
      </c>
      <c r="HB62" s="72"/>
      <c r="HC62" s="72" t="s">
        <v>90</v>
      </c>
      <c r="JQ62" s="88"/>
    </row>
    <row r="63" spans="1:298" x14ac:dyDescent="0.25">
      <c r="A63" s="8"/>
      <c r="B63" s="5" t="s">
        <v>61</v>
      </c>
      <c r="C63" s="8"/>
      <c r="D63" s="44"/>
      <c r="E63" s="9"/>
      <c r="F63" s="9"/>
      <c r="G63" s="9"/>
      <c r="H63" s="9"/>
      <c r="I63" s="9"/>
      <c r="J63" s="9"/>
      <c r="K63" s="9"/>
      <c r="L63" s="6" t="str">
        <f>INDEX(($Z$99:$AA$99),1,MATCH(E51,$Z$88:$AA$88,0),1)</f>
        <v>PUF</v>
      </c>
      <c r="M63" s="11">
        <f>INDEX(cenník!$C$2:$I$568,MATCH($L63,cenník!$B$2:$B$557,0),MATCH(M$2,cenník!$C$1:$I$1,0))</f>
        <v>897300</v>
      </c>
      <c r="N63" s="11" t="str">
        <f>INDEX(cenník!$C$2:$I$568,MATCH($L63,cenník!$B$2:$B$557,0),MATCH(N$2,cenník!$C$1:$I$1,0))</f>
        <v>ks</v>
      </c>
      <c r="O63" s="11">
        <f>SUM(IF(A49=0,0,IF(A49&gt;0,(A49-1)*2*C49)),IF(A50=0,0,IF(A50&gt;0,(A50-1)*2*C50)),IF(A51=0,0,IF(A51&gt;0,(A51-1)*2*C51)),IF(A52=0,0,IF(A52&gt;0,(A52-1)*2*C52)),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)</f>
        <v>0</v>
      </c>
      <c r="P63" s="36">
        <f>INDEX(cenník!$C$2:$I$568,MATCH($L63,cenník!$B$2:$B$557,0),MATCH(P$2,cenník!$C$1:$I$1,0))</f>
        <v>0.56999999999999995</v>
      </c>
      <c r="Q63" s="36">
        <f t="shared" si="92"/>
        <v>0</v>
      </c>
      <c r="R63" s="37">
        <f t="shared" si="90"/>
        <v>0</v>
      </c>
      <c r="S63" s="36">
        <f t="shared" si="91"/>
        <v>0.56999999999999995</v>
      </c>
      <c r="T63" s="36">
        <f t="shared" si="93"/>
        <v>0</v>
      </c>
      <c r="U63" s="36">
        <f>INDEX(cenník!$C$2:$I$568,MATCH($L63,cenník!$B$2:$B$557,0),MATCH(U$2,cenník!$C$1:$I$1,0))*O63</f>
        <v>0</v>
      </c>
      <c r="V63" s="72"/>
      <c r="W63" s="72"/>
      <c r="X63" s="72"/>
      <c r="Y63" s="72"/>
      <c r="Z63" s="72"/>
      <c r="AA63" s="72"/>
      <c r="AB63" s="72"/>
      <c r="AC63" s="72"/>
      <c r="AD63" s="72"/>
      <c r="AE63" s="72"/>
      <c r="AF63" s="72"/>
      <c r="AG63" s="72"/>
      <c r="AH63" s="72"/>
      <c r="AI63" s="72"/>
      <c r="AJ63" s="72"/>
      <c r="AK63" s="72"/>
      <c r="AL63" s="72" t="s">
        <v>18</v>
      </c>
      <c r="AM63" s="72">
        <v>0</v>
      </c>
      <c r="AN63" s="72">
        <v>0</v>
      </c>
      <c r="AO63" s="72">
        <v>0</v>
      </c>
      <c r="AP63" s="72">
        <v>2</v>
      </c>
      <c r="AQ63" s="72">
        <v>0</v>
      </c>
      <c r="AR63" s="72">
        <v>0</v>
      </c>
      <c r="AS63" s="72">
        <v>2</v>
      </c>
      <c r="AT63" s="72">
        <v>0</v>
      </c>
      <c r="AU63" s="72">
        <v>6</v>
      </c>
      <c r="AV63" s="72">
        <v>4</v>
      </c>
      <c r="AW63" s="72">
        <v>0</v>
      </c>
      <c r="AX63" s="72">
        <v>10</v>
      </c>
      <c r="AY63" s="72">
        <v>4</v>
      </c>
      <c r="AZ63" s="72">
        <v>14</v>
      </c>
      <c r="BA63" s="72">
        <v>12</v>
      </c>
      <c r="BB63" s="72">
        <v>8</v>
      </c>
      <c r="BC63" s="72">
        <v>4</v>
      </c>
      <c r="BD63" s="72">
        <v>10</v>
      </c>
      <c r="BE63" s="72">
        <v>10</v>
      </c>
      <c r="BF63" s="72">
        <v>4</v>
      </c>
      <c r="BG63" s="72">
        <v>14</v>
      </c>
      <c r="BH63" s="72">
        <v>10</v>
      </c>
      <c r="BI63" s="72">
        <v>20</v>
      </c>
      <c r="BJ63" s="72">
        <v>2</v>
      </c>
      <c r="BK63" s="72">
        <v>26</v>
      </c>
      <c r="BL63" s="72">
        <v>8</v>
      </c>
      <c r="BM63" s="72">
        <v>28</v>
      </c>
      <c r="BN63" s="72">
        <v>14</v>
      </c>
      <c r="BO63" s="72">
        <v>10</v>
      </c>
      <c r="BP63" s="72">
        <v>20</v>
      </c>
      <c r="BQ63" s="72">
        <v>14</v>
      </c>
      <c r="BR63" s="72">
        <v>24</v>
      </c>
      <c r="BS63" s="72">
        <v>28</v>
      </c>
      <c r="BT63" s="72">
        <v>30</v>
      </c>
      <c r="BU63" s="72">
        <v>12</v>
      </c>
      <c r="BV63" s="72">
        <v>36</v>
      </c>
      <c r="BW63" s="72">
        <v>18</v>
      </c>
      <c r="BX63" s="72">
        <v>40</v>
      </c>
      <c r="BY63" s="72">
        <v>24</v>
      </c>
      <c r="BZ63" s="72">
        <v>42</v>
      </c>
      <c r="CA63" s="72">
        <v>30</v>
      </c>
      <c r="CB63" s="72">
        <v>12</v>
      </c>
      <c r="CC63" s="72">
        <v>36</v>
      </c>
      <c r="CD63" s="72">
        <v>30</v>
      </c>
      <c r="CE63" s="72">
        <v>40</v>
      </c>
      <c r="CF63" s="72">
        <v>36</v>
      </c>
      <c r="CG63" s="72">
        <v>46</v>
      </c>
      <c r="CH63" s="72">
        <v>46</v>
      </c>
      <c r="CI63" s="72">
        <v>52</v>
      </c>
      <c r="CJ63" s="72">
        <v>34</v>
      </c>
      <c r="CK63" s="72">
        <v>54</v>
      </c>
      <c r="CL63" s="72"/>
      <c r="CM63" s="72" t="s">
        <v>114</v>
      </c>
      <c r="CN63" s="72">
        <v>0</v>
      </c>
      <c r="CO63" s="72">
        <v>2</v>
      </c>
      <c r="CP63" s="72">
        <v>0</v>
      </c>
      <c r="CQ63" s="72">
        <v>0</v>
      </c>
      <c r="CR63" s="72">
        <v>2</v>
      </c>
      <c r="CS63" s="72">
        <v>2</v>
      </c>
      <c r="CT63" s="72">
        <v>0</v>
      </c>
      <c r="CU63" s="72">
        <v>4</v>
      </c>
      <c r="CV63" s="72">
        <v>2</v>
      </c>
      <c r="CW63" s="72">
        <v>0</v>
      </c>
      <c r="CX63" s="72">
        <v>4</v>
      </c>
      <c r="CY63" s="72">
        <v>2</v>
      </c>
      <c r="CZ63" s="72">
        <v>0</v>
      </c>
      <c r="DA63" s="72">
        <v>4</v>
      </c>
      <c r="DB63" s="72">
        <v>2</v>
      </c>
      <c r="DC63" s="72">
        <v>0</v>
      </c>
      <c r="DD63" s="72">
        <v>4</v>
      </c>
      <c r="DE63" s="72">
        <v>2</v>
      </c>
      <c r="DF63" s="72">
        <v>0</v>
      </c>
      <c r="DG63" s="72">
        <v>4</v>
      </c>
      <c r="DH63" s="72">
        <v>2</v>
      </c>
      <c r="DI63" s="72"/>
      <c r="DJ63" s="72"/>
      <c r="DK63" s="72"/>
      <c r="DL63" s="72"/>
      <c r="DM63" s="72"/>
      <c r="DN63" s="72"/>
      <c r="DO63" s="72"/>
      <c r="DP63" s="72"/>
      <c r="DQ63" s="72"/>
      <c r="DR63" s="72"/>
      <c r="DS63" s="72"/>
      <c r="DT63" s="72"/>
      <c r="DU63" s="72"/>
      <c r="DV63" s="72"/>
      <c r="DW63" s="72"/>
      <c r="DX63" s="72"/>
      <c r="DY63" s="72"/>
      <c r="DZ63" s="81"/>
      <c r="EA63" s="81"/>
      <c r="EB63" s="81"/>
      <c r="EC63" s="72"/>
      <c r="ED63" s="72"/>
      <c r="EE63" s="72"/>
      <c r="EF63" s="72"/>
      <c r="EG63" s="72"/>
      <c r="EH63" s="72"/>
      <c r="EI63" s="72"/>
      <c r="EJ63" s="72"/>
      <c r="EK63" s="72"/>
      <c r="EL63" s="72"/>
      <c r="EM63" s="72"/>
      <c r="EN63" s="72"/>
      <c r="EO63" s="72"/>
      <c r="EP63" s="72"/>
      <c r="EQ63" s="72"/>
      <c r="ER63" s="72"/>
      <c r="ES63" s="72"/>
      <c r="ET63" s="72"/>
      <c r="EU63" s="72"/>
      <c r="FH63" s="72"/>
      <c r="FI63" s="72" t="s">
        <v>10</v>
      </c>
      <c r="FJ63" s="72">
        <v>0</v>
      </c>
      <c r="FK63" s="72">
        <v>0</v>
      </c>
      <c r="FL63" s="72">
        <v>2</v>
      </c>
      <c r="FM63" s="72">
        <v>2</v>
      </c>
      <c r="FN63" s="72">
        <v>4</v>
      </c>
      <c r="FO63" s="72">
        <v>4</v>
      </c>
      <c r="FP63" s="72">
        <v>6</v>
      </c>
      <c r="FQ63" s="72">
        <v>6</v>
      </c>
      <c r="FR63" s="72">
        <v>8</v>
      </c>
      <c r="FS63" s="72">
        <v>8</v>
      </c>
      <c r="FT63" s="72">
        <v>10</v>
      </c>
      <c r="FU63" s="72"/>
      <c r="FV63" s="72" t="s">
        <v>10</v>
      </c>
      <c r="FW63" s="72">
        <v>0</v>
      </c>
      <c r="FX63" s="72">
        <v>0</v>
      </c>
      <c r="FY63" s="72">
        <v>2</v>
      </c>
      <c r="FZ63" s="72">
        <v>2</v>
      </c>
      <c r="GA63" s="72">
        <v>4</v>
      </c>
      <c r="GB63" s="72">
        <v>4</v>
      </c>
      <c r="GC63" s="72">
        <v>6</v>
      </c>
      <c r="GD63" s="72">
        <v>6</v>
      </c>
      <c r="GE63" s="72">
        <v>8</v>
      </c>
      <c r="GF63" s="72">
        <v>10</v>
      </c>
      <c r="GG63" s="72">
        <v>10</v>
      </c>
      <c r="GH63" s="72"/>
      <c r="GI63" s="72"/>
      <c r="GJ63" s="72"/>
      <c r="GK63" s="72"/>
      <c r="GL63" s="72"/>
      <c r="GM63" s="72"/>
      <c r="GN63" s="72"/>
      <c r="GO63" s="72"/>
      <c r="GP63" s="72"/>
      <c r="GQ63" s="72"/>
      <c r="GR63" s="72"/>
      <c r="GS63" s="72"/>
      <c r="GT63" s="72"/>
      <c r="GU63" s="72"/>
      <c r="GV63" s="72"/>
      <c r="GW63" s="72"/>
      <c r="GX63" s="72">
        <v>2200</v>
      </c>
      <c r="GY63" s="72">
        <v>2</v>
      </c>
      <c r="GZ63" s="72">
        <f>GX63*GY63</f>
        <v>4400</v>
      </c>
      <c r="HA63" s="106">
        <v>46.73</v>
      </c>
      <c r="HB63" s="72">
        <f>GY63*HA63</f>
        <v>93.46</v>
      </c>
      <c r="HC63" s="72">
        <f>2*GY63</f>
        <v>4</v>
      </c>
      <c r="HU63" s="124"/>
      <c r="HV63" s="83" t="s">
        <v>203</v>
      </c>
      <c r="IS63" s="64" t="s">
        <v>203</v>
      </c>
    </row>
    <row r="64" spans="1:298" x14ac:dyDescent="0.25">
      <c r="A64" s="8"/>
      <c r="B64" s="5" t="s">
        <v>61</v>
      </c>
      <c r="C64" s="8"/>
      <c r="D64" s="9"/>
      <c r="E64" s="9"/>
      <c r="F64" s="9"/>
      <c r="G64" s="9"/>
      <c r="H64" s="9"/>
      <c r="I64" s="9"/>
      <c r="J64" s="9"/>
      <c r="K64" s="9"/>
      <c r="L64" s="6" t="str">
        <f>INDEX(($AB$89:$AB$98),MATCH(I50,$Y$89:$Y$98,0),1,1)</f>
        <v>SAM8X25E</v>
      </c>
      <c r="M64" s="11">
        <f>INDEX(cenník!$C$2:$I$568,MATCH($L64,cenník!$B$2:$B$557,0),MATCH(M$2,cenník!$C$1:$I$1,0))</f>
        <v>898525</v>
      </c>
      <c r="N64" s="11" t="str">
        <f>INDEX(cenník!$C$2:$I$568,MATCH($L64,cenník!$B$2:$B$557,0),MATCH(N$2,cenník!$C$1:$I$1,0))</f>
        <v>ks</v>
      </c>
      <c r="O64" s="11">
        <f>IF(L64="-------",0,SUM(O62:O63))</f>
        <v>0</v>
      </c>
      <c r="P64" s="36">
        <f>INDEX(cenník!$C$2:$I$568,MATCH($L64,cenník!$B$2:$B$557,0),MATCH(P$2,cenník!$C$1:$I$1,0))</f>
        <v>0.16</v>
      </c>
      <c r="Q64" s="36">
        <f t="shared" si="92"/>
        <v>0</v>
      </c>
      <c r="R64" s="37">
        <f t="shared" si="90"/>
        <v>0</v>
      </c>
      <c r="S64" s="36">
        <f t="shared" si="91"/>
        <v>0.16</v>
      </c>
      <c r="T64" s="36">
        <f t="shared" si="93"/>
        <v>0</v>
      </c>
      <c r="U64" s="36">
        <f>INDEX(cenník!$C$2:$I$568,MATCH($L64,cenník!$B$2:$B$557,0),MATCH(U$2,cenník!$C$1:$I$1,0))*O64</f>
        <v>0</v>
      </c>
      <c r="V64" s="72"/>
      <c r="W64" s="82" t="s">
        <v>132</v>
      </c>
      <c r="X64" s="82" t="s">
        <v>133</v>
      </c>
      <c r="Y64" s="72"/>
      <c r="Z64" s="82" t="s">
        <v>94</v>
      </c>
      <c r="AA64" s="82">
        <v>1.1499999999999999</v>
      </c>
      <c r="AB64" s="82">
        <v>2.1</v>
      </c>
      <c r="AC64" s="82">
        <v>2.2000000000000002</v>
      </c>
      <c r="AD64" s="82">
        <v>3.15</v>
      </c>
      <c r="AE64" s="82">
        <v>3.3</v>
      </c>
      <c r="AJ64" s="72"/>
      <c r="AK64" s="72"/>
      <c r="AL64" s="72" t="s">
        <v>179</v>
      </c>
      <c r="AM64" s="72">
        <v>0</v>
      </c>
      <c r="AN64" s="72">
        <f>((((SUM(AN59:AN63))/2)-1))*4</f>
        <v>0</v>
      </c>
      <c r="AO64" s="72">
        <f>((((SUM(AO59:AO63))/2)-1))*4</f>
        <v>4</v>
      </c>
      <c r="AP64" s="72">
        <f t="shared" ref="AP64:CK64" si="95">((((SUM(AP59:AP63))/2)-1))*4</f>
        <v>4</v>
      </c>
      <c r="AQ64" s="72">
        <f t="shared" si="95"/>
        <v>8</v>
      </c>
      <c r="AR64" s="72">
        <f t="shared" si="95"/>
        <v>8</v>
      </c>
      <c r="AS64" s="72">
        <f t="shared" si="95"/>
        <v>12</v>
      </c>
      <c r="AT64" s="72">
        <f t="shared" si="95"/>
        <v>12</v>
      </c>
      <c r="AU64" s="72">
        <f t="shared" si="95"/>
        <v>16</v>
      </c>
      <c r="AV64" s="72">
        <f t="shared" si="95"/>
        <v>16</v>
      </c>
      <c r="AW64" s="72">
        <f t="shared" si="95"/>
        <v>20</v>
      </c>
      <c r="AX64" s="72">
        <f t="shared" si="95"/>
        <v>20</v>
      </c>
      <c r="AY64" s="72">
        <f t="shared" si="95"/>
        <v>24</v>
      </c>
      <c r="AZ64" s="72">
        <f t="shared" si="95"/>
        <v>24</v>
      </c>
      <c r="BA64" s="72">
        <f t="shared" si="95"/>
        <v>28</v>
      </c>
      <c r="BB64" s="72">
        <f t="shared" si="95"/>
        <v>32</v>
      </c>
      <c r="BC64" s="72">
        <f t="shared" si="95"/>
        <v>32</v>
      </c>
      <c r="BD64" s="72">
        <f t="shared" si="95"/>
        <v>36</v>
      </c>
      <c r="BE64" s="72">
        <f t="shared" si="95"/>
        <v>36</v>
      </c>
      <c r="BF64" s="72">
        <f t="shared" si="95"/>
        <v>40</v>
      </c>
      <c r="BG64" s="72">
        <f t="shared" si="95"/>
        <v>40</v>
      </c>
      <c r="BH64" s="72">
        <f t="shared" si="95"/>
        <v>44</v>
      </c>
      <c r="BI64" s="72">
        <f t="shared" si="95"/>
        <v>44</v>
      </c>
      <c r="BJ64" s="72">
        <f t="shared" si="95"/>
        <v>48</v>
      </c>
      <c r="BK64" s="72">
        <f t="shared" si="95"/>
        <v>48</v>
      </c>
      <c r="BL64" s="72">
        <f t="shared" si="95"/>
        <v>52</v>
      </c>
      <c r="BM64" s="72">
        <f t="shared" si="95"/>
        <v>52</v>
      </c>
      <c r="BN64" s="72">
        <f t="shared" si="95"/>
        <v>56</v>
      </c>
      <c r="BO64" s="72">
        <f t="shared" si="95"/>
        <v>60</v>
      </c>
      <c r="BP64" s="72">
        <f t="shared" si="95"/>
        <v>60</v>
      </c>
      <c r="BQ64" s="72">
        <f t="shared" si="95"/>
        <v>64</v>
      </c>
      <c r="BR64" s="72">
        <f t="shared" si="95"/>
        <v>64</v>
      </c>
      <c r="BS64" s="72">
        <f t="shared" si="95"/>
        <v>68</v>
      </c>
      <c r="BT64" s="72">
        <f t="shared" si="95"/>
        <v>68</v>
      </c>
      <c r="BU64" s="72">
        <f t="shared" si="95"/>
        <v>72</v>
      </c>
      <c r="BV64" s="72">
        <f t="shared" si="95"/>
        <v>72</v>
      </c>
      <c r="BW64" s="72">
        <f t="shared" si="95"/>
        <v>76</v>
      </c>
      <c r="BX64" s="72">
        <f t="shared" si="95"/>
        <v>76</v>
      </c>
      <c r="BY64" s="72">
        <f t="shared" si="95"/>
        <v>80</v>
      </c>
      <c r="BZ64" s="72">
        <f t="shared" si="95"/>
        <v>80</v>
      </c>
      <c r="CA64" s="72">
        <f t="shared" si="95"/>
        <v>84</v>
      </c>
      <c r="CB64" s="72">
        <f t="shared" si="95"/>
        <v>88</v>
      </c>
      <c r="CC64" s="72">
        <f t="shared" si="95"/>
        <v>88</v>
      </c>
      <c r="CD64" s="72">
        <f t="shared" si="95"/>
        <v>92</v>
      </c>
      <c r="CE64" s="72">
        <f t="shared" si="95"/>
        <v>92</v>
      </c>
      <c r="CF64" s="72">
        <f t="shared" si="95"/>
        <v>96</v>
      </c>
      <c r="CG64" s="72">
        <f t="shared" si="95"/>
        <v>96</v>
      </c>
      <c r="CH64" s="72">
        <f t="shared" si="95"/>
        <v>100</v>
      </c>
      <c r="CI64" s="72">
        <f t="shared" si="95"/>
        <v>100</v>
      </c>
      <c r="CJ64" s="72">
        <f t="shared" si="95"/>
        <v>104</v>
      </c>
      <c r="CK64" s="72">
        <f t="shared" si="95"/>
        <v>104</v>
      </c>
      <c r="CL64" s="72"/>
      <c r="CM64" s="72" t="s">
        <v>101</v>
      </c>
      <c r="CN64" s="72">
        <v>0</v>
      </c>
      <c r="CO64" s="72">
        <v>0</v>
      </c>
      <c r="CP64" s="72">
        <v>2</v>
      </c>
      <c r="CQ64" s="72">
        <v>2</v>
      </c>
      <c r="CR64" s="72">
        <v>2</v>
      </c>
      <c r="CS64" s="72">
        <v>2</v>
      </c>
      <c r="CT64" s="72">
        <v>4</v>
      </c>
      <c r="CU64" s="72">
        <v>2</v>
      </c>
      <c r="CV64" s="72">
        <v>4</v>
      </c>
      <c r="CW64" s="72">
        <v>6</v>
      </c>
      <c r="CX64" s="72">
        <v>4</v>
      </c>
      <c r="CY64" s="72">
        <v>6</v>
      </c>
      <c r="CZ64" s="72">
        <v>8</v>
      </c>
      <c r="DA64" s="72">
        <v>6</v>
      </c>
      <c r="DB64" s="72">
        <v>8</v>
      </c>
      <c r="DC64" s="72">
        <v>10</v>
      </c>
      <c r="DD64" s="72">
        <v>8</v>
      </c>
      <c r="DE64" s="72">
        <v>10</v>
      </c>
      <c r="DF64" s="72">
        <v>12</v>
      </c>
      <c r="DG64" s="72">
        <v>10</v>
      </c>
      <c r="DH64" s="72">
        <v>12</v>
      </c>
      <c r="DI64" s="72"/>
      <c r="DJ64" s="72"/>
      <c r="DK64" s="72"/>
      <c r="DL64" s="72"/>
      <c r="DM64" s="72" t="s">
        <v>59</v>
      </c>
      <c r="DN64" s="72"/>
      <c r="DO64" s="72"/>
      <c r="DP64" s="72"/>
      <c r="DQ64" s="72"/>
      <c r="DR64" s="72"/>
      <c r="DS64" s="72"/>
      <c r="DT64" s="72"/>
      <c r="DU64" s="72"/>
      <c r="DV64" s="72"/>
      <c r="DW64" s="72"/>
      <c r="DX64" s="72"/>
      <c r="DY64" s="72"/>
      <c r="DZ64" s="81"/>
      <c r="EA64" s="81"/>
      <c r="EB64" s="81"/>
      <c r="EC64" s="72"/>
      <c r="ED64" s="72"/>
      <c r="EE64" s="72"/>
      <c r="EF64" s="72"/>
      <c r="EG64" s="72"/>
      <c r="EH64" s="72"/>
      <c r="EI64" s="72"/>
      <c r="EJ64" s="72"/>
      <c r="EK64" s="72"/>
      <c r="EL64" s="72"/>
      <c r="EM64" s="72"/>
      <c r="EN64" s="72"/>
      <c r="EO64" s="72"/>
      <c r="EP64" s="72"/>
      <c r="EQ64" s="72"/>
      <c r="ER64" s="72"/>
      <c r="ES64" s="72"/>
      <c r="ET64" s="72"/>
      <c r="EU64" s="72"/>
      <c r="EV64" s="72" t="s">
        <v>57</v>
      </c>
      <c r="EW64" s="72"/>
      <c r="EX64" s="72"/>
      <c r="EY64" s="72"/>
      <c r="EZ64" s="72"/>
      <c r="FA64" s="72"/>
      <c r="FB64" s="72"/>
      <c r="FC64" s="72"/>
      <c r="FD64" s="72"/>
      <c r="FE64" s="72"/>
      <c r="FF64" s="72"/>
      <c r="FG64" s="72"/>
      <c r="FH64" s="72"/>
      <c r="FU64" s="72"/>
      <c r="GH64" s="72"/>
      <c r="GI64" s="72"/>
      <c r="GJ64" s="72"/>
      <c r="GK64" s="72"/>
      <c r="GL64" s="72"/>
      <c r="GM64" s="72"/>
      <c r="GN64" s="72"/>
      <c r="GO64" s="72"/>
      <c r="GP64" s="72"/>
      <c r="GQ64" s="72"/>
      <c r="GR64" s="72"/>
      <c r="GS64" s="72"/>
      <c r="GT64" s="72"/>
      <c r="GU64" s="72"/>
      <c r="GV64" s="72"/>
      <c r="GW64" s="72"/>
      <c r="GX64" s="72">
        <v>3300</v>
      </c>
      <c r="GY64" s="72">
        <v>12</v>
      </c>
      <c r="GZ64" s="72">
        <f>GX64*GY64</f>
        <v>39600</v>
      </c>
      <c r="HA64" s="106">
        <v>70.11</v>
      </c>
      <c r="HB64" s="72">
        <f>GY64*HA64</f>
        <v>841.31999999999994</v>
      </c>
      <c r="HC64" s="72">
        <f>2*GY64</f>
        <v>24</v>
      </c>
      <c r="HW64" s="64">
        <v>0</v>
      </c>
      <c r="HX64" s="64">
        <v>1</v>
      </c>
      <c r="HY64" s="64">
        <v>2</v>
      </c>
      <c r="HZ64" s="64">
        <v>3</v>
      </c>
      <c r="IA64" s="64">
        <v>4</v>
      </c>
      <c r="IB64" s="64">
        <v>5</v>
      </c>
      <c r="IC64" s="64">
        <v>6</v>
      </c>
      <c r="ID64" s="64">
        <v>7</v>
      </c>
      <c r="IE64" s="64">
        <v>8</v>
      </c>
      <c r="IF64" s="64">
        <v>9</v>
      </c>
      <c r="IG64" s="64">
        <v>10</v>
      </c>
      <c r="IH64" s="64">
        <v>11</v>
      </c>
      <c r="II64" s="64">
        <v>12</v>
      </c>
      <c r="IJ64" s="64">
        <v>13</v>
      </c>
      <c r="IK64" s="64">
        <v>14</v>
      </c>
      <c r="IL64" s="64">
        <v>15</v>
      </c>
      <c r="IM64" s="64">
        <v>16</v>
      </c>
      <c r="IN64" s="64">
        <v>17</v>
      </c>
      <c r="IO64" s="64">
        <v>18</v>
      </c>
      <c r="IP64" s="64">
        <v>19</v>
      </c>
      <c r="IQ64" s="64">
        <v>20</v>
      </c>
      <c r="IT64" s="64">
        <f t="shared" si="42"/>
        <v>0</v>
      </c>
      <c r="IU64" s="64">
        <f t="shared" si="43"/>
        <v>2</v>
      </c>
      <c r="IV64" s="64">
        <f t="shared" si="44"/>
        <v>4</v>
      </c>
      <c r="IW64" s="64">
        <f t="shared" si="45"/>
        <v>6</v>
      </c>
      <c r="IX64" s="64">
        <f t="shared" si="46"/>
        <v>8</v>
      </c>
      <c r="IY64" s="64">
        <f t="shared" si="47"/>
        <v>10</v>
      </c>
      <c r="IZ64" s="64">
        <f t="shared" si="48"/>
        <v>12</v>
      </c>
      <c r="JA64" s="64">
        <f t="shared" si="49"/>
        <v>14</v>
      </c>
      <c r="JB64" s="64">
        <f t="shared" si="50"/>
        <v>16</v>
      </c>
      <c r="JC64" s="64">
        <f t="shared" si="51"/>
        <v>18</v>
      </c>
      <c r="JD64" s="64">
        <f t="shared" si="52"/>
        <v>20</v>
      </c>
      <c r="JE64" s="64">
        <f t="shared" si="53"/>
        <v>22</v>
      </c>
      <c r="JF64" s="64">
        <f t="shared" si="54"/>
        <v>24</v>
      </c>
      <c r="JG64" s="64">
        <f t="shared" si="55"/>
        <v>26</v>
      </c>
      <c r="JH64" s="64">
        <f t="shared" si="56"/>
        <v>28</v>
      </c>
      <c r="JI64" s="64">
        <f t="shared" si="57"/>
        <v>30</v>
      </c>
      <c r="JJ64" s="64">
        <f t="shared" si="58"/>
        <v>32</v>
      </c>
      <c r="JK64" s="64">
        <f t="shared" si="59"/>
        <v>34</v>
      </c>
      <c r="JL64" s="64">
        <f t="shared" si="60"/>
        <v>36</v>
      </c>
      <c r="JM64" s="64">
        <f t="shared" si="61"/>
        <v>38</v>
      </c>
      <c r="JN64" s="64">
        <f t="shared" si="62"/>
        <v>40</v>
      </c>
    </row>
    <row r="65" spans="1:277" x14ac:dyDescent="0.25">
      <c r="A65" s="9"/>
      <c r="B65" s="6"/>
      <c r="C65" s="9"/>
      <c r="D65" s="9"/>
      <c r="E65" s="9"/>
      <c r="F65" s="9"/>
      <c r="G65" s="9"/>
      <c r="H65" s="9"/>
      <c r="I65" s="9"/>
      <c r="J65" s="9"/>
      <c r="K65" s="9"/>
      <c r="L65" s="15" t="s">
        <v>129</v>
      </c>
      <c r="M65" s="11">
        <f>INDEX(cenník!$C$2:$I$568,MATCH($L65,cenník!$B$2:$B$557,0),MATCH(M$2,cenník!$C$1:$I$1,0))</f>
        <v>890101</v>
      </c>
      <c r="N65" s="11" t="str">
        <f>INDEX(cenník!$C$2:$I$568,MATCH($L65,cenník!$B$2:$B$557,0),MATCH(N$2,cenník!$C$1:$I$1,0))</f>
        <v>ks</v>
      </c>
      <c r="O65" s="10">
        <f>SUM(O62:O63)</f>
        <v>0</v>
      </c>
      <c r="P65" s="36">
        <f>INDEX(cenník!$C$2:$I$568,MATCH($L65,cenník!$B$2:$B$557,0),MATCH(P$2,cenník!$C$1:$I$1,0))</f>
        <v>0.78</v>
      </c>
      <c r="Q65" s="12">
        <f t="shared" si="92"/>
        <v>0</v>
      </c>
      <c r="R65" s="13">
        <f t="shared" si="90"/>
        <v>0</v>
      </c>
      <c r="S65" s="36">
        <f t="shared" si="91"/>
        <v>0.78</v>
      </c>
      <c r="T65" s="12">
        <f t="shared" si="93"/>
        <v>0</v>
      </c>
      <c r="U65" s="36">
        <f>INDEX(cenník!$C$2:$I$568,MATCH($L65,cenník!$B$2:$B$557,0),MATCH(U$2,cenník!$C$1:$I$1,0))*O65</f>
        <v>0</v>
      </c>
      <c r="V65" s="72"/>
      <c r="W65" s="85">
        <f t="shared" ref="W65:W80" si="96">(IF(((INT((((A76)*(IF($G$77=$X$26,$Y$26,IF($G$77=$X$27,$Y$27,IF($G$77=$X$28,$Y$28,IF($G$77=$X$29,$Y$29,0))))))+(((A76)-1)*20))/$E$85))*$E$85)+600&gt;((A76)*(IF($G$77=$X$26,$Y$26,IF($G$77=$X$27,$Y$27,IF($G$77=$X$28,$Y$28,IF($G$77=$X$29,$Y$29,0))))))+(((A76)-1)*20),(INT((((A76)*(IF($G$77=$X$26,$Y$26,IF($G$77=$X$27,$Y$27,IF($G$77=$X$28,$Y$28,IF($G$77=$X$29,$Y$29,0))))))+(((A76)-1)*20))/$E$85))+1,IF(((INT((((A76)*(IF($G$77=$X$26,$Y$26,IF($G$77=$X$27,$Y$27,IF($G$77=$X$28,$Y$28,IF($G$77=$X$29,$Y$29,0))))))+(((A76)-1)*20))/$E$85))*$E$85)+600&lt;((A76)*(IF($G$77=$X$26,$Y$26,IF($G$77=$X$27,$Y$27,IF($G$77=$X$28,$Y$28,IF($G$77=$X$29,$Y$29,0))))))+(((A76)-1)*20),(INT((((A76)*(IF($G$77=$X$26,$Y$26,IF($G$77=$X$27,$Y$27,IF($G$77=$X$28,$Y$28,IF($G$77=$X$29,$Y$29,0))))))+(((A76)-1)*20))/$E$85))+2,0)))*C76</f>
        <v>0</v>
      </c>
      <c r="X65" s="72">
        <f t="shared" ref="X65:X80" si="97">IF(A76=0,0,IF(A76&gt;0,(IF(W65=0,0,IF(W65&gt;0,(INDEX(($CN$45:$DX$45),MATCH($L$85,$CM$45,0),MATCH(W65/C76,$CN$44:$DX$44,0),1)*C76)))),0))</f>
        <v>0</v>
      </c>
      <c r="Y65" s="72"/>
      <c r="Z65" s="72">
        <f>(INDEX(($AM$4:$CK$9,$AM$13:$CK$18,$AM$22:$CK$27,$AM$31:$CK$36),MATCH($L$82,$AL$4:$AL$9,0),MATCH(A76,$AM$3:$CK$3,0),MATCH($G$77,$X$26:$X$29,0)))*C76</f>
        <v>0</v>
      </c>
      <c r="AA65" s="72">
        <f>(INDEX(($AM$4:$CK$9,$AM$13:$CK$18,$AM$22:$CK$27,$AM$31:$CK$36),MATCH($L$77,$AL$4:$AL$9,0),MATCH(A76,$AM$3:$CK$3,0),MATCH($G$77,$X$26:$X$29,0)))*C76</f>
        <v>0</v>
      </c>
      <c r="AB65" s="72">
        <f>(INDEX(($AM$4:$CK$9,$AM$13:$CK$18,$AM$22:$CK$27,$AM$31:$CK$36),MATCH($L$78,$AL$4:$AL$9,0),MATCH(A76,$AM$3:$CK$3,0),MATCH($G$77,$X$26:$X$29,0)))*C76</f>
        <v>0</v>
      </c>
      <c r="AC65" s="72">
        <f>(INDEX(($AM$4:$CK$9,$AM$13:$CK$18,$AM$22:$CK$27,$AM$31:$CK$36),MATCH($L$79,$AL$4:$AL$9,0),MATCH(A76,$AM$3:$CK$3,0),MATCH($G$77,$X$26:$X$29,0)))*C76</f>
        <v>0</v>
      </c>
      <c r="AD65" s="72">
        <f>(INDEX(($AM$4:$CK$9,$AM$13:$CK$18,$AM$22:$CK$27,$AM$31:$CK$36),MATCH($L$80,$AL$4:$AL$9,0),MATCH(A76,$AM$3:$CK$3,0),MATCH($G$77,$X$26:$X$29,0)))*C76</f>
        <v>0</v>
      </c>
      <c r="AE65" s="72">
        <f>(INDEX(($AM$4:$CK$9,$AM$13:$CK$18,$AM$22:$CK$27,$AM$31:$CK$36),MATCH($L$81,$AL$4:$AL$9,0),MATCH(A76,$AM$3:$CK$3,0),MATCH($G$77,$X$26:$X$29,0)))*C76</f>
        <v>0</v>
      </c>
      <c r="AJ65" s="72"/>
      <c r="AK65" s="72"/>
      <c r="AL65" s="72"/>
      <c r="AM65" s="72"/>
      <c r="AN65" s="72"/>
      <c r="AO65" s="72"/>
      <c r="AP65" s="72"/>
      <c r="AQ65" s="72"/>
      <c r="AR65" s="72"/>
      <c r="AS65" s="72"/>
      <c r="AT65" s="72"/>
      <c r="AU65" s="72"/>
      <c r="AV65" s="72"/>
      <c r="AW65" s="72"/>
      <c r="AX65" s="72"/>
      <c r="AY65" s="72"/>
      <c r="AZ65" s="72"/>
      <c r="BA65" s="72"/>
      <c r="BB65" s="72"/>
      <c r="BC65" s="72"/>
      <c r="BD65" s="72"/>
      <c r="BE65" s="72"/>
      <c r="BF65" s="72"/>
      <c r="BG65" s="72"/>
      <c r="BH65" s="72"/>
      <c r="BI65" s="72"/>
      <c r="BJ65" s="72"/>
      <c r="BK65" s="72"/>
      <c r="BL65" s="72"/>
      <c r="BM65" s="72"/>
      <c r="BN65" s="72"/>
      <c r="BO65" s="72"/>
      <c r="BP65" s="72"/>
      <c r="BQ65" s="72"/>
      <c r="BR65" s="72"/>
      <c r="BS65" s="72"/>
      <c r="BT65" s="72"/>
      <c r="BU65" s="72"/>
      <c r="BV65" s="72"/>
      <c r="BW65" s="72"/>
      <c r="BX65" s="72"/>
      <c r="BY65" s="72"/>
      <c r="BZ65" s="72"/>
      <c r="CA65" s="72"/>
      <c r="CB65" s="72"/>
      <c r="CC65" s="72"/>
      <c r="CD65" s="72"/>
      <c r="CE65" s="72"/>
      <c r="CF65" s="72"/>
      <c r="CG65" s="72"/>
      <c r="CH65" s="72"/>
      <c r="CI65" s="72"/>
      <c r="CJ65" s="72"/>
      <c r="CK65" s="72"/>
      <c r="CL65" s="72"/>
      <c r="CM65" s="72" t="s">
        <v>10</v>
      </c>
      <c r="CN65" s="72">
        <v>0</v>
      </c>
      <c r="CO65" s="72">
        <v>0</v>
      </c>
      <c r="CP65" s="72">
        <v>0</v>
      </c>
      <c r="CQ65" s="72">
        <v>0</v>
      </c>
      <c r="CR65" s="72">
        <v>2</v>
      </c>
      <c r="CS65" s="72">
        <v>2</v>
      </c>
      <c r="CT65" s="72">
        <v>2</v>
      </c>
      <c r="CU65" s="72">
        <v>4</v>
      </c>
      <c r="CV65" s="72">
        <v>4</v>
      </c>
      <c r="CW65" s="72">
        <v>4</v>
      </c>
      <c r="CX65" s="72">
        <v>6</v>
      </c>
      <c r="CY65" s="72">
        <v>6</v>
      </c>
      <c r="CZ65" s="72">
        <v>6</v>
      </c>
      <c r="DA65" s="72">
        <v>8</v>
      </c>
      <c r="DB65" s="72">
        <v>8</v>
      </c>
      <c r="DC65" s="72">
        <v>8</v>
      </c>
      <c r="DD65" s="72">
        <v>10</v>
      </c>
      <c r="DE65" s="72">
        <v>10</v>
      </c>
      <c r="DF65" s="72">
        <v>10</v>
      </c>
      <c r="DG65" s="72">
        <v>12</v>
      </c>
      <c r="DH65" s="72">
        <v>12</v>
      </c>
      <c r="DI65" s="72"/>
      <c r="DJ65" s="72"/>
      <c r="DK65" s="72"/>
      <c r="DL65" s="72"/>
      <c r="DM65" s="72"/>
      <c r="DN65" s="72">
        <v>0</v>
      </c>
      <c r="DO65" s="72">
        <v>1</v>
      </c>
      <c r="DP65" s="72">
        <v>2</v>
      </c>
      <c r="DQ65" s="72">
        <v>3</v>
      </c>
      <c r="DR65" s="72">
        <v>4</v>
      </c>
      <c r="DS65" s="72">
        <v>5</v>
      </c>
      <c r="DT65" s="72">
        <v>6</v>
      </c>
      <c r="DU65" s="72">
        <v>7</v>
      </c>
      <c r="DV65" s="72">
        <v>8</v>
      </c>
      <c r="DW65" s="72">
        <v>9</v>
      </c>
      <c r="DX65" s="72">
        <v>10</v>
      </c>
      <c r="DY65" s="72">
        <v>11</v>
      </c>
      <c r="DZ65" s="81">
        <v>12</v>
      </c>
      <c r="EA65" s="81">
        <v>13</v>
      </c>
      <c r="EB65" s="81">
        <v>14</v>
      </c>
      <c r="EC65" s="72">
        <v>15</v>
      </c>
      <c r="ED65" s="72">
        <v>16</v>
      </c>
      <c r="EE65" s="72">
        <v>17</v>
      </c>
      <c r="EF65" s="72">
        <v>18</v>
      </c>
      <c r="EG65" s="72">
        <v>19</v>
      </c>
      <c r="EH65" s="72">
        <v>20</v>
      </c>
      <c r="EI65" s="72"/>
      <c r="EJ65" s="72"/>
      <c r="EK65" s="72"/>
      <c r="EL65" s="72"/>
      <c r="EM65" s="72"/>
      <c r="EN65" s="72"/>
      <c r="EO65" s="72"/>
      <c r="EP65" s="72"/>
      <c r="EQ65" s="72"/>
      <c r="ER65" s="72"/>
      <c r="ES65" s="72"/>
      <c r="ET65" s="72"/>
      <c r="EU65" s="72"/>
      <c r="EV65" s="72"/>
      <c r="EW65" s="72">
        <v>0</v>
      </c>
      <c r="EX65" s="72">
        <v>1</v>
      </c>
      <c r="EY65" s="72">
        <v>2</v>
      </c>
      <c r="EZ65" s="72">
        <v>3</v>
      </c>
      <c r="FA65" s="72">
        <v>4</v>
      </c>
      <c r="FB65" s="72">
        <v>5</v>
      </c>
      <c r="FC65" s="72">
        <v>6</v>
      </c>
      <c r="FD65" s="72">
        <v>7</v>
      </c>
      <c r="FE65" s="72">
        <v>8</v>
      </c>
      <c r="FF65" s="72">
        <v>9</v>
      </c>
      <c r="FG65" s="72">
        <v>10</v>
      </c>
      <c r="FH65" s="72"/>
      <c r="FI65" s="72" t="s">
        <v>196</v>
      </c>
      <c r="FJ65" s="72"/>
      <c r="FK65" s="72"/>
      <c r="FL65" s="72"/>
      <c r="FM65" s="72"/>
      <c r="FN65" s="72"/>
      <c r="FO65" s="72"/>
      <c r="FP65" s="72"/>
      <c r="FQ65" s="72"/>
      <c r="FR65" s="72"/>
      <c r="FS65" s="72"/>
      <c r="FT65" s="72"/>
      <c r="FU65" s="72"/>
      <c r="FV65" s="72" t="s">
        <v>72</v>
      </c>
      <c r="FW65" s="72"/>
      <c r="FX65" s="72"/>
      <c r="FY65" s="72"/>
      <c r="FZ65" s="72"/>
      <c r="GA65" s="72"/>
      <c r="GB65" s="72"/>
      <c r="GC65" s="72"/>
      <c r="GD65" s="72"/>
      <c r="GE65" s="72"/>
      <c r="GF65" s="72"/>
      <c r="GG65" s="72"/>
      <c r="GH65" s="72"/>
      <c r="GI65" s="72"/>
      <c r="GJ65" s="72"/>
      <c r="GK65" s="72"/>
      <c r="GL65" s="72"/>
      <c r="GM65" s="72"/>
      <c r="GN65" s="72"/>
      <c r="GO65" s="72"/>
      <c r="GP65" s="72"/>
      <c r="GQ65" s="72"/>
      <c r="GR65" s="72"/>
      <c r="GS65" s="72"/>
      <c r="GT65" s="72"/>
      <c r="GU65" s="72"/>
      <c r="GV65" s="72"/>
      <c r="GW65" s="72"/>
      <c r="GX65" s="72" t="s">
        <v>87</v>
      </c>
      <c r="GY65" s="72">
        <f>((((SUM(GY63:GY64)))-1))</f>
        <v>13</v>
      </c>
      <c r="GZ65" s="106">
        <v>3.92</v>
      </c>
      <c r="HA65" s="106"/>
      <c r="HB65" s="72">
        <f>GY65*GZ65</f>
        <v>50.96</v>
      </c>
      <c r="HC65" s="72">
        <f>GY65*2</f>
        <v>26</v>
      </c>
      <c r="HV65" s="64" t="s">
        <v>380</v>
      </c>
      <c r="HW65" s="64">
        <v>0</v>
      </c>
      <c r="HX65" s="64">
        <v>2</v>
      </c>
      <c r="HY65" s="64">
        <v>2</v>
      </c>
      <c r="HZ65" s="64">
        <v>0</v>
      </c>
      <c r="IA65" s="64">
        <v>2</v>
      </c>
      <c r="IB65" s="64">
        <v>4</v>
      </c>
      <c r="IC65" s="64">
        <v>0</v>
      </c>
      <c r="ID65" s="64">
        <v>2</v>
      </c>
      <c r="IE65" s="64">
        <v>4</v>
      </c>
      <c r="IF65" s="64">
        <v>0</v>
      </c>
      <c r="IG65" s="64">
        <v>2</v>
      </c>
      <c r="IH65" s="64">
        <v>4</v>
      </c>
      <c r="II65" s="64">
        <v>0</v>
      </c>
      <c r="IJ65" s="64">
        <v>2</v>
      </c>
      <c r="IK65" s="64">
        <v>4</v>
      </c>
      <c r="IL65" s="64">
        <v>0</v>
      </c>
      <c r="IM65" s="64">
        <v>2</v>
      </c>
      <c r="IN65" s="64">
        <v>4</v>
      </c>
      <c r="IO65" s="64">
        <v>0</v>
      </c>
      <c r="IP65" s="64">
        <v>2</v>
      </c>
      <c r="IQ65" s="64">
        <v>0</v>
      </c>
      <c r="IS65" s="64" t="s">
        <v>380</v>
      </c>
      <c r="IT65" s="64">
        <f t="shared" si="42"/>
        <v>0</v>
      </c>
      <c r="IU65" s="64">
        <f t="shared" si="43"/>
        <v>4</v>
      </c>
      <c r="IV65" s="64">
        <f t="shared" si="44"/>
        <v>4</v>
      </c>
      <c r="IW65" s="64">
        <f t="shared" si="45"/>
        <v>0</v>
      </c>
      <c r="IX65" s="64">
        <f t="shared" si="46"/>
        <v>4</v>
      </c>
      <c r="IY65" s="64">
        <f t="shared" si="47"/>
        <v>8</v>
      </c>
      <c r="IZ65" s="64">
        <f t="shared" si="48"/>
        <v>0</v>
      </c>
      <c r="JA65" s="64">
        <f t="shared" si="49"/>
        <v>4</v>
      </c>
      <c r="JB65" s="64">
        <f t="shared" si="50"/>
        <v>8</v>
      </c>
      <c r="JC65" s="64">
        <f t="shared" si="51"/>
        <v>0</v>
      </c>
      <c r="JD65" s="64">
        <f t="shared" si="52"/>
        <v>4</v>
      </c>
      <c r="JE65" s="64">
        <f t="shared" si="53"/>
        <v>8</v>
      </c>
      <c r="JF65" s="64">
        <f t="shared" si="54"/>
        <v>0</v>
      </c>
      <c r="JG65" s="64">
        <f t="shared" si="55"/>
        <v>4</v>
      </c>
      <c r="JH65" s="64">
        <f t="shared" si="56"/>
        <v>8</v>
      </c>
      <c r="JI65" s="64">
        <f t="shared" si="57"/>
        <v>0</v>
      </c>
      <c r="JJ65" s="64">
        <f t="shared" si="58"/>
        <v>4</v>
      </c>
      <c r="JK65" s="64">
        <f t="shared" si="59"/>
        <v>8</v>
      </c>
      <c r="JL65" s="64">
        <f t="shared" si="60"/>
        <v>0</v>
      </c>
      <c r="JM65" s="64">
        <f t="shared" si="61"/>
        <v>4</v>
      </c>
      <c r="JN65" s="64">
        <f t="shared" si="62"/>
        <v>0</v>
      </c>
    </row>
    <row r="66" spans="1:277" x14ac:dyDescent="0.25">
      <c r="A66" s="9"/>
      <c r="B66" s="9"/>
      <c r="C66" s="9"/>
      <c r="D66" s="9"/>
      <c r="E66" s="9"/>
      <c r="F66" s="9"/>
      <c r="G66" s="9"/>
      <c r="H66" s="9"/>
      <c r="I66" s="9"/>
      <c r="J66" s="9"/>
      <c r="K66" s="9"/>
      <c r="L66" s="6" t="str">
        <f>IF(E52="zaťažená","SBV250X350",IF(E52="kotvená","SBV50X500",0))</f>
        <v>SBV250X350</v>
      </c>
      <c r="M66" s="11">
        <f>INDEX(cenník!$C$2:$I$568,MATCH($L66,cenník!$B$2:$B$557,0),MATCH(M$2,cenník!$C$1:$I$1,0))</f>
        <v>895507</v>
      </c>
      <c r="N66" s="11" t="str">
        <f>INDEX(cenník!$C$2:$I$568,MATCH($L66,cenník!$B$2:$B$557,0),MATCH(N$2,cenník!$C$1:$I$1,0))</f>
        <v>ks</v>
      </c>
      <c r="O66" s="11">
        <f>IF(E52=Z2,O59*3,IF(E52=Z3,O59*4,0))</f>
        <v>0</v>
      </c>
      <c r="P66" s="36">
        <f>INDEX(cenník!$C$2:$I$568,MATCH($L66,cenník!$B$2:$B$557,0),MATCH(P$2,cenník!$C$1:$I$1,0))</f>
        <v>1.4</v>
      </c>
      <c r="Q66" s="36">
        <f t="shared" si="92"/>
        <v>0</v>
      </c>
      <c r="R66" s="37">
        <f t="shared" si="90"/>
        <v>0</v>
      </c>
      <c r="S66" s="36">
        <f t="shared" si="91"/>
        <v>1.4</v>
      </c>
      <c r="T66" s="36">
        <f t="shared" si="93"/>
        <v>0</v>
      </c>
      <c r="U66" s="36">
        <f>INDEX(cenník!$C$2:$I$568,MATCH($L66,cenník!$B$2:$B$557,0),MATCH(U$2,cenník!$C$1:$I$1,0))*O66</f>
        <v>0</v>
      </c>
      <c r="V66" s="72"/>
      <c r="W66" s="85">
        <f t="shared" si="96"/>
        <v>0</v>
      </c>
      <c r="X66" s="72">
        <f t="shared" si="97"/>
        <v>0</v>
      </c>
      <c r="Y66" s="72"/>
      <c r="Z66" s="72">
        <f>(INDEX(($AM$4:$CK$9,$AM$13:$CK$18,$AM$22:$CK$27,$AM$31:$CK$36),MATCH($L$82,$AL$4:$AL$9,0),MATCH(A77,$AM$3:$CK$3,0),MATCH($G$77,$X$26:$X$29,0)))*C77</f>
        <v>0</v>
      </c>
      <c r="AA66" s="72">
        <f>(INDEX(($AM$4:$CK$9,$AM$13:$CK$18,$AM$22:$CK$27,$AM$31:$CK$36),MATCH($L$77,$AL$4:$AL$9,0),MATCH(A77,$AM$3:$CK$3,0),MATCH($G$77,$X$26:$X$29,0)))*C77</f>
        <v>0</v>
      </c>
      <c r="AB66" s="72">
        <f>(INDEX(($AM$4:$CK$9,$AM$13:$CK$18,$AM$22:$CK$27,$AM$31:$CK$36),MATCH($L$78,$AL$4:$AL$9,0),MATCH(A77,$AM$3:$CK$3,0),MATCH($G$77,$X$26:$X$29,0)))*C77</f>
        <v>0</v>
      </c>
      <c r="AC66" s="72">
        <f>(INDEX(($AM$4:$CK$9,$AM$13:$CK$18,$AM$22:$CK$27,$AM$31:$CK$36),MATCH($L$79,$AL$4:$AL$9,0),MATCH(A77,$AM$3:$CK$3,0),MATCH($G$77,$X$26:$X$29,0)))*C77</f>
        <v>0</v>
      </c>
      <c r="AD66" s="72">
        <f>(INDEX(($AM$4:$CK$9,$AM$13:$CK$18,$AM$22:$CK$27,$AM$31:$CK$36),MATCH($L$80,$AL$4:$AL$9,0),MATCH(A77,$AM$3:$CK$3,0),MATCH($G$77,$X$26:$X$29,0)))*C77</f>
        <v>0</v>
      </c>
      <c r="AE66" s="72">
        <f>(INDEX(($AM$4:$CK$9,$AM$13:$CK$18,$AM$22:$CK$27,$AM$31:$CK$36),MATCH($L$81,$AL$4:$AL$9,0),MATCH(A77,$AM$3:$CK$3,0),MATCH($G$77,$X$26:$X$29,0)))*C77</f>
        <v>0</v>
      </c>
      <c r="AJ66" s="72"/>
      <c r="AK66" s="72"/>
      <c r="AL66" s="72" t="s">
        <v>58</v>
      </c>
      <c r="AM66" s="72"/>
      <c r="AN66" s="72"/>
      <c r="AO66" s="72"/>
      <c r="AP66" s="72"/>
      <c r="AQ66" s="72"/>
      <c r="AR66" s="72"/>
      <c r="AS66" s="72"/>
      <c r="AT66" s="72"/>
      <c r="AU66" s="72"/>
      <c r="AV66" s="72"/>
      <c r="AW66" s="72"/>
      <c r="AX66" s="72"/>
      <c r="AY66" s="72"/>
      <c r="AZ66" s="72"/>
      <c r="BA66" s="72"/>
      <c r="BB66" s="72"/>
      <c r="BC66" s="72"/>
      <c r="BD66" s="72"/>
      <c r="BE66" s="72"/>
      <c r="BF66" s="72"/>
      <c r="BG66" s="72"/>
      <c r="BH66" s="72"/>
      <c r="BI66" s="72"/>
      <c r="BJ66" s="72"/>
      <c r="BK66" s="72"/>
      <c r="BL66" s="72"/>
      <c r="BM66" s="72"/>
      <c r="BN66" s="72"/>
      <c r="BO66" s="72"/>
      <c r="BP66" s="72"/>
      <c r="BQ66" s="72"/>
      <c r="BR66" s="72"/>
      <c r="BS66" s="72"/>
      <c r="BT66" s="72"/>
      <c r="BU66" s="72"/>
      <c r="BV66" s="72"/>
      <c r="BW66" s="72"/>
      <c r="BX66" s="72"/>
      <c r="BY66" s="72"/>
      <c r="BZ66" s="72"/>
      <c r="CA66" s="72"/>
      <c r="CB66" s="72"/>
      <c r="CC66" s="72"/>
      <c r="CD66" s="72"/>
      <c r="CE66" s="72"/>
      <c r="CF66" s="72"/>
      <c r="CG66" s="72"/>
      <c r="CH66" s="72"/>
      <c r="CI66" s="72"/>
      <c r="CJ66" s="72"/>
      <c r="CK66" s="72"/>
      <c r="CL66" s="72"/>
      <c r="CM66" s="72"/>
      <c r="CN66" s="72"/>
      <c r="CO66" s="72"/>
      <c r="CP66" s="72"/>
      <c r="CQ66" s="72"/>
      <c r="CR66" s="72"/>
      <c r="CS66" s="72"/>
      <c r="CT66" s="72"/>
      <c r="CU66" s="72"/>
      <c r="CV66" s="72"/>
      <c r="CW66" s="72"/>
      <c r="CX66" s="72"/>
      <c r="CY66" s="72"/>
      <c r="CZ66" s="72"/>
      <c r="DA66" s="72"/>
      <c r="DB66" s="72"/>
      <c r="DC66" s="72"/>
      <c r="DD66" s="72"/>
      <c r="DE66" s="72"/>
      <c r="DF66" s="72"/>
      <c r="DG66" s="72"/>
      <c r="DH66" s="72"/>
      <c r="DI66" s="72"/>
      <c r="DJ66" s="72"/>
      <c r="DK66" s="72"/>
      <c r="DL66" s="72"/>
      <c r="DM66" s="72" t="s">
        <v>114</v>
      </c>
      <c r="DN66" s="72">
        <v>0</v>
      </c>
      <c r="DO66" s="72">
        <v>2</v>
      </c>
      <c r="DP66" s="72">
        <v>2</v>
      </c>
      <c r="DQ66" s="72">
        <v>0</v>
      </c>
      <c r="DR66" s="72">
        <v>4</v>
      </c>
      <c r="DS66" s="72">
        <v>2</v>
      </c>
      <c r="DT66" s="72">
        <v>0</v>
      </c>
      <c r="DU66" s="72">
        <v>4</v>
      </c>
      <c r="DV66" s="72">
        <v>2</v>
      </c>
      <c r="DW66" s="72">
        <v>0</v>
      </c>
      <c r="DX66" s="72">
        <v>0</v>
      </c>
      <c r="DY66" s="72">
        <v>4</v>
      </c>
      <c r="DZ66" s="81">
        <v>2</v>
      </c>
      <c r="EA66" s="81">
        <v>0</v>
      </c>
      <c r="EB66" s="81">
        <v>4</v>
      </c>
      <c r="EC66" s="72">
        <v>2</v>
      </c>
      <c r="ED66" s="72">
        <v>0</v>
      </c>
      <c r="EE66" s="72">
        <v>0</v>
      </c>
      <c r="EF66" s="72">
        <v>2</v>
      </c>
      <c r="EG66" s="72">
        <v>2</v>
      </c>
      <c r="EH66" s="72">
        <v>0</v>
      </c>
      <c r="EI66" s="72"/>
      <c r="EJ66" s="72"/>
      <c r="EK66" s="72"/>
      <c r="EL66" s="72"/>
      <c r="EM66" s="72"/>
      <c r="EN66" s="72"/>
      <c r="EO66" s="72"/>
      <c r="EP66" s="72"/>
      <c r="EQ66" s="72"/>
      <c r="ER66" s="72"/>
      <c r="ES66" s="72"/>
      <c r="ET66" s="72"/>
      <c r="EU66" s="72"/>
      <c r="EV66" s="72" t="s">
        <v>99</v>
      </c>
      <c r="EW66" s="72">
        <v>0</v>
      </c>
      <c r="EX66" s="72">
        <v>0</v>
      </c>
      <c r="EY66" s="72">
        <v>0</v>
      </c>
      <c r="EZ66" s="72">
        <v>0</v>
      </c>
      <c r="FA66" s="72">
        <v>0</v>
      </c>
      <c r="FB66" s="72">
        <v>0</v>
      </c>
      <c r="FC66" s="72">
        <v>0</v>
      </c>
      <c r="FD66" s="72">
        <v>0</v>
      </c>
      <c r="FE66" s="72">
        <v>0</v>
      </c>
      <c r="FF66" s="72">
        <v>0</v>
      </c>
      <c r="FG66" s="72">
        <v>0</v>
      </c>
      <c r="FH66" s="72"/>
      <c r="FI66" s="72"/>
      <c r="FJ66" s="72">
        <v>0</v>
      </c>
      <c r="FK66" s="72">
        <v>1</v>
      </c>
      <c r="FL66" s="72">
        <v>2</v>
      </c>
      <c r="FM66" s="72">
        <v>3</v>
      </c>
      <c r="FN66" s="72">
        <v>4</v>
      </c>
      <c r="FO66" s="72">
        <v>5</v>
      </c>
      <c r="FP66" s="72">
        <v>6</v>
      </c>
      <c r="FQ66" s="72">
        <v>7</v>
      </c>
      <c r="FR66" s="72">
        <v>8</v>
      </c>
      <c r="FS66" s="72">
        <v>9</v>
      </c>
      <c r="FT66" s="72">
        <v>10</v>
      </c>
      <c r="FU66" s="72"/>
      <c r="FV66" s="72"/>
      <c r="FW66" s="72">
        <v>0</v>
      </c>
      <c r="FX66" s="72">
        <v>1</v>
      </c>
      <c r="FY66" s="72">
        <v>2</v>
      </c>
      <c r="FZ66" s="72">
        <v>3</v>
      </c>
      <c r="GA66" s="72">
        <v>4</v>
      </c>
      <c r="GB66" s="72">
        <v>5</v>
      </c>
      <c r="GC66" s="72">
        <v>6</v>
      </c>
      <c r="GD66" s="72">
        <v>7</v>
      </c>
      <c r="GE66" s="72">
        <v>8</v>
      </c>
      <c r="GF66" s="72">
        <v>9</v>
      </c>
      <c r="GG66" s="72">
        <v>10</v>
      </c>
      <c r="GH66" s="72"/>
      <c r="GI66" s="72"/>
      <c r="GJ66" s="72"/>
      <c r="GK66" s="72"/>
      <c r="GL66" s="72"/>
      <c r="GM66" s="72"/>
      <c r="GN66" s="72"/>
      <c r="GO66" s="72"/>
      <c r="GP66" s="72"/>
      <c r="GQ66" s="72"/>
      <c r="GR66" s="72"/>
      <c r="GS66" s="72"/>
      <c r="GT66" s="72"/>
      <c r="GU66" s="72"/>
      <c r="GV66" s="72"/>
      <c r="GW66" s="72"/>
      <c r="GX66" s="72"/>
      <c r="GY66" s="72"/>
      <c r="GZ66" s="72">
        <f>SUM(GZ63:GZ64)</f>
        <v>44000</v>
      </c>
      <c r="HA66" s="72"/>
      <c r="HB66" s="72">
        <f>SUM(HB63:HB65)</f>
        <v>985.74</v>
      </c>
      <c r="HC66" s="72"/>
      <c r="HV66" s="64" t="s">
        <v>379</v>
      </c>
      <c r="HW66" s="64">
        <v>0</v>
      </c>
      <c r="HX66" s="64">
        <v>0</v>
      </c>
      <c r="HY66" s="64">
        <v>2</v>
      </c>
      <c r="HZ66" s="64">
        <v>4</v>
      </c>
      <c r="IA66" s="64">
        <v>4</v>
      </c>
      <c r="IB66" s="64">
        <v>4</v>
      </c>
      <c r="IC66" s="64">
        <v>8</v>
      </c>
      <c r="ID66" s="64">
        <v>8</v>
      </c>
      <c r="IE66" s="64">
        <v>8</v>
      </c>
      <c r="IF66" s="64">
        <v>12</v>
      </c>
      <c r="IG66" s="64">
        <v>12</v>
      </c>
      <c r="IH66" s="64">
        <v>12</v>
      </c>
      <c r="II66" s="64">
        <v>16</v>
      </c>
      <c r="IJ66" s="64">
        <v>16</v>
      </c>
      <c r="IK66" s="64">
        <v>16</v>
      </c>
      <c r="IL66" s="64">
        <v>20</v>
      </c>
      <c r="IM66" s="64">
        <v>20</v>
      </c>
      <c r="IN66" s="64">
        <v>20</v>
      </c>
      <c r="IO66" s="64">
        <v>24</v>
      </c>
      <c r="IP66" s="64">
        <v>24</v>
      </c>
      <c r="IQ66" s="64">
        <v>26</v>
      </c>
      <c r="IS66" s="64" t="s">
        <v>379</v>
      </c>
      <c r="IT66" s="64">
        <f t="shared" si="42"/>
        <v>0</v>
      </c>
      <c r="IU66" s="64">
        <f t="shared" si="43"/>
        <v>0</v>
      </c>
      <c r="IV66" s="64">
        <f t="shared" si="44"/>
        <v>4</v>
      </c>
      <c r="IW66" s="64">
        <f t="shared" si="45"/>
        <v>8</v>
      </c>
      <c r="IX66" s="64">
        <f t="shared" si="46"/>
        <v>8</v>
      </c>
      <c r="IY66" s="64">
        <f t="shared" si="47"/>
        <v>8</v>
      </c>
      <c r="IZ66" s="64">
        <f t="shared" si="48"/>
        <v>16</v>
      </c>
      <c r="JA66" s="64">
        <f t="shared" si="49"/>
        <v>16</v>
      </c>
      <c r="JB66" s="64">
        <f t="shared" si="50"/>
        <v>16</v>
      </c>
      <c r="JC66" s="64">
        <f t="shared" si="51"/>
        <v>24</v>
      </c>
      <c r="JD66" s="64">
        <f t="shared" si="52"/>
        <v>24</v>
      </c>
      <c r="JE66" s="64">
        <f t="shared" si="53"/>
        <v>24</v>
      </c>
      <c r="JF66" s="64">
        <f t="shared" si="54"/>
        <v>32</v>
      </c>
      <c r="JG66" s="64">
        <f t="shared" si="55"/>
        <v>32</v>
      </c>
      <c r="JH66" s="64">
        <f t="shared" si="56"/>
        <v>32</v>
      </c>
      <c r="JI66" s="64">
        <f t="shared" si="57"/>
        <v>40</v>
      </c>
      <c r="JJ66" s="64">
        <f t="shared" si="58"/>
        <v>40</v>
      </c>
      <c r="JK66" s="64">
        <f t="shared" si="59"/>
        <v>40</v>
      </c>
      <c r="JL66" s="64">
        <f t="shared" si="60"/>
        <v>48</v>
      </c>
      <c r="JM66" s="64">
        <f t="shared" si="61"/>
        <v>48</v>
      </c>
      <c r="JN66" s="64">
        <f t="shared" si="62"/>
        <v>52</v>
      </c>
      <c r="JQ66" s="88"/>
    </row>
    <row r="67" spans="1:277" x14ac:dyDescent="0.25">
      <c r="A67" s="9"/>
      <c r="B67" s="9"/>
      <c r="C67" s="9"/>
      <c r="D67" s="9"/>
      <c r="E67" s="9"/>
      <c r="F67" s="9"/>
      <c r="G67" s="9"/>
      <c r="H67" s="9"/>
      <c r="I67" s="9"/>
      <c r="J67" s="9"/>
      <c r="K67" s="9"/>
      <c r="L67" s="6" t="str">
        <f>IF(E52="zaťažená","PBKD50MC",IF(E52="kotvená","-------",0))</f>
        <v>PBKD50MC</v>
      </c>
      <c r="M67" s="11">
        <f>INDEX(cenník!$C$2:$I$568,MATCH($L67,cenník!$B$2:$B$557,0),MATCH(M$2,cenník!$C$1:$I$1,0))</f>
        <v>858451</v>
      </c>
      <c r="N67" s="11" t="str">
        <f>INDEX(cenník!$C$2:$I$568,MATCH($L67,cenník!$B$2:$B$557,0),MATCH(N$2,cenník!$C$1:$I$1,0))</f>
        <v>ks</v>
      </c>
      <c r="O67" s="11">
        <f>IF(E52=Z2,O59*3,IF(E52=Z3,0,0))</f>
        <v>0</v>
      </c>
      <c r="P67" s="36">
        <f>INDEX(cenník!$C$2:$I$568,MATCH($L67,cenník!$B$2:$B$557,0),MATCH(P$2,cenník!$C$1:$I$1,0))</f>
        <v>12.17</v>
      </c>
      <c r="Q67" s="36">
        <f t="shared" si="92"/>
        <v>0</v>
      </c>
      <c r="R67" s="37">
        <f t="shared" si="90"/>
        <v>0</v>
      </c>
      <c r="S67" s="36">
        <f t="shared" si="91"/>
        <v>12.17</v>
      </c>
      <c r="T67" s="36">
        <f t="shared" si="93"/>
        <v>0</v>
      </c>
      <c r="U67" s="36">
        <f>INDEX(cenník!$C$2:$I$568,MATCH($L67,cenník!$B$2:$B$557,0),MATCH(U$2,cenník!$C$1:$I$1,0))*O67</f>
        <v>0</v>
      </c>
      <c r="V67" s="72"/>
      <c r="W67" s="85">
        <f t="shared" si="96"/>
        <v>0</v>
      </c>
      <c r="X67" s="72">
        <f t="shared" si="97"/>
        <v>0</v>
      </c>
      <c r="Y67" s="72"/>
      <c r="Z67" s="72">
        <f>(INDEX(($AM$4:$CK$9,$AM$13:$CK$18,$AM$22:$CK$27,$AM$31:$CK$36),MATCH($L$82,$AL$4:$AL$9,0),MATCH(A78,$AM$3:$CK$3,0),MATCH($G$77,$X$26:$X$29,0)))*C78</f>
        <v>0</v>
      </c>
      <c r="AA67" s="72">
        <f>(INDEX(($AM$4:$CK$9,$AM$13:$CK$18,$AM$22:$CK$27,$AM$31:$CK$36),MATCH($L$77,$AL$4:$AL$9,0),MATCH(A78,$AM$3:$CK$3,0),MATCH($G$77,$X$26:$X$29,0)))*C78</f>
        <v>0</v>
      </c>
      <c r="AB67" s="72">
        <f>(INDEX(($AM$4:$CK$9,$AM$13:$CK$18,$AM$22:$CK$27,$AM$31:$CK$36),MATCH($L$78,$AL$4:$AL$9,0),MATCH(A78,$AM$3:$CK$3,0),MATCH($G$77,$X$26:$X$29,0)))*C78</f>
        <v>0</v>
      </c>
      <c r="AC67" s="72">
        <f>(INDEX(($AM$4:$CK$9,$AM$13:$CK$18,$AM$22:$CK$27,$AM$31:$CK$36),MATCH($L$79,$AL$4:$AL$9,0),MATCH(A78,$AM$3:$CK$3,0),MATCH($G$77,$X$26:$X$29,0)))*C78</f>
        <v>0</v>
      </c>
      <c r="AD67" s="72">
        <f>(INDEX(($AM$4:$CK$9,$AM$13:$CK$18,$AM$22:$CK$27,$AM$31:$CK$36),MATCH($L$80,$AL$4:$AL$9,0),MATCH(A78,$AM$3:$CK$3,0),MATCH($G$77,$X$26:$X$29,0)))*C78</f>
        <v>0</v>
      </c>
      <c r="AE67" s="72">
        <f>(INDEX(($AM$4:$CK$9,$AM$13:$CK$18,$AM$22:$CK$27,$AM$31:$CK$36),MATCH($L$81,$AL$4:$AL$9,0),MATCH(A78,$AM$3:$CK$3,0),MATCH($G$77,$X$26:$X$29,0)))*C78</f>
        <v>0</v>
      </c>
      <c r="AJ67" s="72"/>
      <c r="AK67" s="72"/>
      <c r="AL67" s="72"/>
      <c r="AM67" s="72">
        <v>0</v>
      </c>
      <c r="AN67" s="72">
        <v>1</v>
      </c>
      <c r="AO67" s="72">
        <v>2</v>
      </c>
      <c r="AP67" s="72">
        <v>3</v>
      </c>
      <c r="AQ67" s="72">
        <v>4</v>
      </c>
      <c r="AR67" s="72">
        <v>5</v>
      </c>
      <c r="AS67" s="72">
        <v>6</v>
      </c>
      <c r="AT67" s="72">
        <v>7</v>
      </c>
      <c r="AU67" s="72">
        <v>8</v>
      </c>
      <c r="AV67" s="72">
        <v>9</v>
      </c>
      <c r="AW67" s="72">
        <v>10</v>
      </c>
      <c r="AX67" s="72">
        <v>11</v>
      </c>
      <c r="AY67" s="72">
        <v>12</v>
      </c>
      <c r="AZ67" s="72">
        <v>13</v>
      </c>
      <c r="BA67" s="72">
        <v>14</v>
      </c>
      <c r="BB67" s="72">
        <v>15</v>
      </c>
      <c r="BC67" s="72">
        <v>16</v>
      </c>
      <c r="BD67" s="72">
        <v>17</v>
      </c>
      <c r="BE67" s="72">
        <v>18</v>
      </c>
      <c r="BF67" s="72">
        <v>19</v>
      </c>
      <c r="BG67" s="72">
        <v>20</v>
      </c>
      <c r="BH67" s="72">
        <v>21</v>
      </c>
      <c r="BI67" s="72">
        <v>22</v>
      </c>
      <c r="BJ67" s="72">
        <v>23</v>
      </c>
      <c r="BK67" s="72">
        <v>24</v>
      </c>
      <c r="BL67" s="72">
        <v>25</v>
      </c>
      <c r="BM67" s="72">
        <v>26</v>
      </c>
      <c r="BN67" s="72">
        <v>27</v>
      </c>
      <c r="BO67" s="72">
        <v>28</v>
      </c>
      <c r="BP67" s="72">
        <v>29</v>
      </c>
      <c r="BQ67" s="72">
        <v>30</v>
      </c>
      <c r="BR67" s="72">
        <v>31</v>
      </c>
      <c r="BS67" s="72">
        <v>32</v>
      </c>
      <c r="BT67" s="72">
        <v>33</v>
      </c>
      <c r="BU67" s="72">
        <v>34</v>
      </c>
      <c r="BV67" s="72">
        <v>35</v>
      </c>
      <c r="BW67" s="72">
        <v>36</v>
      </c>
      <c r="BX67" s="72">
        <v>37</v>
      </c>
      <c r="BY67" s="72">
        <v>38</v>
      </c>
      <c r="BZ67" s="72">
        <v>39</v>
      </c>
      <c r="CA67" s="72">
        <v>40</v>
      </c>
      <c r="CB67" s="72">
        <v>41</v>
      </c>
      <c r="CC67" s="72">
        <v>42</v>
      </c>
      <c r="CD67" s="72">
        <v>43</v>
      </c>
      <c r="CE67" s="72">
        <v>44</v>
      </c>
      <c r="CF67" s="72">
        <v>45</v>
      </c>
      <c r="CG67" s="72">
        <v>46</v>
      </c>
      <c r="CH67" s="72">
        <v>47</v>
      </c>
      <c r="CI67" s="72">
        <v>48</v>
      </c>
      <c r="CJ67" s="72">
        <v>49</v>
      </c>
      <c r="CK67" s="72">
        <v>50</v>
      </c>
      <c r="CL67" s="72"/>
      <c r="CM67" s="72" t="s">
        <v>205</v>
      </c>
      <c r="CN67" s="72"/>
      <c r="CO67" s="72"/>
      <c r="CP67" s="72"/>
      <c r="CQ67" s="72"/>
      <c r="CR67" s="72"/>
      <c r="CS67" s="72"/>
      <c r="CT67" s="72"/>
      <c r="CU67" s="72"/>
      <c r="CV67" s="72"/>
      <c r="CW67" s="72"/>
      <c r="CX67" s="72"/>
      <c r="CY67" s="72"/>
      <c r="CZ67" s="72"/>
      <c r="DA67" s="72"/>
      <c r="DB67" s="72"/>
      <c r="DC67" s="72"/>
      <c r="DD67" s="72"/>
      <c r="DE67" s="72"/>
      <c r="DF67" s="72"/>
      <c r="DG67" s="72"/>
      <c r="DH67" s="72"/>
      <c r="DI67" s="72"/>
      <c r="DJ67" s="72"/>
      <c r="DK67" s="72"/>
      <c r="DL67" s="72"/>
      <c r="DM67" s="72" t="s">
        <v>101</v>
      </c>
      <c r="DN67" s="72">
        <v>0</v>
      </c>
      <c r="DO67" s="72">
        <v>0</v>
      </c>
      <c r="DP67" s="72">
        <v>0</v>
      </c>
      <c r="DQ67" s="72">
        <v>2</v>
      </c>
      <c r="DR67" s="72">
        <v>0</v>
      </c>
      <c r="DS67" s="72">
        <v>2</v>
      </c>
      <c r="DT67" s="72">
        <v>4</v>
      </c>
      <c r="DU67" s="72">
        <v>2</v>
      </c>
      <c r="DV67" s="72">
        <v>4</v>
      </c>
      <c r="DW67" s="72">
        <v>6</v>
      </c>
      <c r="DX67" s="72">
        <v>6</v>
      </c>
      <c r="DY67" s="72">
        <v>4</v>
      </c>
      <c r="DZ67" s="81">
        <v>6</v>
      </c>
      <c r="EA67" s="81">
        <v>8</v>
      </c>
      <c r="EB67" s="81">
        <v>6</v>
      </c>
      <c r="EC67" s="72">
        <v>8</v>
      </c>
      <c r="ED67" s="72">
        <v>10</v>
      </c>
      <c r="EE67" s="72">
        <v>10</v>
      </c>
      <c r="EF67" s="72">
        <v>10</v>
      </c>
      <c r="EG67" s="72">
        <v>10</v>
      </c>
      <c r="EH67" s="72">
        <v>12</v>
      </c>
      <c r="EI67" s="72"/>
      <c r="EJ67" s="72"/>
      <c r="EK67" s="72"/>
      <c r="EL67" s="72"/>
      <c r="EM67" s="72"/>
      <c r="EN67" s="72"/>
      <c r="EO67" s="72"/>
      <c r="EP67" s="72"/>
      <c r="EQ67" s="72"/>
      <c r="ER67" s="72"/>
      <c r="ES67" s="72"/>
      <c r="ET67" s="72"/>
      <c r="EU67" s="72"/>
      <c r="EV67" s="72" t="s">
        <v>8</v>
      </c>
      <c r="EW67" s="72">
        <v>0</v>
      </c>
      <c r="EX67" s="72">
        <v>0</v>
      </c>
      <c r="EY67" s="72">
        <v>0</v>
      </c>
      <c r="EZ67" s="72">
        <v>0</v>
      </c>
      <c r="FA67" s="72">
        <v>0</v>
      </c>
      <c r="FB67" s="72">
        <v>0</v>
      </c>
      <c r="FC67" s="72">
        <v>0</v>
      </c>
      <c r="FD67" s="72">
        <v>2</v>
      </c>
      <c r="FE67" s="72">
        <v>0</v>
      </c>
      <c r="FF67" s="72">
        <v>0</v>
      </c>
      <c r="FG67" s="72">
        <v>0</v>
      </c>
      <c r="FH67" s="72"/>
      <c r="FI67" s="72" t="s">
        <v>99</v>
      </c>
      <c r="FJ67" s="72">
        <v>0</v>
      </c>
      <c r="FK67" s="72">
        <v>0</v>
      </c>
      <c r="FL67" s="72">
        <v>2</v>
      </c>
      <c r="FM67" s="72">
        <v>0</v>
      </c>
      <c r="FN67" s="72">
        <v>0</v>
      </c>
      <c r="FO67" s="72">
        <v>0</v>
      </c>
      <c r="FP67" s="72">
        <v>2</v>
      </c>
      <c r="FQ67" s="72">
        <v>0</v>
      </c>
      <c r="FR67" s="72">
        <v>0</v>
      </c>
      <c r="FS67" s="72">
        <v>0</v>
      </c>
      <c r="FT67" s="72">
        <v>0</v>
      </c>
      <c r="FU67" s="72"/>
      <c r="FV67" s="72" t="s">
        <v>99</v>
      </c>
      <c r="FW67" s="72">
        <v>0</v>
      </c>
      <c r="FX67" s="72">
        <v>0</v>
      </c>
      <c r="FY67" s="72">
        <v>2</v>
      </c>
      <c r="FZ67" s="72">
        <v>0</v>
      </c>
      <c r="GA67" s="72">
        <v>0</v>
      </c>
      <c r="GB67" s="72">
        <v>0</v>
      </c>
      <c r="GC67" s="72">
        <v>0</v>
      </c>
      <c r="GD67" s="72">
        <v>0</v>
      </c>
      <c r="GE67" s="72">
        <v>0</v>
      </c>
      <c r="GF67" s="72">
        <v>0</v>
      </c>
      <c r="GG67" s="72">
        <v>0</v>
      </c>
      <c r="GH67" s="72"/>
      <c r="GI67" s="72"/>
      <c r="GJ67" s="72"/>
      <c r="GK67" s="72"/>
      <c r="GL67" s="72"/>
      <c r="GM67" s="72"/>
      <c r="GN67" s="72"/>
      <c r="GO67" s="72"/>
      <c r="GP67" s="72"/>
      <c r="GQ67" s="72"/>
      <c r="GR67" s="72"/>
      <c r="GS67" s="72"/>
      <c r="GT67" s="72"/>
      <c r="GU67" s="72"/>
      <c r="GV67" s="72"/>
      <c r="GW67" s="72"/>
      <c r="GX67" s="72"/>
      <c r="HV67" s="64" t="s">
        <v>406</v>
      </c>
      <c r="HW67" s="64">
        <v>0</v>
      </c>
      <c r="HX67" s="64">
        <v>0</v>
      </c>
      <c r="HY67" s="64">
        <v>2</v>
      </c>
      <c r="HZ67" s="64">
        <v>2</v>
      </c>
      <c r="IA67" s="64">
        <v>4</v>
      </c>
      <c r="IB67" s="64">
        <v>6</v>
      </c>
      <c r="IC67" s="64">
        <v>6</v>
      </c>
      <c r="ID67" s="64">
        <v>8</v>
      </c>
      <c r="IE67" s="64">
        <v>10</v>
      </c>
      <c r="IF67" s="64">
        <v>10</v>
      </c>
      <c r="IG67" s="64">
        <v>12</v>
      </c>
      <c r="IH67" s="64">
        <v>14</v>
      </c>
      <c r="II67" s="64">
        <v>14</v>
      </c>
      <c r="IJ67" s="64">
        <v>16</v>
      </c>
      <c r="IK67" s="64">
        <v>18</v>
      </c>
      <c r="IL67" s="64">
        <v>18</v>
      </c>
      <c r="IM67" s="64">
        <v>20</v>
      </c>
      <c r="IN67" s="64">
        <v>22</v>
      </c>
      <c r="IO67" s="64">
        <v>22</v>
      </c>
      <c r="IP67" s="64">
        <v>24</v>
      </c>
      <c r="IQ67" s="64">
        <v>24</v>
      </c>
      <c r="IS67" s="64" t="s">
        <v>406</v>
      </c>
      <c r="IT67" s="64">
        <f t="shared" si="42"/>
        <v>0</v>
      </c>
      <c r="IU67" s="64">
        <f t="shared" si="43"/>
        <v>0</v>
      </c>
      <c r="IV67" s="64">
        <f t="shared" si="44"/>
        <v>4</v>
      </c>
      <c r="IW67" s="64">
        <f t="shared" si="45"/>
        <v>4</v>
      </c>
      <c r="IX67" s="64">
        <f t="shared" si="46"/>
        <v>8</v>
      </c>
      <c r="IY67" s="64">
        <f t="shared" si="47"/>
        <v>12</v>
      </c>
      <c r="IZ67" s="64">
        <f t="shared" si="48"/>
        <v>12</v>
      </c>
      <c r="JA67" s="64">
        <f t="shared" si="49"/>
        <v>16</v>
      </c>
      <c r="JB67" s="64">
        <f t="shared" si="50"/>
        <v>20</v>
      </c>
      <c r="JC67" s="64">
        <f t="shared" si="51"/>
        <v>20</v>
      </c>
      <c r="JD67" s="64">
        <f t="shared" si="52"/>
        <v>24</v>
      </c>
      <c r="JE67" s="64">
        <f t="shared" si="53"/>
        <v>28</v>
      </c>
      <c r="JF67" s="64">
        <f t="shared" si="54"/>
        <v>28</v>
      </c>
      <c r="JG67" s="64">
        <f t="shared" si="55"/>
        <v>32</v>
      </c>
      <c r="JH67" s="64">
        <f t="shared" si="56"/>
        <v>36</v>
      </c>
      <c r="JI67" s="64">
        <f t="shared" si="57"/>
        <v>36</v>
      </c>
      <c r="JJ67" s="64">
        <f t="shared" si="58"/>
        <v>40</v>
      </c>
      <c r="JK67" s="64">
        <f t="shared" si="59"/>
        <v>44</v>
      </c>
      <c r="JL67" s="64">
        <f t="shared" si="60"/>
        <v>44</v>
      </c>
      <c r="JM67" s="64">
        <f t="shared" si="61"/>
        <v>48</v>
      </c>
      <c r="JN67" s="64">
        <f t="shared" si="62"/>
        <v>48</v>
      </c>
      <c r="JQ67" s="88"/>
    </row>
    <row r="68" spans="1:277" x14ac:dyDescent="0.25">
      <c r="A68" s="9"/>
      <c r="B68" s="9"/>
      <c r="C68" s="9"/>
      <c r="D68" s="9"/>
      <c r="E68" s="9"/>
      <c r="F68" s="9"/>
      <c r="G68" s="9"/>
      <c r="H68" s="9"/>
      <c r="I68" s="9"/>
      <c r="J68" s="9"/>
      <c r="K68" s="9"/>
      <c r="L68" s="6" t="s">
        <v>178</v>
      </c>
      <c r="M68" s="11">
        <f>INDEX(cenník!$C$2:$I$568,MATCH($L68,cenník!$B$2:$B$557,0),MATCH(M$2,cenník!$C$1:$I$1,0))</f>
        <v>651643</v>
      </c>
      <c r="N68" s="11" t="str">
        <f>INDEX(cenník!$C$2:$I$568,MATCH($L68,cenník!$B$2:$B$557,0),MATCH(N$2,cenník!$C$1:$I$1,0))</f>
        <v>100ks</v>
      </c>
      <c r="O68" s="11">
        <f>ROUNDUP((IF(E52=Z2,((O61*8)+(O58*6)+(SUM(X41:X56)*2)+(O67*0)),IF(E52=Z3,((O61*8)+(O58*6)+(SUM(X41:X56)*2)),0))+E55)/100,0)</f>
        <v>0</v>
      </c>
      <c r="P68" s="36">
        <f>INDEX(cenník!$C$2:$I$568,MATCH($L68,cenník!$B$2:$B$557,0),MATCH(P$2,cenník!$C$1:$I$1,0))</f>
        <v>49.87</v>
      </c>
      <c r="Q68" s="36">
        <f t="shared" si="92"/>
        <v>0</v>
      </c>
      <c r="R68" s="37">
        <f t="shared" si="90"/>
        <v>0</v>
      </c>
      <c r="S68" s="36">
        <f t="shared" si="91"/>
        <v>49.87</v>
      </c>
      <c r="T68" s="36">
        <f t="shared" si="93"/>
        <v>0</v>
      </c>
      <c r="U68" s="36">
        <f>INDEX(cenník!$C$2:$I$568,MATCH($L68,cenník!$B$2:$B$557,0),MATCH(U$2,cenník!$C$1:$I$1,0))*O68</f>
        <v>0</v>
      </c>
      <c r="V68" s="72"/>
      <c r="W68" s="85">
        <f t="shared" si="96"/>
        <v>0</v>
      </c>
      <c r="X68" s="72">
        <f t="shared" si="97"/>
        <v>0</v>
      </c>
      <c r="Y68" s="72"/>
      <c r="Z68" s="72">
        <f>(INDEX(($AM$4:$CK$9,$AM$13:$CK$18,$AM$22:$CK$27,$AM$31:$CK$36),MATCH($L$82,$AL$4:$AL$9,0),MATCH(A79,$AM$3:$CK$3,0),MATCH($G$77,$X$26:$X$29,0)))*C79</f>
        <v>0</v>
      </c>
      <c r="AA68" s="72">
        <f>(INDEX(($AM$4:$CK$9,$AM$13:$CK$18,$AM$22:$CK$27,$AM$31:$CK$36),MATCH($L$77,$AL$4:$AL$9,0),MATCH(A79,$AM$3:$CK$3,0),MATCH($G$77,$X$26:$X$29,0)))*C79</f>
        <v>0</v>
      </c>
      <c r="AB68" s="72">
        <f>(INDEX(($AM$4:$CK$9,$AM$13:$CK$18,$AM$22:$CK$27,$AM$31:$CK$36),MATCH($L$78,$AL$4:$AL$9,0),MATCH(A79,$AM$3:$CK$3,0),MATCH($G$77,$X$26:$X$29,0)))*C79</f>
        <v>0</v>
      </c>
      <c r="AC68" s="72">
        <f>(INDEX(($AM$4:$CK$9,$AM$13:$CK$18,$AM$22:$CK$27,$AM$31:$CK$36),MATCH($L$79,$AL$4:$AL$9,0),MATCH(A79,$AM$3:$CK$3,0),MATCH($G$77,$X$26:$X$29,0)))*C79</f>
        <v>0</v>
      </c>
      <c r="AD68" s="72">
        <f>(INDEX(($AM$4:$CK$9,$AM$13:$CK$18,$AM$22:$CK$27,$AM$31:$CK$36),MATCH($L$80,$AL$4:$AL$9,0),MATCH(A79,$AM$3:$CK$3,0),MATCH($G$77,$X$26:$X$29,0)))*C79</f>
        <v>0</v>
      </c>
      <c r="AE68" s="72">
        <f>(INDEX(($AM$4:$CK$9,$AM$13:$CK$18,$AM$22:$CK$27,$AM$31:$CK$36),MATCH($L$81,$AL$4:$AL$9,0),MATCH(A79,$AM$3:$CK$3,0),MATCH($G$77,$X$26:$X$29,0)))*C79</f>
        <v>0</v>
      </c>
      <c r="AJ68" s="72"/>
      <c r="AK68" s="72"/>
      <c r="AL68" s="72" t="s">
        <v>63</v>
      </c>
      <c r="AM68" s="72">
        <v>0</v>
      </c>
      <c r="AN68" s="72">
        <v>0</v>
      </c>
      <c r="AO68" s="72">
        <v>0</v>
      </c>
      <c r="AP68" s="72">
        <v>0</v>
      </c>
      <c r="AQ68" s="72">
        <v>0</v>
      </c>
      <c r="AR68" s="72">
        <v>0</v>
      </c>
      <c r="AS68" s="72">
        <v>0</v>
      </c>
      <c r="AT68" s="72">
        <v>2</v>
      </c>
      <c r="AU68" s="72">
        <v>0</v>
      </c>
      <c r="AV68" s="72">
        <v>0</v>
      </c>
      <c r="AW68" s="72">
        <v>0</v>
      </c>
      <c r="AX68" s="72">
        <v>0</v>
      </c>
      <c r="AY68" s="72">
        <v>0</v>
      </c>
      <c r="AZ68" s="72">
        <v>0</v>
      </c>
      <c r="BA68" s="72">
        <v>0</v>
      </c>
      <c r="BB68" s="72">
        <v>0</v>
      </c>
      <c r="BC68" s="72">
        <v>0</v>
      </c>
      <c r="BD68" s="72">
        <v>0</v>
      </c>
      <c r="BE68" s="72">
        <v>0</v>
      </c>
      <c r="BF68" s="72">
        <v>0</v>
      </c>
      <c r="BG68" s="72">
        <v>0</v>
      </c>
      <c r="BH68" s="72">
        <v>0</v>
      </c>
      <c r="BI68" s="72">
        <v>0</v>
      </c>
      <c r="BJ68" s="72">
        <v>0</v>
      </c>
      <c r="BK68" s="72">
        <v>0</v>
      </c>
      <c r="BL68" s="72">
        <v>0</v>
      </c>
      <c r="BM68" s="72">
        <v>0</v>
      </c>
      <c r="BN68" s="72">
        <v>0</v>
      </c>
      <c r="BO68" s="72">
        <v>0</v>
      </c>
      <c r="BP68" s="72">
        <v>0</v>
      </c>
      <c r="BQ68" s="72">
        <v>0</v>
      </c>
      <c r="BR68" s="72">
        <v>0</v>
      </c>
      <c r="BS68" s="72">
        <v>0</v>
      </c>
      <c r="BT68" s="72">
        <v>0</v>
      </c>
      <c r="BU68" s="72">
        <v>0</v>
      </c>
      <c r="BV68" s="72">
        <v>0</v>
      </c>
      <c r="BW68" s="72">
        <v>0</v>
      </c>
      <c r="BX68" s="72">
        <v>0</v>
      </c>
      <c r="BY68" s="72">
        <v>0</v>
      </c>
      <c r="BZ68" s="72">
        <v>0</v>
      </c>
      <c r="CA68" s="72">
        <v>0</v>
      </c>
      <c r="CB68" s="72">
        <v>0</v>
      </c>
      <c r="CC68" s="72">
        <v>0</v>
      </c>
      <c r="CD68" s="72">
        <v>0</v>
      </c>
      <c r="CE68" s="72">
        <v>0</v>
      </c>
      <c r="CF68" s="72">
        <v>0</v>
      </c>
      <c r="CG68" s="72">
        <v>0</v>
      </c>
      <c r="CH68" s="72">
        <v>0</v>
      </c>
      <c r="CI68" s="72">
        <v>0</v>
      </c>
      <c r="CJ68" s="72">
        <v>0</v>
      </c>
      <c r="CK68" s="72">
        <v>0</v>
      </c>
      <c r="CL68" s="72"/>
      <c r="CM68" s="72"/>
      <c r="CN68" s="72">
        <v>0</v>
      </c>
      <c r="CO68" s="72">
        <v>1</v>
      </c>
      <c r="CP68" s="72">
        <v>2</v>
      </c>
      <c r="CQ68" s="72">
        <v>3</v>
      </c>
      <c r="CR68" s="72">
        <v>4</v>
      </c>
      <c r="CS68" s="72">
        <v>5</v>
      </c>
      <c r="CT68" s="72">
        <v>6</v>
      </c>
      <c r="CU68" s="72">
        <v>7</v>
      </c>
      <c r="CV68" s="72">
        <v>8</v>
      </c>
      <c r="CW68" s="72">
        <v>9</v>
      </c>
      <c r="CX68" s="72">
        <v>10</v>
      </c>
      <c r="CY68" s="72">
        <v>11</v>
      </c>
      <c r="CZ68" s="72">
        <v>12</v>
      </c>
      <c r="DA68" s="72">
        <v>13</v>
      </c>
      <c r="DB68" s="72">
        <v>14</v>
      </c>
      <c r="DC68" s="72">
        <v>15</v>
      </c>
      <c r="DD68" s="72">
        <v>16</v>
      </c>
      <c r="DE68" s="72">
        <v>17</v>
      </c>
      <c r="DF68" s="72">
        <v>18</v>
      </c>
      <c r="DG68" s="72">
        <v>19</v>
      </c>
      <c r="DH68" s="72">
        <v>20</v>
      </c>
      <c r="DI68" s="72"/>
      <c r="DJ68" s="72"/>
      <c r="DK68" s="72"/>
      <c r="DL68" s="72"/>
      <c r="DM68" s="72" t="s">
        <v>10</v>
      </c>
      <c r="DN68" s="72">
        <v>0</v>
      </c>
      <c r="DO68" s="72">
        <v>0</v>
      </c>
      <c r="DP68" s="72">
        <v>0</v>
      </c>
      <c r="DQ68" s="72">
        <v>0</v>
      </c>
      <c r="DR68" s="72">
        <v>2</v>
      </c>
      <c r="DS68" s="72">
        <v>2</v>
      </c>
      <c r="DT68" s="72">
        <v>2</v>
      </c>
      <c r="DU68" s="72">
        <v>4</v>
      </c>
      <c r="DV68" s="72">
        <v>4</v>
      </c>
      <c r="DW68" s="72">
        <v>4</v>
      </c>
      <c r="DX68" s="72">
        <v>4</v>
      </c>
      <c r="DY68" s="72">
        <v>6</v>
      </c>
      <c r="DZ68" s="81">
        <v>6</v>
      </c>
      <c r="EA68" s="81">
        <v>6</v>
      </c>
      <c r="EB68" s="81">
        <v>8</v>
      </c>
      <c r="EC68" s="72">
        <v>8</v>
      </c>
      <c r="ED68" s="72">
        <v>8</v>
      </c>
      <c r="EE68" s="72">
        <v>8</v>
      </c>
      <c r="EF68" s="72">
        <v>10</v>
      </c>
      <c r="EG68" s="72">
        <v>10</v>
      </c>
      <c r="EH68" s="72">
        <v>10</v>
      </c>
      <c r="EI68" s="72"/>
      <c r="EJ68" s="72"/>
      <c r="EK68" s="72"/>
      <c r="EL68" s="72"/>
      <c r="EM68" s="72"/>
      <c r="EN68" s="72"/>
      <c r="EO68" s="72"/>
      <c r="EP68" s="72"/>
      <c r="EQ68" s="72"/>
      <c r="ER68" s="72"/>
      <c r="ES68" s="72"/>
      <c r="ET68" s="72"/>
      <c r="EU68" s="72"/>
      <c r="EV68" s="72" t="s">
        <v>98</v>
      </c>
      <c r="EW68" s="72">
        <v>0</v>
      </c>
      <c r="EX68" s="72">
        <v>0</v>
      </c>
      <c r="EY68" s="72">
        <v>0</v>
      </c>
      <c r="EZ68" s="72">
        <v>2</v>
      </c>
      <c r="FA68" s="72">
        <v>0</v>
      </c>
      <c r="FB68" s="72">
        <v>0</v>
      </c>
      <c r="FC68" s="72">
        <v>0</v>
      </c>
      <c r="FD68" s="72">
        <v>0</v>
      </c>
      <c r="FE68" s="72">
        <v>0</v>
      </c>
      <c r="FF68" s="72">
        <v>0</v>
      </c>
      <c r="FG68" s="72">
        <v>0</v>
      </c>
      <c r="FH68" s="72"/>
      <c r="FI68" s="72" t="s">
        <v>8</v>
      </c>
      <c r="FJ68" s="72">
        <v>0</v>
      </c>
      <c r="FK68" s="72">
        <v>0</v>
      </c>
      <c r="FL68" s="72">
        <v>0</v>
      </c>
      <c r="FM68" s="72">
        <v>0</v>
      </c>
      <c r="FN68" s="72">
        <v>2</v>
      </c>
      <c r="FO68" s="72">
        <v>0</v>
      </c>
      <c r="FP68" s="72">
        <v>0</v>
      </c>
      <c r="FQ68" s="72">
        <v>0</v>
      </c>
      <c r="FR68" s="72">
        <v>0</v>
      </c>
      <c r="FS68" s="72">
        <v>0</v>
      </c>
      <c r="FT68" s="72">
        <v>0</v>
      </c>
      <c r="FU68" s="72"/>
      <c r="FV68" s="72" t="s">
        <v>8</v>
      </c>
      <c r="FW68" s="72">
        <v>0</v>
      </c>
      <c r="FX68" s="72">
        <v>0</v>
      </c>
      <c r="FY68" s="72">
        <v>0</v>
      </c>
      <c r="FZ68" s="72">
        <v>0</v>
      </c>
      <c r="GA68" s="72">
        <v>2</v>
      </c>
      <c r="GB68" s="72">
        <v>0</v>
      </c>
      <c r="GC68" s="72">
        <v>0</v>
      </c>
      <c r="GD68" s="72">
        <v>0</v>
      </c>
      <c r="GE68" s="72">
        <v>0</v>
      </c>
      <c r="GF68" s="72">
        <v>0</v>
      </c>
      <c r="GG68" s="72">
        <v>0</v>
      </c>
      <c r="GH68" s="72"/>
      <c r="GI68" s="72"/>
      <c r="GJ68" s="72"/>
      <c r="GK68" s="72"/>
      <c r="GL68" s="72"/>
      <c r="GM68" s="72"/>
      <c r="GN68" s="72"/>
      <c r="GO68" s="72"/>
      <c r="GP68" s="72"/>
      <c r="GQ68" s="72"/>
      <c r="GR68" s="72"/>
      <c r="GS68" s="72"/>
      <c r="GT68" s="72"/>
      <c r="GU68" s="72"/>
      <c r="GV68" s="72"/>
      <c r="GW68" s="72"/>
      <c r="JQ68" s="88"/>
    </row>
    <row r="69" spans="1:277" x14ac:dyDescent="0.25">
      <c r="A69" s="9"/>
      <c r="B69" s="9"/>
      <c r="C69" s="9"/>
      <c r="D69" s="9"/>
      <c r="E69" s="9"/>
      <c r="F69" s="9"/>
      <c r="G69" s="9"/>
      <c r="H69" s="9"/>
      <c r="I69" s="9"/>
      <c r="J69" s="9"/>
      <c r="K69" s="9"/>
      <c r="L69" s="6" t="s">
        <v>65</v>
      </c>
      <c r="M69" s="11">
        <f>INDEX(cenník!$C$2:$I$568,MATCH($L69,cenník!$B$2:$B$557,0),MATCH(M$2,cenník!$C$1:$I$1,0))</f>
        <v>897303</v>
      </c>
      <c r="N69" s="11" t="str">
        <f>INDEX(cenník!$C$2:$I$568,MATCH($L69,cenník!$B$2:$B$557,0),MATCH(N$2,cenník!$C$1:$I$1,0))</f>
        <v>ks</v>
      </c>
      <c r="O69" s="11">
        <f>SUM((IF(MOD(A49,2)=0,A49/2,IF(MOD(A49,2)=1,FLOOR(A49/2,1)+1,0))*C49),(IF(MOD(A50,2)=0,A50/2,IF(MOD(A50,2)=1,FLOOR(A50/2,1)+1,0))*C50),(IF(MOD(A51,2)=0,A51/2,IF(MOD(A51,2)=1,FLOOR(A51/2,1)+1,0))*C51),(IF(MOD(A52,2)=0,A52/2,IF(MOD(A52,2)=1,FLOOR(A52/2,1)+1,0))*C52),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)</f>
        <v>0</v>
      </c>
      <c r="P69" s="36">
        <f>INDEX(cenník!$C$2:$I$568,MATCH($L69,cenník!$B$2:$B$557,0),MATCH(P$2,cenník!$C$1:$I$1,0))</f>
        <v>0.83</v>
      </c>
      <c r="Q69" s="36">
        <f t="shared" si="92"/>
        <v>0</v>
      </c>
      <c r="R69" s="37">
        <f t="shared" si="90"/>
        <v>0</v>
      </c>
      <c r="S69" s="36">
        <f t="shared" si="91"/>
        <v>0.83</v>
      </c>
      <c r="T69" s="36">
        <f t="shared" si="93"/>
        <v>0</v>
      </c>
      <c r="U69" s="36">
        <f>INDEX(cenník!$C$2:$I$568,MATCH($L69,cenník!$B$2:$B$557,0),MATCH(U$2,cenník!$C$1:$I$1,0))*O69</f>
        <v>0</v>
      </c>
      <c r="V69" s="72"/>
      <c r="W69" s="85">
        <f t="shared" si="96"/>
        <v>0</v>
      </c>
      <c r="X69" s="72">
        <f t="shared" si="97"/>
        <v>0</v>
      </c>
      <c r="Y69" s="72"/>
      <c r="Z69" s="72">
        <f>(INDEX(($AM$4:$CK$9,$AM$13:$CK$18,$AM$22:$CK$27,$AM$31:$CK$36),MATCH($L$82,$AL$4:$AL$9,0),MATCH(A80,$AM$3:$CK$3,0),MATCH($G$77,$X$26:$X$29,0)))*C80</f>
        <v>0</v>
      </c>
      <c r="AA69" s="72">
        <f>(INDEX(($AM$4:$CK$9,$AM$13:$CK$18,$AM$22:$CK$27,$AM$31:$CK$36),MATCH($L$77,$AL$4:$AL$9,0),MATCH(A80,$AM$3:$CK$3,0),MATCH($G$77,$X$26:$X$29,0)))*C80</f>
        <v>0</v>
      </c>
      <c r="AB69" s="72">
        <f>(INDEX(($AM$4:$CK$9,$AM$13:$CK$18,$AM$22:$CK$27,$AM$31:$CK$36),MATCH($L$78,$AL$4:$AL$9,0),MATCH(A80,$AM$3:$CK$3,0),MATCH($G$77,$X$26:$X$29,0)))*C80</f>
        <v>0</v>
      </c>
      <c r="AC69" s="72">
        <f>(INDEX(($AM$4:$CK$9,$AM$13:$CK$18,$AM$22:$CK$27,$AM$31:$CK$36),MATCH($L$79,$AL$4:$AL$9,0),MATCH(A80,$AM$3:$CK$3,0),MATCH($G$77,$X$26:$X$29,0)))*C80</f>
        <v>0</v>
      </c>
      <c r="AD69" s="72">
        <f>(INDEX(($AM$4:$CK$9,$AM$13:$CK$18,$AM$22:$CK$27,$AM$31:$CK$36),MATCH($L$80,$AL$4:$AL$9,0),MATCH(A80,$AM$3:$CK$3,0),MATCH($G$77,$X$26:$X$29,0)))*C80</f>
        <v>0</v>
      </c>
      <c r="AE69" s="72">
        <f>(INDEX(($AM$4:$CK$9,$AM$13:$CK$18,$AM$22:$CK$27,$AM$31:$CK$36),MATCH($L$81,$AL$4:$AL$9,0),MATCH(A80,$AM$3:$CK$3,0),MATCH($G$77,$X$26:$X$29,0)))*C80</f>
        <v>0</v>
      </c>
      <c r="AJ69" s="72"/>
      <c r="AK69" s="72"/>
      <c r="AL69" s="72" t="s">
        <v>11</v>
      </c>
      <c r="AM69" s="72">
        <v>0</v>
      </c>
      <c r="AN69" s="72">
        <v>2</v>
      </c>
      <c r="AO69" s="72">
        <v>4</v>
      </c>
      <c r="AP69" s="72">
        <v>0</v>
      </c>
      <c r="AQ69" s="72">
        <v>2</v>
      </c>
      <c r="AR69" s="72">
        <v>4</v>
      </c>
      <c r="AS69" s="72">
        <v>0</v>
      </c>
      <c r="AT69" s="72">
        <v>0</v>
      </c>
      <c r="AU69" s="72">
        <v>0</v>
      </c>
      <c r="AV69" s="72">
        <v>0</v>
      </c>
      <c r="AW69" s="72">
        <v>0</v>
      </c>
      <c r="AX69" s="72">
        <v>0</v>
      </c>
      <c r="AY69" s="72">
        <v>0</v>
      </c>
      <c r="AZ69" s="72">
        <v>0</v>
      </c>
      <c r="BA69" s="72">
        <v>0</v>
      </c>
      <c r="BB69" s="72">
        <v>0</v>
      </c>
      <c r="BC69" s="72">
        <v>0</v>
      </c>
      <c r="BD69" s="72">
        <v>0</v>
      </c>
      <c r="BE69" s="72">
        <v>2</v>
      </c>
      <c r="BF69" s="72">
        <v>0</v>
      </c>
      <c r="BG69" s="72">
        <v>2</v>
      </c>
      <c r="BH69" s="72">
        <v>0</v>
      </c>
      <c r="BI69" s="72">
        <v>0</v>
      </c>
      <c r="BJ69" s="72">
        <v>2</v>
      </c>
      <c r="BK69" s="72">
        <v>0</v>
      </c>
      <c r="BL69" s="72">
        <v>0</v>
      </c>
      <c r="BM69" s="72">
        <v>0</v>
      </c>
      <c r="BN69" s="72">
        <v>0</v>
      </c>
      <c r="BO69" s="72">
        <v>0</v>
      </c>
      <c r="BP69" s="72">
        <v>0</v>
      </c>
      <c r="BQ69" s="72">
        <v>0</v>
      </c>
      <c r="BR69" s="72">
        <v>0</v>
      </c>
      <c r="BS69" s="72">
        <v>0</v>
      </c>
      <c r="BT69" s="72">
        <v>0</v>
      </c>
      <c r="BU69" s="72">
        <v>0</v>
      </c>
      <c r="BV69" s="72">
        <v>0</v>
      </c>
      <c r="BW69" s="72">
        <v>0</v>
      </c>
      <c r="BX69" s="72">
        <v>0</v>
      </c>
      <c r="BY69" s="72">
        <v>0</v>
      </c>
      <c r="BZ69" s="72">
        <v>0</v>
      </c>
      <c r="CA69" s="72">
        <v>0</v>
      </c>
      <c r="CB69" s="72">
        <v>0</v>
      </c>
      <c r="CC69" s="72">
        <v>0</v>
      </c>
      <c r="CD69" s="72">
        <v>0</v>
      </c>
      <c r="CE69" s="72">
        <v>0</v>
      </c>
      <c r="CF69" s="72">
        <v>0</v>
      </c>
      <c r="CG69" s="72">
        <v>0</v>
      </c>
      <c r="CH69" s="72">
        <v>0</v>
      </c>
      <c r="CI69" s="72">
        <v>0</v>
      </c>
      <c r="CJ69" s="72">
        <v>0</v>
      </c>
      <c r="CK69" s="72">
        <v>0</v>
      </c>
      <c r="CL69" s="72"/>
      <c r="CM69" s="72" t="s">
        <v>114</v>
      </c>
      <c r="CN69" s="72">
        <v>0</v>
      </c>
      <c r="CO69" s="72">
        <v>2</v>
      </c>
      <c r="CP69" s="72">
        <v>0</v>
      </c>
      <c r="CQ69" s="72">
        <v>4</v>
      </c>
      <c r="CR69" s="72">
        <v>2</v>
      </c>
      <c r="CS69" s="72">
        <v>0</v>
      </c>
      <c r="CT69" s="72">
        <v>4</v>
      </c>
      <c r="CU69" s="72">
        <v>2</v>
      </c>
      <c r="CV69" s="72">
        <v>0</v>
      </c>
      <c r="CW69" s="72">
        <v>4</v>
      </c>
      <c r="CX69" s="72">
        <v>2</v>
      </c>
      <c r="CY69" s="72">
        <v>0</v>
      </c>
      <c r="CZ69" s="72">
        <v>4</v>
      </c>
      <c r="DA69" s="72">
        <v>2</v>
      </c>
      <c r="DB69" s="72">
        <v>0</v>
      </c>
      <c r="DC69" s="72">
        <v>4</v>
      </c>
      <c r="DD69" s="72">
        <v>2</v>
      </c>
      <c r="DE69" s="72">
        <v>0</v>
      </c>
      <c r="DF69" s="72">
        <v>4</v>
      </c>
      <c r="DG69" s="72">
        <v>2</v>
      </c>
      <c r="DH69" s="72">
        <v>0</v>
      </c>
      <c r="DI69" s="72"/>
      <c r="DJ69" s="72"/>
      <c r="DK69" s="72"/>
      <c r="DL69" s="72"/>
      <c r="DM69" s="72"/>
      <c r="DN69" s="72"/>
      <c r="DO69" s="72"/>
      <c r="DP69" s="72"/>
      <c r="DQ69" s="72"/>
      <c r="DR69" s="72"/>
      <c r="DS69" s="72"/>
      <c r="DT69" s="72"/>
      <c r="DU69" s="72"/>
      <c r="DV69" s="72"/>
      <c r="DW69" s="72"/>
      <c r="DX69" s="72"/>
      <c r="DY69" s="72"/>
      <c r="DZ69" s="81"/>
      <c r="EA69" s="81"/>
      <c r="EB69" s="81"/>
      <c r="EC69" s="72"/>
      <c r="ED69" s="72"/>
      <c r="EE69" s="72"/>
      <c r="EF69" s="72"/>
      <c r="EG69" s="72"/>
      <c r="EH69" s="72"/>
      <c r="EI69" s="72"/>
      <c r="EJ69" s="72"/>
      <c r="EK69" s="72"/>
      <c r="EL69" s="72"/>
      <c r="EM69" s="72"/>
      <c r="EN69" s="72"/>
      <c r="EO69" s="72"/>
      <c r="EP69" s="72"/>
      <c r="EQ69" s="72"/>
      <c r="ER69" s="72"/>
      <c r="ES69" s="72"/>
      <c r="ET69" s="72"/>
      <c r="EU69" s="72"/>
      <c r="EV69" s="72" t="s">
        <v>100</v>
      </c>
      <c r="EW69" s="72">
        <v>0</v>
      </c>
      <c r="EX69" s="72">
        <v>2</v>
      </c>
      <c r="EY69" s="72">
        <v>0</v>
      </c>
      <c r="EZ69" s="72">
        <v>0</v>
      </c>
      <c r="FA69" s="72">
        <v>0</v>
      </c>
      <c r="FB69" s="72">
        <v>2</v>
      </c>
      <c r="FC69" s="72">
        <v>0</v>
      </c>
      <c r="FD69" s="72">
        <v>0</v>
      </c>
      <c r="FE69" s="72">
        <v>0</v>
      </c>
      <c r="FF69" s="72">
        <v>0</v>
      </c>
      <c r="FG69" s="72">
        <v>0</v>
      </c>
      <c r="FH69" s="72"/>
      <c r="FI69" s="72" t="s">
        <v>98</v>
      </c>
      <c r="FJ69" s="72">
        <v>0</v>
      </c>
      <c r="FK69" s="72">
        <v>0</v>
      </c>
      <c r="FL69" s="72">
        <v>0</v>
      </c>
      <c r="FM69" s="72">
        <v>0</v>
      </c>
      <c r="FN69" s="72">
        <v>0</v>
      </c>
      <c r="FO69" s="72">
        <v>0</v>
      </c>
      <c r="FP69" s="72">
        <v>0</v>
      </c>
      <c r="FQ69" s="72">
        <v>0</v>
      </c>
      <c r="FR69" s="72">
        <v>0</v>
      </c>
      <c r="FS69" s="72">
        <v>0</v>
      </c>
      <c r="FT69" s="72">
        <v>0</v>
      </c>
      <c r="FU69" s="72"/>
      <c r="FV69" s="72" t="s">
        <v>98</v>
      </c>
      <c r="FW69" s="72">
        <v>0</v>
      </c>
      <c r="FX69" s="72">
        <v>0</v>
      </c>
      <c r="FY69" s="72">
        <v>0</v>
      </c>
      <c r="FZ69" s="72">
        <v>0</v>
      </c>
      <c r="GA69" s="72">
        <v>0</v>
      </c>
      <c r="GB69" s="72">
        <v>0</v>
      </c>
      <c r="GC69" s="72">
        <v>0</v>
      </c>
      <c r="GD69" s="72">
        <v>0</v>
      </c>
      <c r="GE69" s="72">
        <v>0</v>
      </c>
      <c r="GF69" s="72">
        <v>0</v>
      </c>
      <c r="GG69" s="72">
        <v>0</v>
      </c>
      <c r="GH69" s="72"/>
      <c r="GI69" s="72"/>
      <c r="GJ69" s="72"/>
      <c r="GK69" s="72"/>
      <c r="GL69" s="72"/>
      <c r="GM69" s="72"/>
      <c r="GN69" s="72"/>
      <c r="GO69" s="72"/>
      <c r="GP69" s="72"/>
      <c r="GQ69" s="72"/>
      <c r="GR69" s="72"/>
      <c r="GS69" s="72"/>
      <c r="GT69" s="72"/>
      <c r="GU69" s="72"/>
      <c r="GV69" s="72"/>
      <c r="GX69" s="72"/>
      <c r="GY69" s="72" t="s">
        <v>92</v>
      </c>
      <c r="GZ69" s="88" t="s">
        <v>414</v>
      </c>
      <c r="HA69" s="72"/>
      <c r="HB69" s="72"/>
      <c r="HC69" s="72"/>
      <c r="HD69" s="72"/>
      <c r="HV69" s="83" t="s">
        <v>204</v>
      </c>
      <c r="IS69" s="64" t="s">
        <v>204</v>
      </c>
    </row>
    <row r="70" spans="1:277" x14ac:dyDescent="0.25">
      <c r="A70" s="9"/>
      <c r="B70" s="9"/>
      <c r="C70" s="9"/>
      <c r="D70" s="9"/>
      <c r="E70" s="9"/>
      <c r="F70" s="16" t="str">
        <f>IF(L70="PSRM10X90F","POTREBNÉ OVERIŤ VHODNOSŤ KOTIEV",IF(L70="-------","",""))</f>
        <v/>
      </c>
      <c r="G70" s="9"/>
      <c r="H70" s="9"/>
      <c r="I70" s="9"/>
      <c r="J70" s="9"/>
      <c r="K70" s="9"/>
      <c r="L70" s="6" t="str">
        <f>IF(E52=$Z$2,"-------",IF(E52=$Z$3,"PSRM10X90F",IF(E52=$Z$4,"-------",IF(E52=$Z$5,"SSZ8X25E A2",0))))</f>
        <v>-------</v>
      </c>
      <c r="M70" s="11" t="str">
        <f>INDEX(cenník!$C$2:$I$568,MATCH($L70,cenník!$B$2:$B$557,0),MATCH(M$2,cenník!$C$1:$I$1,0))</f>
        <v>-------</v>
      </c>
      <c r="N70" s="11">
        <f>INDEX(cenník!$C$2:$I$568,MATCH($L70,cenník!$B$2:$B$557,0),MATCH(N$2,cenník!$C$1:$I$1,0))</f>
        <v>0</v>
      </c>
      <c r="O70" s="11">
        <f>IF(L70="-------",0,IF(L70="PSRM10X90F",O61*6,IF(L70="SSZ8X25E A2",O61*6)))</f>
        <v>0</v>
      </c>
      <c r="P70" s="36">
        <f>INDEX(cenník!$C$2:$I$568,MATCH($L70,cenník!$B$2:$B$557,0),MATCH(P$2,cenník!$C$1:$I$1,0))</f>
        <v>0</v>
      </c>
      <c r="Q70" s="36">
        <f t="shared" si="92"/>
        <v>0</v>
      </c>
      <c r="R70" s="37">
        <f t="shared" si="90"/>
        <v>0</v>
      </c>
      <c r="S70" s="36">
        <f t="shared" si="91"/>
        <v>0</v>
      </c>
      <c r="T70" s="36">
        <f t="shared" si="93"/>
        <v>0</v>
      </c>
      <c r="U70" s="36">
        <f>INDEX(cenník!$C$2:$I$568,MATCH($L70,cenník!$B$2:$B$557,0),MATCH(U$2,cenník!$C$1:$I$1,0))*O70</f>
        <v>0</v>
      </c>
      <c r="V70" s="72"/>
      <c r="W70" s="85">
        <f t="shared" si="96"/>
        <v>0</v>
      </c>
      <c r="X70" s="72">
        <f t="shared" si="97"/>
        <v>0</v>
      </c>
      <c r="Y70" s="72"/>
      <c r="Z70" s="72">
        <f>(INDEX(($AM$4:$CK$9,$AM$13:$CK$18,$AM$22:$CK$27,$AM$31:$CK$36),MATCH($L$82,$AL$4:$AL$9,0),MATCH(A81,$AM$3:$CK$3,0),MATCH($G$77,$X$26:$X$29,0)))*C81</f>
        <v>0</v>
      </c>
      <c r="AA70" s="72">
        <f>(INDEX(($AM$4:$CK$9,$AM$13:$CK$18,$AM$22:$CK$27,$AM$31:$CK$36),MATCH($L$77,$AL$4:$AL$9,0),MATCH(A81,$AM$3:$CK$3,0),MATCH($G$77,$X$26:$X$29,0)))*C81</f>
        <v>0</v>
      </c>
      <c r="AB70" s="72">
        <f>(INDEX(($AM$4:$CK$9,$AM$13:$CK$18,$AM$22:$CK$27,$AM$31:$CK$36),MATCH($L$78,$AL$4:$AL$9,0),MATCH(A81,$AM$3:$CK$3,0),MATCH($G$77,$X$26:$X$29,0)))*C81</f>
        <v>0</v>
      </c>
      <c r="AC70" s="72">
        <f>(INDEX(($AM$4:$CK$9,$AM$13:$CK$18,$AM$22:$CK$27,$AM$31:$CK$36),MATCH($L$79,$AL$4:$AL$9,0),MATCH(A81,$AM$3:$CK$3,0),MATCH($G$77,$X$26:$X$29,0)))*C81</f>
        <v>0</v>
      </c>
      <c r="AD70" s="72">
        <f>(INDEX(($AM$4:$CK$9,$AM$13:$CK$18,$AM$22:$CK$27,$AM$31:$CK$36),MATCH($L$80,$AL$4:$AL$9,0),MATCH(A81,$AM$3:$CK$3,0),MATCH($G$77,$X$26:$X$29,0)))*C81</f>
        <v>0</v>
      </c>
      <c r="AE70" s="72">
        <f>(INDEX(($AM$4:$CK$9,$AM$13:$CK$18,$AM$22:$CK$27,$AM$31:$CK$36),MATCH($L$81,$AL$4:$AL$9,0),MATCH(A81,$AM$3:$CK$3,0),MATCH($G$77,$X$26:$X$29,0)))*C81</f>
        <v>0</v>
      </c>
      <c r="AJ70" s="72"/>
      <c r="AK70" s="72"/>
      <c r="AL70" s="72" t="s">
        <v>64</v>
      </c>
      <c r="AM70" s="72">
        <v>0</v>
      </c>
      <c r="AN70" s="72">
        <v>0</v>
      </c>
      <c r="AO70" s="72">
        <v>0</v>
      </c>
      <c r="AP70" s="72">
        <v>0</v>
      </c>
      <c r="AQ70" s="72">
        <v>0</v>
      </c>
      <c r="AR70" s="72">
        <v>0</v>
      </c>
      <c r="AS70" s="72">
        <v>0</v>
      </c>
      <c r="AT70" s="72">
        <v>0</v>
      </c>
      <c r="AU70" s="72">
        <v>0</v>
      </c>
      <c r="AV70" s="72">
        <v>2</v>
      </c>
      <c r="AW70" s="72">
        <v>4</v>
      </c>
      <c r="AX70" s="72">
        <v>0</v>
      </c>
      <c r="AY70" s="72">
        <v>2</v>
      </c>
      <c r="AZ70" s="72">
        <v>0</v>
      </c>
      <c r="BA70" s="72">
        <v>2</v>
      </c>
      <c r="BB70" s="72">
        <v>2</v>
      </c>
      <c r="BC70" s="72">
        <v>0</v>
      </c>
      <c r="BD70" s="72">
        <v>0</v>
      </c>
      <c r="BE70" s="72">
        <v>0</v>
      </c>
      <c r="BF70" s="72">
        <v>0</v>
      </c>
      <c r="BG70" s="72">
        <v>0</v>
      </c>
      <c r="BH70" s="72">
        <v>0</v>
      </c>
      <c r="BI70" s="72">
        <v>2</v>
      </c>
      <c r="BJ70" s="72">
        <v>0</v>
      </c>
      <c r="BK70" s="72">
        <v>0</v>
      </c>
      <c r="BL70" s="72">
        <v>0</v>
      </c>
      <c r="BM70" s="72">
        <v>0</v>
      </c>
      <c r="BN70" s="72">
        <v>0</v>
      </c>
      <c r="BO70" s="72">
        <v>0</v>
      </c>
      <c r="BP70" s="72">
        <v>0</v>
      </c>
      <c r="BQ70" s="72">
        <v>0</v>
      </c>
      <c r="BR70" s="72">
        <v>0</v>
      </c>
      <c r="BS70" s="72">
        <v>0</v>
      </c>
      <c r="BT70" s="72">
        <v>0</v>
      </c>
      <c r="BU70" s="72">
        <v>0</v>
      </c>
      <c r="BV70" s="72">
        <v>0</v>
      </c>
      <c r="BW70" s="72">
        <v>0</v>
      </c>
      <c r="BX70" s="72">
        <v>2</v>
      </c>
      <c r="BY70" s="72">
        <v>0</v>
      </c>
      <c r="BZ70" s="72">
        <v>0</v>
      </c>
      <c r="CA70" s="72">
        <v>0</v>
      </c>
      <c r="CB70" s="72">
        <v>0</v>
      </c>
      <c r="CC70" s="72">
        <v>0</v>
      </c>
      <c r="CD70" s="72">
        <v>0</v>
      </c>
      <c r="CE70" s="72">
        <v>0</v>
      </c>
      <c r="CF70" s="72">
        <v>0</v>
      </c>
      <c r="CG70" s="72">
        <v>0</v>
      </c>
      <c r="CH70" s="72">
        <v>0</v>
      </c>
      <c r="CI70" s="72">
        <v>0</v>
      </c>
      <c r="CJ70" s="72">
        <v>2</v>
      </c>
      <c r="CK70" s="72">
        <v>0</v>
      </c>
      <c r="CL70" s="72"/>
      <c r="CM70" s="72" t="s">
        <v>101</v>
      </c>
      <c r="CN70" s="72">
        <v>0</v>
      </c>
      <c r="CO70" s="72">
        <v>0</v>
      </c>
      <c r="CP70" s="72">
        <v>2</v>
      </c>
      <c r="CQ70" s="72">
        <v>0</v>
      </c>
      <c r="CR70" s="72">
        <v>2</v>
      </c>
      <c r="CS70" s="72">
        <v>4</v>
      </c>
      <c r="CT70" s="72">
        <v>2</v>
      </c>
      <c r="CU70" s="72">
        <v>4</v>
      </c>
      <c r="CV70" s="72">
        <v>6</v>
      </c>
      <c r="CW70" s="72">
        <v>4</v>
      </c>
      <c r="CX70" s="72">
        <v>6</v>
      </c>
      <c r="CY70" s="72">
        <v>8</v>
      </c>
      <c r="CZ70" s="72">
        <v>6</v>
      </c>
      <c r="DA70" s="72">
        <v>8</v>
      </c>
      <c r="DB70" s="72">
        <v>10</v>
      </c>
      <c r="DC70" s="72">
        <v>8</v>
      </c>
      <c r="DD70" s="72">
        <v>10</v>
      </c>
      <c r="DE70" s="72">
        <v>12</v>
      </c>
      <c r="DF70" s="72">
        <v>10</v>
      </c>
      <c r="DG70" s="72">
        <v>12</v>
      </c>
      <c r="DH70" s="72">
        <v>14</v>
      </c>
      <c r="DI70" s="72"/>
      <c r="DJ70" s="72"/>
      <c r="DK70" s="72"/>
      <c r="DL70" s="72"/>
      <c r="DM70" s="72" t="s">
        <v>60</v>
      </c>
      <c r="DN70" s="72"/>
      <c r="DO70" s="72"/>
      <c r="DP70" s="72"/>
      <c r="DQ70" s="72"/>
      <c r="DR70" s="72"/>
      <c r="DS70" s="72"/>
      <c r="DT70" s="72"/>
      <c r="DU70" s="72"/>
      <c r="DV70" s="72"/>
      <c r="DW70" s="72"/>
      <c r="DX70" s="72"/>
      <c r="DY70" s="72"/>
      <c r="DZ70" s="81"/>
      <c r="EA70" s="81"/>
      <c r="EB70" s="81"/>
      <c r="EC70" s="72"/>
      <c r="ED70" s="72"/>
      <c r="EE70" s="72"/>
      <c r="EF70" s="72"/>
      <c r="EG70" s="72"/>
      <c r="EH70" s="72"/>
      <c r="EI70" s="72"/>
      <c r="EJ70" s="72"/>
      <c r="EK70" s="72"/>
      <c r="EL70" s="72"/>
      <c r="EM70" s="72"/>
      <c r="EN70" s="72"/>
      <c r="EO70" s="72"/>
      <c r="EP70" s="72"/>
      <c r="EQ70" s="72"/>
      <c r="ER70" s="72"/>
      <c r="ES70" s="72"/>
      <c r="ET70" s="72"/>
      <c r="EU70" s="72"/>
      <c r="EV70" s="72" t="s">
        <v>114</v>
      </c>
      <c r="EW70" s="72">
        <v>0</v>
      </c>
      <c r="EX70" s="72">
        <v>0</v>
      </c>
      <c r="EY70" s="72">
        <v>0</v>
      </c>
      <c r="EZ70" s="72">
        <v>0</v>
      </c>
      <c r="FA70" s="72">
        <v>0</v>
      </c>
      <c r="FB70" s="72">
        <v>0</v>
      </c>
      <c r="FC70" s="72">
        <v>0</v>
      </c>
      <c r="FD70" s="72">
        <v>0</v>
      </c>
      <c r="FE70" s="72">
        <v>0</v>
      </c>
      <c r="FF70" s="72">
        <v>0</v>
      </c>
      <c r="FG70" s="72">
        <v>0</v>
      </c>
      <c r="FH70" s="72"/>
      <c r="FI70" s="72" t="s">
        <v>100</v>
      </c>
      <c r="FJ70" s="72">
        <v>0</v>
      </c>
      <c r="FK70" s="72">
        <v>2</v>
      </c>
      <c r="FL70" s="72">
        <v>0</v>
      </c>
      <c r="FM70" s="72">
        <v>0</v>
      </c>
      <c r="FN70" s="72">
        <v>0</v>
      </c>
      <c r="FO70" s="72">
        <v>0</v>
      </c>
      <c r="FP70" s="72">
        <v>0</v>
      </c>
      <c r="FQ70" s="72">
        <v>0</v>
      </c>
      <c r="FR70" s="72">
        <v>0</v>
      </c>
      <c r="FS70" s="72">
        <v>0</v>
      </c>
      <c r="FT70" s="72">
        <v>0</v>
      </c>
      <c r="FU70" s="72"/>
      <c r="FV70" s="72" t="s">
        <v>100</v>
      </c>
      <c r="FW70" s="72">
        <v>0</v>
      </c>
      <c r="FX70" s="72">
        <v>0</v>
      </c>
      <c r="FY70" s="72">
        <v>0</v>
      </c>
      <c r="FZ70" s="72">
        <v>0</v>
      </c>
      <c r="GA70" s="72">
        <v>0</v>
      </c>
      <c r="GB70" s="72">
        <v>0</v>
      </c>
      <c r="GC70" s="72">
        <v>0</v>
      </c>
      <c r="GD70" s="72">
        <v>0</v>
      </c>
      <c r="GE70" s="72">
        <v>0</v>
      </c>
      <c r="GF70" s="72">
        <v>0</v>
      </c>
      <c r="GG70" s="72">
        <v>0</v>
      </c>
      <c r="GH70" s="72"/>
      <c r="GI70" s="72"/>
      <c r="GJ70" s="72"/>
      <c r="GK70" s="72"/>
      <c r="GL70" s="72"/>
      <c r="GM70" s="72"/>
      <c r="GN70" s="72"/>
      <c r="GO70" s="72"/>
      <c r="GP70" s="72"/>
      <c r="GQ70" s="72"/>
      <c r="GR70" s="72"/>
      <c r="GS70" s="72"/>
      <c r="GT70" s="72"/>
      <c r="GU70" s="72"/>
      <c r="GV70" s="72"/>
      <c r="GX70" s="72"/>
      <c r="GY70" s="88" t="s">
        <v>85</v>
      </c>
      <c r="GZ70" s="88" t="s">
        <v>86</v>
      </c>
      <c r="HA70" s="72"/>
      <c r="HB70" s="72"/>
      <c r="HC70" s="72"/>
      <c r="HD70" s="72"/>
      <c r="HW70" s="64">
        <v>0</v>
      </c>
      <c r="HX70" s="64">
        <v>1</v>
      </c>
      <c r="HY70" s="64">
        <v>2</v>
      </c>
      <c r="HZ70" s="64">
        <v>3</v>
      </c>
      <c r="IA70" s="64">
        <v>4</v>
      </c>
      <c r="IB70" s="64">
        <v>5</v>
      </c>
      <c r="IC70" s="64">
        <v>6</v>
      </c>
      <c r="ID70" s="64">
        <v>7</v>
      </c>
      <c r="IE70" s="64">
        <v>8</v>
      </c>
      <c r="IF70" s="64">
        <v>9</v>
      </c>
      <c r="IG70" s="64">
        <v>10</v>
      </c>
      <c r="IH70" s="64">
        <v>11</v>
      </c>
      <c r="II70" s="64">
        <v>12</v>
      </c>
      <c r="IJ70" s="64">
        <v>13</v>
      </c>
      <c r="IK70" s="64">
        <v>14</v>
      </c>
      <c r="IL70" s="64">
        <v>15</v>
      </c>
      <c r="IM70" s="64">
        <v>16</v>
      </c>
      <c r="IN70" s="64">
        <v>17</v>
      </c>
      <c r="IO70" s="64">
        <v>18</v>
      </c>
      <c r="IP70" s="64">
        <v>19</v>
      </c>
      <c r="IQ70" s="64">
        <v>20</v>
      </c>
      <c r="IT70" s="64">
        <f t="shared" si="42"/>
        <v>0</v>
      </c>
      <c r="IU70" s="64">
        <f t="shared" si="43"/>
        <v>2</v>
      </c>
      <c r="IV70" s="64">
        <f t="shared" si="44"/>
        <v>4</v>
      </c>
      <c r="IW70" s="64">
        <f t="shared" si="45"/>
        <v>6</v>
      </c>
      <c r="IX70" s="64">
        <f t="shared" si="46"/>
        <v>8</v>
      </c>
      <c r="IY70" s="64">
        <f t="shared" si="47"/>
        <v>10</v>
      </c>
      <c r="IZ70" s="64">
        <f t="shared" si="48"/>
        <v>12</v>
      </c>
      <c r="JA70" s="64">
        <f t="shared" si="49"/>
        <v>14</v>
      </c>
      <c r="JB70" s="64">
        <f t="shared" si="50"/>
        <v>16</v>
      </c>
      <c r="JC70" s="64">
        <f t="shared" si="51"/>
        <v>18</v>
      </c>
      <c r="JD70" s="64">
        <f t="shared" si="52"/>
        <v>20</v>
      </c>
      <c r="JE70" s="64">
        <f t="shared" si="53"/>
        <v>22</v>
      </c>
      <c r="JF70" s="64">
        <f t="shared" si="54"/>
        <v>24</v>
      </c>
      <c r="JG70" s="64">
        <f t="shared" si="55"/>
        <v>26</v>
      </c>
      <c r="JH70" s="64">
        <f t="shared" si="56"/>
        <v>28</v>
      </c>
      <c r="JI70" s="64">
        <f t="shared" si="57"/>
        <v>30</v>
      </c>
      <c r="JJ70" s="64">
        <f t="shared" si="58"/>
        <v>32</v>
      </c>
      <c r="JK70" s="64">
        <f t="shared" si="59"/>
        <v>34</v>
      </c>
      <c r="JL70" s="64">
        <f t="shared" si="60"/>
        <v>36</v>
      </c>
      <c r="JM70" s="64">
        <f t="shared" si="61"/>
        <v>38</v>
      </c>
      <c r="JN70" s="64">
        <f t="shared" si="62"/>
        <v>40</v>
      </c>
    </row>
    <row r="71" spans="1:277" x14ac:dyDescent="0.25">
      <c r="A71" s="9"/>
      <c r="B71" s="9"/>
      <c r="C71" s="9"/>
      <c r="D71" s="9"/>
      <c r="E71" s="9"/>
      <c r="F71" s="9"/>
      <c r="G71" s="9"/>
      <c r="H71" s="9"/>
      <c r="I71" s="9"/>
      <c r="J71" s="9"/>
      <c r="K71" s="9"/>
      <c r="L71" s="6" t="str">
        <f>IF(E52=$Z$2,"PC100C",IF(E52=$Z$3,"PC100C",IF(E52=$Z$4,"-------",IF(E52=$Z$5,"-------",0))))</f>
        <v>PC100C</v>
      </c>
      <c r="M71" s="11">
        <f>INDEX(cenník!$C$2:$I$568,MATCH($L71,cenník!$B$2:$B$557,0),MATCH(M$2,cenník!$C$1:$I$1,0))</f>
        <v>858433</v>
      </c>
      <c r="N71" s="11" t="str">
        <f>INDEX(cenník!$C$2:$I$568,MATCH($L71,cenník!$B$2:$B$557,0),MATCH(N$2,cenník!$C$1:$I$1,0))</f>
        <v>ks</v>
      </c>
      <c r="O71" s="11">
        <f>O61*2</f>
        <v>0</v>
      </c>
      <c r="P71" s="36">
        <f>INDEX(cenník!$C$2:$I$568,MATCH($L71,cenník!$B$2:$B$557,0),MATCH(P$2,cenník!$C$1:$I$1,0))</f>
        <v>2.34</v>
      </c>
      <c r="Q71" s="36">
        <f>O71*P71</f>
        <v>0</v>
      </c>
      <c r="R71" s="37">
        <f t="shared" si="90"/>
        <v>0</v>
      </c>
      <c r="S71" s="36">
        <f t="shared" si="91"/>
        <v>2.34</v>
      </c>
      <c r="T71" s="36">
        <f>O71*S71</f>
        <v>0</v>
      </c>
      <c r="U71" s="36">
        <f>INDEX(cenník!$C$2:$I$568,MATCH($L71,cenník!$B$2:$B$557,0),MATCH(U$2,cenník!$C$1:$I$1,0))*O71</f>
        <v>0</v>
      </c>
      <c r="V71" s="72"/>
      <c r="W71" s="85">
        <f t="shared" si="96"/>
        <v>0</v>
      </c>
      <c r="X71" s="72">
        <f t="shared" si="97"/>
        <v>0</v>
      </c>
      <c r="Y71" s="72"/>
      <c r="Z71" s="72">
        <f>(INDEX(($AM$4:$CK$9,$AM$13:$CK$18,$AM$22:$CK$27,$AM$31:$CK$36),MATCH($L$82,$AL$4:$AL$9,0),MATCH(A82,$AM$3:$CK$3,0),MATCH($G$77,$X$26:$X$29,0)))*C82</f>
        <v>0</v>
      </c>
      <c r="AA71" s="72">
        <f>(INDEX(($AM$4:$CK$9,$AM$13:$CK$18,$AM$22:$CK$27,$AM$31:$CK$36),MATCH($L$77,$AL$4:$AL$9,0),MATCH(A82,$AM$3:$CK$3,0),MATCH($G$77,$X$26:$X$29,0)))*C82</f>
        <v>0</v>
      </c>
      <c r="AB71" s="72">
        <f>(INDEX(($AM$4:$CK$9,$AM$13:$CK$18,$AM$22:$CK$27,$AM$31:$CK$36),MATCH($L$78,$AL$4:$AL$9,0),MATCH(A82,$AM$3:$CK$3,0),MATCH($G$77,$X$26:$X$29,0)))*C82</f>
        <v>0</v>
      </c>
      <c r="AC71" s="72">
        <f>(INDEX(($AM$4:$CK$9,$AM$13:$CK$18,$AM$22:$CK$27,$AM$31:$CK$36),MATCH($L$79,$AL$4:$AL$9,0),MATCH(A82,$AM$3:$CK$3,0),MATCH($G$77,$X$26:$X$29,0)))*C82</f>
        <v>0</v>
      </c>
      <c r="AD71" s="72">
        <f>(INDEX(($AM$4:$CK$9,$AM$13:$CK$18,$AM$22:$CK$27,$AM$31:$CK$36),MATCH($L$80,$AL$4:$AL$9,0),MATCH(A82,$AM$3:$CK$3,0),MATCH($G$77,$X$26:$X$29,0)))*C82</f>
        <v>0</v>
      </c>
      <c r="AE71" s="72">
        <f>(INDEX(($AM$4:$CK$9,$AM$13:$CK$18,$AM$22:$CK$27,$AM$31:$CK$36),MATCH($L$81,$AL$4:$AL$9,0),MATCH(A82,$AM$3:$CK$3,0),MATCH($G$77,$X$26:$X$29,0)))*C82</f>
        <v>0</v>
      </c>
      <c r="AJ71" s="72"/>
      <c r="AK71" s="72"/>
      <c r="AL71" s="72" t="s">
        <v>14</v>
      </c>
      <c r="AM71" s="72">
        <v>0</v>
      </c>
      <c r="AN71" s="72">
        <v>0</v>
      </c>
      <c r="AO71" s="72">
        <v>0</v>
      </c>
      <c r="AP71" s="72">
        <v>4</v>
      </c>
      <c r="AQ71" s="72">
        <v>4</v>
      </c>
      <c r="AR71" s="72">
        <v>4</v>
      </c>
      <c r="AS71" s="72">
        <v>8</v>
      </c>
      <c r="AT71" s="72">
        <v>2</v>
      </c>
      <c r="AU71" s="72">
        <v>2</v>
      </c>
      <c r="AV71" s="72">
        <v>4</v>
      </c>
      <c r="AW71" s="72">
        <v>6</v>
      </c>
      <c r="AX71" s="72">
        <v>8</v>
      </c>
      <c r="AY71" s="72">
        <v>10</v>
      </c>
      <c r="AZ71" s="72">
        <v>0</v>
      </c>
      <c r="BA71" s="72">
        <v>0</v>
      </c>
      <c r="BB71" s="72">
        <v>18</v>
      </c>
      <c r="BC71" s="72">
        <v>4</v>
      </c>
      <c r="BD71" s="72">
        <v>22</v>
      </c>
      <c r="BE71" s="72">
        <v>22</v>
      </c>
      <c r="BF71" s="72">
        <v>12</v>
      </c>
      <c r="BG71" s="72">
        <v>12</v>
      </c>
      <c r="BH71" s="72">
        <v>0</v>
      </c>
      <c r="BI71" s="72">
        <v>8</v>
      </c>
      <c r="BJ71" s="72">
        <v>18</v>
      </c>
      <c r="BK71" s="72">
        <v>8</v>
      </c>
      <c r="BL71" s="72">
        <v>24</v>
      </c>
      <c r="BM71" s="72">
        <v>0</v>
      </c>
      <c r="BN71" s="72">
        <v>14</v>
      </c>
      <c r="BO71" s="72">
        <v>30</v>
      </c>
      <c r="BP71" s="72">
        <v>4</v>
      </c>
      <c r="BQ71" s="72">
        <v>20</v>
      </c>
      <c r="BR71" s="72">
        <v>0</v>
      </c>
      <c r="BS71" s="72">
        <v>10</v>
      </c>
      <c r="BT71" s="72">
        <v>26</v>
      </c>
      <c r="BU71" s="72">
        <v>0</v>
      </c>
      <c r="BV71" s="72">
        <v>16</v>
      </c>
      <c r="BW71" s="72">
        <v>32</v>
      </c>
      <c r="BX71" s="72">
        <v>0</v>
      </c>
      <c r="BY71" s="72">
        <v>22</v>
      </c>
      <c r="BZ71" s="72">
        <v>0</v>
      </c>
      <c r="CA71" s="72">
        <v>12</v>
      </c>
      <c r="CB71" s="72">
        <v>28</v>
      </c>
      <c r="CC71" s="72">
        <v>2</v>
      </c>
      <c r="CD71" s="72">
        <v>18</v>
      </c>
      <c r="CE71" s="72">
        <v>0</v>
      </c>
      <c r="CF71" s="72">
        <v>8</v>
      </c>
      <c r="CG71" s="72">
        <v>24</v>
      </c>
      <c r="CH71" s="72">
        <v>0</v>
      </c>
      <c r="CI71" s="72">
        <v>14</v>
      </c>
      <c r="CJ71" s="72">
        <v>16</v>
      </c>
      <c r="CK71" s="72">
        <v>4</v>
      </c>
      <c r="CL71" s="72"/>
      <c r="CM71" s="72" t="s">
        <v>10</v>
      </c>
      <c r="CN71" s="72">
        <v>0</v>
      </c>
      <c r="CO71" s="72">
        <v>0</v>
      </c>
      <c r="CP71" s="72">
        <v>0</v>
      </c>
      <c r="CQ71" s="72">
        <v>2</v>
      </c>
      <c r="CR71" s="72">
        <v>2</v>
      </c>
      <c r="CS71" s="72">
        <v>2</v>
      </c>
      <c r="CT71" s="72">
        <v>4</v>
      </c>
      <c r="CU71" s="72">
        <v>4</v>
      </c>
      <c r="CV71" s="72">
        <v>4</v>
      </c>
      <c r="CW71" s="72">
        <v>6</v>
      </c>
      <c r="CX71" s="72">
        <v>6</v>
      </c>
      <c r="CY71" s="72">
        <v>6</v>
      </c>
      <c r="CZ71" s="72">
        <v>8</v>
      </c>
      <c r="DA71" s="72">
        <v>8</v>
      </c>
      <c r="DB71" s="72">
        <v>8</v>
      </c>
      <c r="DC71" s="72">
        <v>10</v>
      </c>
      <c r="DD71" s="72">
        <v>10</v>
      </c>
      <c r="DE71" s="72">
        <v>10</v>
      </c>
      <c r="DF71" s="72">
        <v>12</v>
      </c>
      <c r="DG71" s="72">
        <v>12</v>
      </c>
      <c r="DH71" s="72">
        <v>12</v>
      </c>
      <c r="DI71" s="72"/>
      <c r="DJ71" s="72"/>
      <c r="DK71" s="72"/>
      <c r="DL71" s="72"/>
      <c r="DM71" s="72"/>
      <c r="DN71" s="72">
        <v>0</v>
      </c>
      <c r="DO71" s="72">
        <v>1</v>
      </c>
      <c r="DP71" s="72">
        <v>2</v>
      </c>
      <c r="DQ71" s="72">
        <v>3</v>
      </c>
      <c r="DR71" s="72">
        <v>4</v>
      </c>
      <c r="DS71" s="72">
        <v>5</v>
      </c>
      <c r="DT71" s="72">
        <v>6</v>
      </c>
      <c r="DU71" s="72">
        <v>7</v>
      </c>
      <c r="DV71" s="72">
        <v>8</v>
      </c>
      <c r="DW71" s="72">
        <v>9</v>
      </c>
      <c r="DX71" s="72">
        <v>10</v>
      </c>
      <c r="DY71" s="72">
        <v>11</v>
      </c>
      <c r="DZ71" s="81">
        <v>12</v>
      </c>
      <c r="EA71" s="81">
        <v>13</v>
      </c>
      <c r="EB71" s="81">
        <v>14</v>
      </c>
      <c r="EC71" s="72">
        <v>15</v>
      </c>
      <c r="ED71" s="72">
        <v>16</v>
      </c>
      <c r="EE71" s="72">
        <v>17</v>
      </c>
      <c r="EF71" s="72">
        <v>18</v>
      </c>
      <c r="EG71" s="72">
        <v>19</v>
      </c>
      <c r="EH71" s="72">
        <v>20</v>
      </c>
      <c r="EI71" s="72"/>
      <c r="EJ71" s="72"/>
      <c r="EK71" s="72"/>
      <c r="EL71" s="72"/>
      <c r="EM71" s="72"/>
      <c r="EN71" s="72"/>
      <c r="EO71" s="72"/>
      <c r="EP71" s="72"/>
      <c r="EQ71" s="72"/>
      <c r="ER71" s="72"/>
      <c r="ES71" s="72"/>
      <c r="ET71" s="72"/>
      <c r="EU71" s="72"/>
      <c r="EV71" s="72" t="s">
        <v>9</v>
      </c>
      <c r="EW71" s="72">
        <v>0</v>
      </c>
      <c r="EX71" s="72">
        <v>0</v>
      </c>
      <c r="EY71" s="72">
        <v>0</v>
      </c>
      <c r="EZ71" s="72">
        <v>0</v>
      </c>
      <c r="FA71" s="72">
        <v>0</v>
      </c>
      <c r="FB71" s="72">
        <v>2</v>
      </c>
      <c r="FC71" s="72">
        <v>2</v>
      </c>
      <c r="FD71" s="72">
        <v>0</v>
      </c>
      <c r="FE71" s="72">
        <v>2</v>
      </c>
      <c r="FF71" s="72">
        <v>8</v>
      </c>
      <c r="FG71" s="72">
        <v>2</v>
      </c>
      <c r="FH71" s="72"/>
      <c r="FI71" s="72" t="s">
        <v>114</v>
      </c>
      <c r="FJ71" s="72">
        <v>0</v>
      </c>
      <c r="FK71" s="72">
        <v>0</v>
      </c>
      <c r="FL71" s="72">
        <v>0</v>
      </c>
      <c r="FM71" s="72">
        <v>0</v>
      </c>
      <c r="FN71" s="72">
        <v>0</v>
      </c>
      <c r="FO71" s="72">
        <v>0</v>
      </c>
      <c r="FP71" s="72">
        <v>0</v>
      </c>
      <c r="FQ71" s="72">
        <v>0</v>
      </c>
      <c r="FR71" s="72">
        <v>0</v>
      </c>
      <c r="FS71" s="72">
        <v>0</v>
      </c>
      <c r="FT71" s="72">
        <v>0</v>
      </c>
      <c r="FU71" s="72"/>
      <c r="FV71" s="72" t="s">
        <v>114</v>
      </c>
      <c r="FW71" s="72">
        <v>0</v>
      </c>
      <c r="FX71" s="72">
        <v>2</v>
      </c>
      <c r="FY71" s="72">
        <v>0</v>
      </c>
      <c r="FZ71" s="72">
        <v>0</v>
      </c>
      <c r="GA71" s="72">
        <v>0</v>
      </c>
      <c r="GB71" s="72">
        <v>0</v>
      </c>
      <c r="GC71" s="72">
        <v>0</v>
      </c>
      <c r="GD71" s="72">
        <v>2</v>
      </c>
      <c r="GE71" s="72">
        <v>0</v>
      </c>
      <c r="GF71" s="72">
        <v>0</v>
      </c>
      <c r="GG71" s="72">
        <v>0</v>
      </c>
      <c r="GH71" s="72"/>
      <c r="GI71" s="72"/>
      <c r="GJ71" s="72"/>
      <c r="GK71" s="72"/>
      <c r="GL71" s="72"/>
      <c r="GM71" s="72"/>
      <c r="GN71" s="72"/>
      <c r="GO71" s="72"/>
      <c r="GP71" s="72"/>
      <c r="GQ71" s="72"/>
      <c r="GR71" s="72"/>
      <c r="GS71" s="72"/>
      <c r="GT71" s="72"/>
      <c r="GU71" s="72"/>
      <c r="GV71" s="72"/>
      <c r="GX71" s="72"/>
      <c r="GY71" s="72">
        <v>20</v>
      </c>
      <c r="GZ71" s="72">
        <v>2250</v>
      </c>
      <c r="HA71" s="72"/>
      <c r="HB71" s="72"/>
      <c r="HC71" s="72"/>
      <c r="HD71" s="72"/>
      <c r="HV71" s="64" t="s">
        <v>380</v>
      </c>
      <c r="HW71" s="64">
        <v>0</v>
      </c>
      <c r="HX71" s="64">
        <v>2</v>
      </c>
      <c r="HY71" s="64">
        <v>4</v>
      </c>
      <c r="HZ71" s="64">
        <v>0</v>
      </c>
      <c r="IA71" s="64">
        <v>2</v>
      </c>
      <c r="IB71" s="64">
        <v>4</v>
      </c>
      <c r="IC71" s="64">
        <v>0</v>
      </c>
      <c r="ID71" s="64">
        <v>2</v>
      </c>
      <c r="IE71" s="64">
        <v>4</v>
      </c>
      <c r="IF71" s="64">
        <v>0</v>
      </c>
      <c r="IG71" s="64">
        <v>2</v>
      </c>
      <c r="IH71" s="64">
        <v>4</v>
      </c>
      <c r="II71" s="64">
        <v>0</v>
      </c>
      <c r="IJ71" s="64">
        <v>2</v>
      </c>
      <c r="IK71" s="64">
        <v>4</v>
      </c>
      <c r="IL71" s="64">
        <v>0</v>
      </c>
      <c r="IM71" s="64">
        <v>2</v>
      </c>
      <c r="IN71" s="64">
        <v>4</v>
      </c>
      <c r="IO71" s="64">
        <v>0</v>
      </c>
      <c r="IP71" s="64">
        <v>2</v>
      </c>
      <c r="IQ71" s="64">
        <v>4</v>
      </c>
      <c r="IS71" s="64" t="s">
        <v>380</v>
      </c>
      <c r="IT71" s="64">
        <f t="shared" si="42"/>
        <v>0</v>
      </c>
      <c r="IU71" s="64">
        <f t="shared" si="43"/>
        <v>4</v>
      </c>
      <c r="IV71" s="64">
        <f t="shared" si="44"/>
        <v>8</v>
      </c>
      <c r="IW71" s="64">
        <f t="shared" si="45"/>
        <v>0</v>
      </c>
      <c r="IX71" s="64">
        <f t="shared" si="46"/>
        <v>4</v>
      </c>
      <c r="IY71" s="64">
        <f t="shared" si="47"/>
        <v>8</v>
      </c>
      <c r="IZ71" s="64">
        <f t="shared" si="48"/>
        <v>0</v>
      </c>
      <c r="JA71" s="64">
        <f t="shared" si="49"/>
        <v>4</v>
      </c>
      <c r="JB71" s="64">
        <f t="shared" si="50"/>
        <v>8</v>
      </c>
      <c r="JC71" s="64">
        <f t="shared" si="51"/>
        <v>0</v>
      </c>
      <c r="JD71" s="64">
        <f t="shared" si="52"/>
        <v>4</v>
      </c>
      <c r="JE71" s="64">
        <f t="shared" si="53"/>
        <v>8</v>
      </c>
      <c r="JF71" s="64">
        <f t="shared" si="54"/>
        <v>0</v>
      </c>
      <c r="JG71" s="64">
        <f t="shared" si="55"/>
        <v>4</v>
      </c>
      <c r="JH71" s="64">
        <f t="shared" si="56"/>
        <v>8</v>
      </c>
      <c r="JI71" s="64">
        <f t="shared" si="57"/>
        <v>0</v>
      </c>
      <c r="JJ71" s="64">
        <f t="shared" si="58"/>
        <v>4</v>
      </c>
      <c r="JK71" s="64">
        <f t="shared" si="59"/>
        <v>8</v>
      </c>
      <c r="JL71" s="64">
        <f t="shared" si="60"/>
        <v>0</v>
      </c>
      <c r="JM71" s="64">
        <f t="shared" si="61"/>
        <v>4</v>
      </c>
      <c r="JN71" s="64">
        <f t="shared" si="62"/>
        <v>8</v>
      </c>
    </row>
    <row r="72" spans="1:277" x14ac:dyDescent="0.25">
      <c r="A72" s="9"/>
      <c r="B72" s="9"/>
      <c r="C72" s="9"/>
      <c r="D72" s="9"/>
      <c r="E72" s="9"/>
      <c r="F72" s="9"/>
      <c r="G72" s="9"/>
      <c r="H72" s="9"/>
      <c r="I72" s="9"/>
      <c r="J72" s="9"/>
      <c r="K72" s="9"/>
      <c r="L72" s="6" t="s">
        <v>981</v>
      </c>
      <c r="M72" s="11">
        <f>INDEX(cenník!$C$2:$I$568,MATCH($L72,cenník!$B$2:$B$557,0),MATCH(M$2,cenník!$C$1:$I$1,0))</f>
        <v>760401</v>
      </c>
      <c r="N72" s="11" t="str">
        <f>INDEX(cenník!$C$2:$I$568,MATCH($L72,cenník!$B$2:$B$557,0),MATCH(N$2,cenník!$C$1:$I$1,0))</f>
        <v>ks</v>
      </c>
      <c r="O72" s="11">
        <f>SUM(C49:C64)*4</f>
        <v>0</v>
      </c>
      <c r="P72" s="36">
        <f>INDEX(cenník!$C$2:$I$568,MATCH($L72,cenník!$B$2:$B$557,0),MATCH(P$2,cenník!$C$1:$I$1,0))</f>
        <v>0.44</v>
      </c>
      <c r="Q72" s="36">
        <f>O72*P72</f>
        <v>0</v>
      </c>
      <c r="R72" s="37">
        <f t="shared" si="90"/>
        <v>0</v>
      </c>
      <c r="S72" s="36">
        <f t="shared" si="91"/>
        <v>0.44</v>
      </c>
      <c r="T72" s="36">
        <f>O72*S72</f>
        <v>0</v>
      </c>
      <c r="U72" s="36">
        <f>INDEX(cenník!$C$2:$I$568,MATCH($L72,cenník!$B$2:$B$557,0),MATCH(U$2,cenník!$C$1:$I$1,0))*O72</f>
        <v>0</v>
      </c>
      <c r="V72" s="72"/>
      <c r="W72" s="85">
        <f t="shared" si="96"/>
        <v>0</v>
      </c>
      <c r="X72" s="72">
        <f t="shared" si="97"/>
        <v>0</v>
      </c>
      <c r="Y72" s="72"/>
      <c r="Z72" s="72">
        <f>(INDEX(($AM$4:$CK$9,$AM$13:$CK$18,$AM$22:$CK$27,$AM$31:$CK$36),MATCH($L$82,$AL$4:$AL$9,0),MATCH(A83,$AM$3:$CK$3,0),MATCH($G$77,$X$26:$X$29,0)))*C83</f>
        <v>0</v>
      </c>
      <c r="AA72" s="72">
        <f>(INDEX(($AM$4:$CK$9,$AM$13:$CK$18,$AM$22:$CK$27,$AM$31:$CK$36),MATCH($L$77,$AL$4:$AL$9,0),MATCH(A83,$AM$3:$CK$3,0),MATCH($G$77,$X$26:$X$29,0)))*C83</f>
        <v>0</v>
      </c>
      <c r="AB72" s="72">
        <f>(INDEX(($AM$4:$CK$9,$AM$13:$CK$18,$AM$22:$CK$27,$AM$31:$CK$36),MATCH($L$78,$AL$4:$AL$9,0),MATCH(A83,$AM$3:$CK$3,0),MATCH($G$77,$X$26:$X$29,0)))*C83</f>
        <v>0</v>
      </c>
      <c r="AC72" s="72">
        <f>(INDEX(($AM$4:$CK$9,$AM$13:$CK$18,$AM$22:$CK$27,$AM$31:$CK$36),MATCH($L$79,$AL$4:$AL$9,0),MATCH(A83,$AM$3:$CK$3,0),MATCH($G$77,$X$26:$X$29,0)))*C83</f>
        <v>0</v>
      </c>
      <c r="AD72" s="72">
        <f>(INDEX(($AM$4:$CK$9,$AM$13:$CK$18,$AM$22:$CK$27,$AM$31:$CK$36),MATCH($L$80,$AL$4:$AL$9,0),MATCH(A83,$AM$3:$CK$3,0),MATCH($G$77,$X$26:$X$29,0)))*C83</f>
        <v>0</v>
      </c>
      <c r="AE72" s="72">
        <f>(INDEX(($AM$4:$CK$9,$AM$13:$CK$18,$AM$22:$CK$27,$AM$31:$CK$36),MATCH($L$81,$AL$4:$AL$9,0),MATCH(A83,$AM$3:$CK$3,0),MATCH($G$77,$X$26:$X$29,0)))*C83</f>
        <v>0</v>
      </c>
      <c r="AJ72" s="72"/>
      <c r="AK72" s="72"/>
      <c r="AL72" s="72" t="s">
        <v>18</v>
      </c>
      <c r="AM72" s="72">
        <v>0</v>
      </c>
      <c r="AN72" s="72">
        <v>0</v>
      </c>
      <c r="AO72" s="72">
        <v>0</v>
      </c>
      <c r="AP72" s="72">
        <v>0</v>
      </c>
      <c r="AQ72" s="72">
        <v>0</v>
      </c>
      <c r="AR72" s="72">
        <v>0</v>
      </c>
      <c r="AS72" s="72">
        <v>0</v>
      </c>
      <c r="AT72" s="72">
        <v>6</v>
      </c>
      <c r="AU72" s="72">
        <v>8</v>
      </c>
      <c r="AV72" s="72">
        <v>6</v>
      </c>
      <c r="AW72" s="72">
        <v>4</v>
      </c>
      <c r="AX72" s="72">
        <v>6</v>
      </c>
      <c r="AY72" s="72">
        <v>4</v>
      </c>
      <c r="AZ72" s="72">
        <v>16</v>
      </c>
      <c r="BA72" s="72">
        <v>16</v>
      </c>
      <c r="BB72" s="72">
        <v>0</v>
      </c>
      <c r="BC72" s="72">
        <v>16</v>
      </c>
      <c r="BD72" s="72">
        <v>0</v>
      </c>
      <c r="BE72" s="72">
        <v>0</v>
      </c>
      <c r="BF72" s="72">
        <v>12</v>
      </c>
      <c r="BG72" s="72">
        <v>12</v>
      </c>
      <c r="BH72" s="72">
        <v>26</v>
      </c>
      <c r="BI72" s="72">
        <v>18</v>
      </c>
      <c r="BJ72" s="72">
        <v>10</v>
      </c>
      <c r="BK72" s="72">
        <v>22</v>
      </c>
      <c r="BL72" s="72">
        <v>8</v>
      </c>
      <c r="BM72" s="72">
        <v>32</v>
      </c>
      <c r="BN72" s="72">
        <v>20</v>
      </c>
      <c r="BO72" s="72">
        <v>6</v>
      </c>
      <c r="BP72" s="72">
        <v>32</v>
      </c>
      <c r="BQ72" s="72">
        <v>18</v>
      </c>
      <c r="BR72" s="72">
        <v>38</v>
      </c>
      <c r="BS72" s="72">
        <v>30</v>
      </c>
      <c r="BT72" s="72">
        <v>16</v>
      </c>
      <c r="BU72" s="72">
        <v>42</v>
      </c>
      <c r="BV72" s="72">
        <v>28</v>
      </c>
      <c r="BW72" s="72">
        <v>14</v>
      </c>
      <c r="BX72" s="72">
        <v>44</v>
      </c>
      <c r="BY72" s="72">
        <v>26</v>
      </c>
      <c r="BZ72" s="72">
        <v>48</v>
      </c>
      <c r="CA72" s="72">
        <v>38</v>
      </c>
      <c r="CB72" s="72">
        <v>24</v>
      </c>
      <c r="CC72" s="72">
        <v>50</v>
      </c>
      <c r="CD72" s="72">
        <v>36</v>
      </c>
      <c r="CE72" s="72">
        <v>54</v>
      </c>
      <c r="CF72" s="72">
        <v>48</v>
      </c>
      <c r="CG72" s="72">
        <v>34</v>
      </c>
      <c r="CH72" s="72">
        <v>58</v>
      </c>
      <c r="CI72" s="72">
        <v>46</v>
      </c>
      <c r="CJ72" s="72">
        <v>44</v>
      </c>
      <c r="CK72" s="72">
        <v>58</v>
      </c>
      <c r="CL72" s="72"/>
      <c r="CM72" s="72"/>
      <c r="CN72" s="72"/>
      <c r="CO72" s="72"/>
      <c r="CP72" s="72"/>
      <c r="CQ72" s="72"/>
      <c r="CR72" s="72"/>
      <c r="CS72" s="72"/>
      <c r="CT72" s="72"/>
      <c r="CU72" s="72"/>
      <c r="CV72" s="72"/>
      <c r="CW72" s="72"/>
      <c r="CX72" s="72"/>
      <c r="CY72" s="72"/>
      <c r="CZ72" s="72"/>
      <c r="DA72" s="72"/>
      <c r="DB72" s="72"/>
      <c r="DC72" s="72"/>
      <c r="DD72" s="72"/>
      <c r="DE72" s="72"/>
      <c r="DF72" s="72"/>
      <c r="DG72" s="72"/>
      <c r="DH72" s="72"/>
      <c r="DI72" s="72"/>
      <c r="DJ72" s="72"/>
      <c r="DK72" s="72"/>
      <c r="DL72" s="72"/>
      <c r="DM72" s="72" t="s">
        <v>114</v>
      </c>
      <c r="DN72" s="72">
        <v>0</v>
      </c>
      <c r="DO72" s="72">
        <v>2</v>
      </c>
      <c r="DP72" s="72">
        <v>2</v>
      </c>
      <c r="DQ72" s="72">
        <v>0</v>
      </c>
      <c r="DR72" s="72">
        <v>4</v>
      </c>
      <c r="DS72" s="72">
        <v>2</v>
      </c>
      <c r="DT72" s="72">
        <v>0</v>
      </c>
      <c r="DU72" s="72">
        <v>4</v>
      </c>
      <c r="DV72" s="72">
        <v>2</v>
      </c>
      <c r="DW72" s="72">
        <v>0</v>
      </c>
      <c r="DX72" s="72">
        <v>4</v>
      </c>
      <c r="DY72" s="72">
        <v>2</v>
      </c>
      <c r="DZ72" s="81">
        <v>0</v>
      </c>
      <c r="EA72" s="81">
        <v>0</v>
      </c>
      <c r="EB72" s="81">
        <v>2</v>
      </c>
      <c r="EC72" s="72">
        <v>2</v>
      </c>
      <c r="ED72" s="72">
        <v>0</v>
      </c>
      <c r="EE72" s="72">
        <v>4</v>
      </c>
      <c r="EF72" s="72">
        <v>2</v>
      </c>
      <c r="EG72" s="72">
        <v>0</v>
      </c>
      <c r="EH72" s="72">
        <v>4</v>
      </c>
      <c r="EI72" s="72"/>
      <c r="EJ72" s="72"/>
      <c r="EK72" s="72"/>
      <c r="EL72" s="72"/>
      <c r="EM72" s="72"/>
      <c r="EN72" s="72"/>
      <c r="EO72" s="72"/>
      <c r="EP72" s="72"/>
      <c r="EQ72" s="72"/>
      <c r="ER72" s="72"/>
      <c r="ES72" s="72"/>
      <c r="ET72" s="72"/>
      <c r="EU72" s="72"/>
      <c r="EV72" s="72" t="s">
        <v>101</v>
      </c>
      <c r="EW72" s="72">
        <v>0</v>
      </c>
      <c r="EX72" s="72">
        <v>0</v>
      </c>
      <c r="EY72" s="72">
        <v>2</v>
      </c>
      <c r="EZ72" s="72">
        <v>0</v>
      </c>
      <c r="FA72" s="72">
        <v>4</v>
      </c>
      <c r="FB72" s="72">
        <v>0</v>
      </c>
      <c r="FC72" s="72">
        <v>0</v>
      </c>
      <c r="FD72" s="72">
        <v>2</v>
      </c>
      <c r="FE72" s="72">
        <v>2</v>
      </c>
      <c r="FF72" s="72">
        <v>0</v>
      </c>
      <c r="FG72" s="72">
        <v>4</v>
      </c>
      <c r="FH72" s="72"/>
      <c r="FI72" s="72" t="s">
        <v>9</v>
      </c>
      <c r="FJ72" s="72">
        <v>0</v>
      </c>
      <c r="FK72" s="72">
        <v>0</v>
      </c>
      <c r="FL72" s="72">
        <v>2</v>
      </c>
      <c r="FM72" s="72">
        <v>4</v>
      </c>
      <c r="FN72" s="72">
        <v>2</v>
      </c>
      <c r="FO72" s="72">
        <v>4</v>
      </c>
      <c r="FP72" s="72">
        <v>0</v>
      </c>
      <c r="FQ72" s="72">
        <v>2</v>
      </c>
      <c r="FR72" s="72">
        <v>8</v>
      </c>
      <c r="FS72" s="72">
        <v>0</v>
      </c>
      <c r="FT72" s="72">
        <v>8</v>
      </c>
      <c r="FU72" s="72"/>
      <c r="FV72" s="72" t="s">
        <v>9</v>
      </c>
      <c r="FW72" s="72">
        <v>0</v>
      </c>
      <c r="FX72" s="72">
        <v>0</v>
      </c>
      <c r="FY72" s="72">
        <v>0</v>
      </c>
      <c r="FZ72" s="72">
        <v>2</v>
      </c>
      <c r="GA72" s="72">
        <v>0</v>
      </c>
      <c r="GB72" s="72">
        <v>0</v>
      </c>
      <c r="GC72" s="72">
        <v>4</v>
      </c>
      <c r="GD72" s="72">
        <v>6</v>
      </c>
      <c r="GE72" s="72">
        <v>4</v>
      </c>
      <c r="GF72" s="72">
        <v>8</v>
      </c>
      <c r="GG72" s="72">
        <v>0</v>
      </c>
      <c r="GH72" s="72"/>
      <c r="GI72" s="72"/>
      <c r="GJ72" s="72"/>
      <c r="GK72" s="72"/>
      <c r="GL72" s="72"/>
      <c r="GM72" s="72"/>
      <c r="GN72" s="72"/>
      <c r="GO72" s="72"/>
      <c r="GP72" s="72"/>
      <c r="GQ72" s="72"/>
      <c r="GR72" s="72"/>
      <c r="GS72" s="72"/>
      <c r="GT72" s="72"/>
      <c r="GU72" s="72"/>
      <c r="GV72" s="72"/>
      <c r="GX72" s="72"/>
      <c r="GY72" s="72">
        <f>((GY71*GZ71)+((GY71-1)*20))</f>
        <v>45380</v>
      </c>
      <c r="GZ72" s="88" t="s">
        <v>91</v>
      </c>
      <c r="HA72" s="88" t="s">
        <v>89</v>
      </c>
      <c r="HB72" s="88" t="s">
        <v>88</v>
      </c>
      <c r="HC72" s="72"/>
      <c r="HD72" s="72" t="s">
        <v>415</v>
      </c>
      <c r="HV72" s="64" t="s">
        <v>379</v>
      </c>
      <c r="HW72" s="64">
        <v>0</v>
      </c>
      <c r="HX72" s="64">
        <v>0</v>
      </c>
      <c r="HY72" s="64">
        <v>0</v>
      </c>
      <c r="HZ72" s="64">
        <v>4</v>
      </c>
      <c r="IA72" s="64">
        <v>4</v>
      </c>
      <c r="IB72" s="64">
        <v>4</v>
      </c>
      <c r="IC72" s="64">
        <v>8</v>
      </c>
      <c r="ID72" s="64">
        <v>8</v>
      </c>
      <c r="IE72" s="64">
        <v>8</v>
      </c>
      <c r="IF72" s="64">
        <v>12</v>
      </c>
      <c r="IG72" s="64">
        <v>12</v>
      </c>
      <c r="IH72" s="64">
        <v>12</v>
      </c>
      <c r="II72" s="64">
        <v>16</v>
      </c>
      <c r="IJ72" s="64">
        <v>16</v>
      </c>
      <c r="IK72" s="64">
        <v>16</v>
      </c>
      <c r="IL72" s="64">
        <v>20</v>
      </c>
      <c r="IM72" s="64">
        <v>20</v>
      </c>
      <c r="IN72" s="64">
        <v>20</v>
      </c>
      <c r="IO72" s="64">
        <v>24</v>
      </c>
      <c r="IP72" s="64">
        <v>24</v>
      </c>
      <c r="IQ72" s="64">
        <v>24</v>
      </c>
      <c r="IS72" s="64" t="s">
        <v>379</v>
      </c>
      <c r="IT72" s="64">
        <f t="shared" si="42"/>
        <v>0</v>
      </c>
      <c r="IU72" s="64">
        <f t="shared" si="43"/>
        <v>0</v>
      </c>
      <c r="IV72" s="64">
        <f t="shared" si="44"/>
        <v>0</v>
      </c>
      <c r="IW72" s="64">
        <f t="shared" si="45"/>
        <v>8</v>
      </c>
      <c r="IX72" s="64">
        <f t="shared" si="46"/>
        <v>8</v>
      </c>
      <c r="IY72" s="64">
        <f t="shared" si="47"/>
        <v>8</v>
      </c>
      <c r="IZ72" s="64">
        <f t="shared" si="48"/>
        <v>16</v>
      </c>
      <c r="JA72" s="64">
        <f t="shared" si="49"/>
        <v>16</v>
      </c>
      <c r="JB72" s="64">
        <f t="shared" ref="JB72:JB109" si="98">IE72*2</f>
        <v>16</v>
      </c>
      <c r="JC72" s="64">
        <f t="shared" si="51"/>
        <v>24</v>
      </c>
      <c r="JD72" s="64">
        <f t="shared" si="52"/>
        <v>24</v>
      </c>
      <c r="JE72" s="64">
        <f t="shared" si="53"/>
        <v>24</v>
      </c>
      <c r="JF72" s="64">
        <f t="shared" si="54"/>
        <v>32</v>
      </c>
      <c r="JG72" s="64">
        <f t="shared" si="55"/>
        <v>32</v>
      </c>
      <c r="JH72" s="64">
        <f t="shared" si="56"/>
        <v>32</v>
      </c>
      <c r="JI72" s="64">
        <f t="shared" si="57"/>
        <v>40</v>
      </c>
      <c r="JJ72" s="64">
        <f t="shared" si="58"/>
        <v>40</v>
      </c>
      <c r="JK72" s="64">
        <f t="shared" si="59"/>
        <v>40</v>
      </c>
      <c r="JL72" s="64">
        <f t="shared" si="60"/>
        <v>48</v>
      </c>
      <c r="JM72" s="64">
        <f t="shared" si="61"/>
        <v>48</v>
      </c>
      <c r="JN72" s="64">
        <f t="shared" si="62"/>
        <v>48</v>
      </c>
    </row>
    <row r="73" spans="1:277" x14ac:dyDescent="0.25">
      <c r="A73" s="9"/>
      <c r="B73" s="9"/>
      <c r="C73" s="9"/>
      <c r="D73" s="9"/>
      <c r="E73" s="9"/>
      <c r="F73" s="9"/>
      <c r="G73" s="9"/>
      <c r="H73" s="9"/>
      <c r="I73" s="9"/>
      <c r="J73" s="9"/>
      <c r="K73" s="9"/>
      <c r="L73" s="6" t="s">
        <v>244</v>
      </c>
      <c r="M73" s="11">
        <f>INDEX(cenník!$C$2:$I$568,MATCH($L73,cenník!$B$2:$B$557,0),MATCH(M$2,cenník!$C$1:$I$1,0))</f>
        <v>166794</v>
      </c>
      <c r="N73" s="11" t="str">
        <f>INDEX(cenník!$C$2:$I$568,MATCH($L73,cenník!$B$2:$B$557,0),MATCH(N$2,cenník!$C$1:$I$1,0))</f>
        <v>100ks</v>
      </c>
      <c r="O73" s="11">
        <f>ROUNDUP((O64/100),0)</f>
        <v>0</v>
      </c>
      <c r="P73" s="36">
        <f>INDEX(cenník!$C$2:$I$568,MATCH($L73,cenník!$B$2:$B$557,0),MATCH(P$2,cenník!$C$1:$I$1,0))</f>
        <v>1.38</v>
      </c>
      <c r="Q73" s="36">
        <f>O73*P73</f>
        <v>0</v>
      </c>
      <c r="R73" s="37">
        <f t="shared" si="90"/>
        <v>0</v>
      </c>
      <c r="S73" s="36">
        <f t="shared" si="91"/>
        <v>1.38</v>
      </c>
      <c r="T73" s="36">
        <f>O73*S73</f>
        <v>0</v>
      </c>
      <c r="U73" s="36">
        <f>INDEX(cenník!$C$2:$I$568,MATCH($L73,cenník!$B$2:$B$557,0),MATCH(U$2,cenník!$C$1:$I$1,0))*O73</f>
        <v>0</v>
      </c>
      <c r="V73" s="72"/>
      <c r="W73" s="85">
        <f t="shared" si="96"/>
        <v>0</v>
      </c>
      <c r="X73" s="72">
        <f t="shared" si="97"/>
        <v>0</v>
      </c>
      <c r="Y73" s="72"/>
      <c r="Z73" s="72">
        <f>(INDEX(($AM$4:$CK$9,$AM$13:$CK$18,$AM$22:$CK$27,$AM$31:$CK$36),MATCH($L$82,$AL$4:$AL$9,0),MATCH(A84,$AM$3:$CK$3,0),MATCH($G$77,$X$26:$X$29,0)))*C84</f>
        <v>0</v>
      </c>
      <c r="AA73" s="72">
        <f>(INDEX(($AM$4:$CK$9,$AM$13:$CK$18,$AM$22:$CK$27,$AM$31:$CK$36),MATCH($L$77,$AL$4:$AL$9,0),MATCH(A84,$AM$3:$CK$3,0),MATCH($G$77,$X$26:$X$29,0)))*C84</f>
        <v>0</v>
      </c>
      <c r="AB73" s="72">
        <f>(INDEX(($AM$4:$CK$9,$AM$13:$CK$18,$AM$22:$CK$27,$AM$31:$CK$36),MATCH($L$78,$AL$4:$AL$9,0),MATCH(A84,$AM$3:$CK$3,0),MATCH($G$77,$X$26:$X$29,0)))*C84</f>
        <v>0</v>
      </c>
      <c r="AC73" s="72">
        <f>(INDEX(($AM$4:$CK$9,$AM$13:$CK$18,$AM$22:$CK$27,$AM$31:$CK$36),MATCH($L$79,$AL$4:$AL$9,0),MATCH(A84,$AM$3:$CK$3,0),MATCH($G$77,$X$26:$X$29,0)))*C84</f>
        <v>0</v>
      </c>
      <c r="AD73" s="72">
        <f>(INDEX(($AM$4:$CK$9,$AM$13:$CK$18,$AM$22:$CK$27,$AM$31:$CK$36),MATCH($L$80,$AL$4:$AL$9,0),MATCH(A84,$AM$3:$CK$3,0),MATCH($G$77,$X$26:$X$29,0)))*C84</f>
        <v>0</v>
      </c>
      <c r="AE73" s="72">
        <f>(INDEX(($AM$4:$CK$9,$AM$13:$CK$18,$AM$22:$CK$27,$AM$31:$CK$36),MATCH($L$81,$AL$4:$AL$9,0),MATCH(A84,$AM$3:$CK$3,0),MATCH($G$77,$X$26:$X$29,0)))*C84</f>
        <v>0</v>
      </c>
      <c r="AJ73" s="72"/>
      <c r="AK73" s="72"/>
      <c r="AL73" s="72" t="s">
        <v>179</v>
      </c>
      <c r="AM73" s="72">
        <v>0</v>
      </c>
      <c r="AN73" s="72">
        <f t="shared" ref="AN73:BS73" si="99">((((SUM(AN68:AN72))/2)-1))*4</f>
        <v>0</v>
      </c>
      <c r="AO73" s="72">
        <f t="shared" si="99"/>
        <v>4</v>
      </c>
      <c r="AP73" s="72">
        <f t="shared" si="99"/>
        <v>4</v>
      </c>
      <c r="AQ73" s="72">
        <f t="shared" si="99"/>
        <v>8</v>
      </c>
      <c r="AR73" s="72">
        <f t="shared" si="99"/>
        <v>12</v>
      </c>
      <c r="AS73" s="72">
        <f t="shared" si="99"/>
        <v>12</v>
      </c>
      <c r="AT73" s="72">
        <f t="shared" si="99"/>
        <v>16</v>
      </c>
      <c r="AU73" s="72">
        <f t="shared" si="99"/>
        <v>16</v>
      </c>
      <c r="AV73" s="72">
        <f t="shared" si="99"/>
        <v>20</v>
      </c>
      <c r="AW73" s="72">
        <f t="shared" si="99"/>
        <v>24</v>
      </c>
      <c r="AX73" s="72">
        <f t="shared" si="99"/>
        <v>24</v>
      </c>
      <c r="AY73" s="72">
        <f t="shared" si="99"/>
        <v>28</v>
      </c>
      <c r="AZ73" s="72">
        <f t="shared" si="99"/>
        <v>28</v>
      </c>
      <c r="BA73" s="72">
        <f t="shared" si="99"/>
        <v>32</v>
      </c>
      <c r="BB73" s="72">
        <f t="shared" si="99"/>
        <v>36</v>
      </c>
      <c r="BC73" s="72">
        <f t="shared" si="99"/>
        <v>36</v>
      </c>
      <c r="BD73" s="72">
        <f t="shared" si="99"/>
        <v>40</v>
      </c>
      <c r="BE73" s="72">
        <f t="shared" si="99"/>
        <v>44</v>
      </c>
      <c r="BF73" s="72">
        <f t="shared" si="99"/>
        <v>44</v>
      </c>
      <c r="BG73" s="72">
        <f t="shared" si="99"/>
        <v>48</v>
      </c>
      <c r="BH73" s="72">
        <f t="shared" si="99"/>
        <v>48</v>
      </c>
      <c r="BI73" s="72">
        <f t="shared" si="99"/>
        <v>52</v>
      </c>
      <c r="BJ73" s="72">
        <f t="shared" si="99"/>
        <v>56</v>
      </c>
      <c r="BK73" s="72">
        <f t="shared" si="99"/>
        <v>56</v>
      </c>
      <c r="BL73" s="72">
        <f t="shared" si="99"/>
        <v>60</v>
      </c>
      <c r="BM73" s="72">
        <f t="shared" si="99"/>
        <v>60</v>
      </c>
      <c r="BN73" s="72">
        <f t="shared" si="99"/>
        <v>64</v>
      </c>
      <c r="BO73" s="72">
        <f t="shared" si="99"/>
        <v>68</v>
      </c>
      <c r="BP73" s="72">
        <f t="shared" si="99"/>
        <v>68</v>
      </c>
      <c r="BQ73" s="72">
        <f t="shared" si="99"/>
        <v>72</v>
      </c>
      <c r="BR73" s="72">
        <f t="shared" si="99"/>
        <v>72</v>
      </c>
      <c r="BS73" s="72">
        <f t="shared" si="99"/>
        <v>76</v>
      </c>
      <c r="BT73" s="72">
        <f t="shared" ref="BT73:CK73" si="100">((((SUM(BT68:BT72))/2)-1))*4</f>
        <v>80</v>
      </c>
      <c r="BU73" s="72">
        <f t="shared" si="100"/>
        <v>80</v>
      </c>
      <c r="BV73" s="72">
        <f t="shared" si="100"/>
        <v>84</v>
      </c>
      <c r="BW73" s="72">
        <f t="shared" si="100"/>
        <v>88</v>
      </c>
      <c r="BX73" s="72">
        <f t="shared" si="100"/>
        <v>88</v>
      </c>
      <c r="BY73" s="72">
        <f t="shared" si="100"/>
        <v>92</v>
      </c>
      <c r="BZ73" s="72">
        <f t="shared" si="100"/>
        <v>92</v>
      </c>
      <c r="CA73" s="72">
        <f t="shared" si="100"/>
        <v>96</v>
      </c>
      <c r="CB73" s="72">
        <f t="shared" si="100"/>
        <v>100</v>
      </c>
      <c r="CC73" s="72">
        <f t="shared" si="100"/>
        <v>100</v>
      </c>
      <c r="CD73" s="72">
        <f t="shared" si="100"/>
        <v>104</v>
      </c>
      <c r="CE73" s="72">
        <f t="shared" si="100"/>
        <v>104</v>
      </c>
      <c r="CF73" s="72">
        <f t="shared" si="100"/>
        <v>108</v>
      </c>
      <c r="CG73" s="72">
        <f t="shared" si="100"/>
        <v>112</v>
      </c>
      <c r="CH73" s="72">
        <f t="shared" si="100"/>
        <v>112</v>
      </c>
      <c r="CI73" s="72">
        <f t="shared" si="100"/>
        <v>116</v>
      </c>
      <c r="CJ73" s="72">
        <f t="shared" si="100"/>
        <v>120</v>
      </c>
      <c r="CK73" s="72">
        <f t="shared" si="100"/>
        <v>120</v>
      </c>
      <c r="CL73" s="72"/>
      <c r="CM73" s="72"/>
      <c r="CN73" s="72"/>
      <c r="CO73" s="72"/>
      <c r="CP73" s="72"/>
      <c r="CQ73" s="72"/>
      <c r="CR73" s="72"/>
      <c r="CS73" s="72"/>
      <c r="CT73" s="72"/>
      <c r="CU73" s="72"/>
      <c r="CV73" s="72"/>
      <c r="CW73" s="72"/>
      <c r="CX73" s="72"/>
      <c r="CY73" s="72"/>
      <c r="CZ73" s="72"/>
      <c r="DA73" s="72"/>
      <c r="DB73" s="72"/>
      <c r="DC73" s="72"/>
      <c r="DD73" s="72"/>
      <c r="DE73" s="72"/>
      <c r="DF73" s="72"/>
      <c r="DG73" s="72"/>
      <c r="DH73" s="72"/>
      <c r="DI73" s="72"/>
      <c r="DJ73" s="72"/>
      <c r="DK73" s="72"/>
      <c r="DL73" s="72"/>
      <c r="DM73" s="72" t="s">
        <v>101</v>
      </c>
      <c r="DN73" s="72">
        <v>0</v>
      </c>
      <c r="DO73" s="72">
        <v>0</v>
      </c>
      <c r="DP73" s="72">
        <v>0</v>
      </c>
      <c r="DQ73" s="72">
        <v>2</v>
      </c>
      <c r="DR73" s="72">
        <v>0</v>
      </c>
      <c r="DS73" s="72">
        <v>2</v>
      </c>
      <c r="DT73" s="72">
        <v>4</v>
      </c>
      <c r="DU73" s="72">
        <v>2</v>
      </c>
      <c r="DV73" s="72">
        <v>4</v>
      </c>
      <c r="DW73" s="72">
        <v>6</v>
      </c>
      <c r="DX73" s="72">
        <v>4</v>
      </c>
      <c r="DY73" s="72">
        <v>6</v>
      </c>
      <c r="DZ73" s="81">
        <v>8</v>
      </c>
      <c r="EA73" s="81">
        <v>8</v>
      </c>
      <c r="EB73" s="81">
        <v>8</v>
      </c>
      <c r="EC73" s="72">
        <v>8</v>
      </c>
      <c r="ED73" s="72">
        <v>10</v>
      </c>
      <c r="EE73" s="72">
        <v>8</v>
      </c>
      <c r="EF73" s="72">
        <v>10</v>
      </c>
      <c r="EG73" s="72">
        <v>12</v>
      </c>
      <c r="EH73" s="72">
        <v>10</v>
      </c>
      <c r="EI73" s="72"/>
      <c r="EJ73" s="72"/>
      <c r="EK73" s="72"/>
      <c r="EL73" s="72"/>
      <c r="EM73" s="72"/>
      <c r="EN73" s="72"/>
      <c r="EO73" s="72"/>
      <c r="EP73" s="72"/>
      <c r="EQ73" s="72"/>
      <c r="ER73" s="72"/>
      <c r="ES73" s="72"/>
      <c r="ET73" s="72"/>
      <c r="EU73" s="72"/>
      <c r="EV73" s="72" t="s">
        <v>102</v>
      </c>
      <c r="EW73" s="72">
        <v>0</v>
      </c>
      <c r="EX73" s="72">
        <v>0</v>
      </c>
      <c r="EY73" s="72">
        <v>0</v>
      </c>
      <c r="EZ73" s="72">
        <v>2</v>
      </c>
      <c r="FA73" s="72">
        <v>0</v>
      </c>
      <c r="FB73" s="72">
        <v>2</v>
      </c>
      <c r="FC73" s="72">
        <v>4</v>
      </c>
      <c r="FD73" s="72">
        <v>4</v>
      </c>
      <c r="FE73" s="72">
        <v>4</v>
      </c>
      <c r="FF73" s="72">
        <v>2</v>
      </c>
      <c r="FG73" s="72">
        <v>4</v>
      </c>
      <c r="FH73" s="72"/>
      <c r="FI73" s="72" t="s">
        <v>101</v>
      </c>
      <c r="FJ73" s="72">
        <v>0</v>
      </c>
      <c r="FK73" s="72">
        <v>0</v>
      </c>
      <c r="FL73" s="72">
        <v>0</v>
      </c>
      <c r="FM73" s="72">
        <v>0</v>
      </c>
      <c r="FN73" s="72">
        <v>0</v>
      </c>
      <c r="FO73" s="72">
        <v>0</v>
      </c>
      <c r="FP73" s="72">
        <v>4</v>
      </c>
      <c r="FQ73" s="72">
        <v>6</v>
      </c>
      <c r="FR73" s="72">
        <v>2</v>
      </c>
      <c r="FS73" s="72">
        <v>10</v>
      </c>
      <c r="FT73" s="72">
        <v>0</v>
      </c>
      <c r="FU73" s="72"/>
      <c r="FV73" s="72" t="s">
        <v>101</v>
      </c>
      <c r="FW73" s="72">
        <v>0</v>
      </c>
      <c r="FX73" s="72">
        <v>0</v>
      </c>
      <c r="FY73" s="72">
        <v>2</v>
      </c>
      <c r="FZ73" s="72">
        <v>2</v>
      </c>
      <c r="GA73" s="72">
        <v>0</v>
      </c>
      <c r="GB73" s="72">
        <v>4</v>
      </c>
      <c r="GC73" s="72">
        <v>4</v>
      </c>
      <c r="GD73" s="72">
        <v>0</v>
      </c>
      <c r="GE73" s="72">
        <v>0</v>
      </c>
      <c r="GF73" s="72">
        <v>2</v>
      </c>
      <c r="GG73" s="72">
        <v>8</v>
      </c>
      <c r="GH73" s="72"/>
      <c r="GI73" s="72"/>
      <c r="GJ73" s="72"/>
      <c r="GK73" s="72"/>
      <c r="GL73" s="72"/>
      <c r="GM73" s="72"/>
      <c r="GN73" s="72"/>
      <c r="GO73" s="72"/>
      <c r="GP73" s="72"/>
      <c r="GQ73" s="72"/>
      <c r="GR73" s="72"/>
      <c r="GS73" s="72"/>
      <c r="GT73" s="72"/>
      <c r="GU73" s="72"/>
      <c r="GV73" s="72"/>
      <c r="GX73" s="72">
        <v>1800</v>
      </c>
      <c r="GY73" s="72">
        <v>1600</v>
      </c>
      <c r="GZ73" s="72">
        <v>1</v>
      </c>
      <c r="HA73" s="72">
        <f>GY73*GZ73</f>
        <v>1600</v>
      </c>
      <c r="HB73" s="106">
        <v>29.72</v>
      </c>
      <c r="HC73" s="72">
        <f>GZ73*HB73</f>
        <v>29.72</v>
      </c>
      <c r="HD73" s="72">
        <f>GZ73</f>
        <v>1</v>
      </c>
      <c r="HV73" s="64" t="s">
        <v>406</v>
      </c>
      <c r="HW73" s="64">
        <v>0</v>
      </c>
      <c r="HX73" s="64">
        <v>0</v>
      </c>
      <c r="HY73" s="64">
        <v>2</v>
      </c>
      <c r="HZ73" s="64">
        <v>2</v>
      </c>
      <c r="IA73" s="64">
        <v>4</v>
      </c>
      <c r="IB73" s="64">
        <v>6</v>
      </c>
      <c r="IC73" s="64">
        <v>6</v>
      </c>
      <c r="ID73" s="64">
        <v>8</v>
      </c>
      <c r="IE73" s="64">
        <v>10</v>
      </c>
      <c r="IF73" s="64">
        <v>10</v>
      </c>
      <c r="IG73" s="64">
        <v>12</v>
      </c>
      <c r="IH73" s="64">
        <v>14</v>
      </c>
      <c r="II73" s="64">
        <v>14</v>
      </c>
      <c r="IJ73" s="64">
        <v>16</v>
      </c>
      <c r="IK73" s="64">
        <v>18</v>
      </c>
      <c r="IL73" s="64">
        <v>18</v>
      </c>
      <c r="IM73" s="64">
        <v>20</v>
      </c>
      <c r="IN73" s="64">
        <v>22</v>
      </c>
      <c r="IO73" s="64">
        <v>22</v>
      </c>
      <c r="IP73" s="64">
        <v>24</v>
      </c>
      <c r="IQ73" s="64">
        <v>26</v>
      </c>
      <c r="IS73" s="64" t="s">
        <v>406</v>
      </c>
      <c r="IT73" s="64">
        <f t="shared" ref="IT73:IT109" si="101">HW73*2</f>
        <v>0</v>
      </c>
      <c r="IU73" s="64">
        <f t="shared" ref="IU73:IU109" si="102">HX73*2</f>
        <v>0</v>
      </c>
      <c r="IV73" s="64">
        <f t="shared" ref="IV73:IV109" si="103">HY73*2</f>
        <v>4</v>
      </c>
      <c r="IW73" s="64">
        <f t="shared" ref="IW73:IW109" si="104">HZ73*2</f>
        <v>4</v>
      </c>
      <c r="IX73" s="64">
        <f t="shared" ref="IX73:IX109" si="105">IA73*2</f>
        <v>8</v>
      </c>
      <c r="IY73" s="64">
        <f t="shared" ref="IY73:IY109" si="106">IB73*2</f>
        <v>12</v>
      </c>
      <c r="IZ73" s="64">
        <f t="shared" ref="IZ73:IZ109" si="107">IC73*2</f>
        <v>12</v>
      </c>
      <c r="JA73" s="64">
        <f t="shared" ref="JA73:JA109" si="108">ID73*2</f>
        <v>16</v>
      </c>
      <c r="JB73" s="64">
        <f t="shared" si="98"/>
        <v>20</v>
      </c>
      <c r="JC73" s="64">
        <f t="shared" ref="JC73:JC109" si="109">IF73*2</f>
        <v>20</v>
      </c>
      <c r="JD73" s="64">
        <f t="shared" ref="JD73:JD109" si="110">IG73*2</f>
        <v>24</v>
      </c>
      <c r="JE73" s="64">
        <f t="shared" ref="JE73:JE109" si="111">IH73*2</f>
        <v>28</v>
      </c>
      <c r="JF73" s="64">
        <f t="shared" ref="JF73:JF109" si="112">II73*2</f>
        <v>28</v>
      </c>
      <c r="JG73" s="64">
        <f t="shared" ref="JG73:JG109" si="113">IJ73*2</f>
        <v>32</v>
      </c>
      <c r="JH73" s="64">
        <f t="shared" ref="JH73:JH109" si="114">IK73*2</f>
        <v>36</v>
      </c>
      <c r="JI73" s="64">
        <f t="shared" ref="JI73:JI109" si="115">IL73*2</f>
        <v>36</v>
      </c>
      <c r="JJ73" s="64">
        <f t="shared" ref="JJ73:JJ109" si="116">IM73*2</f>
        <v>40</v>
      </c>
      <c r="JK73" s="64">
        <f t="shared" ref="JK73:JK109" si="117">IN73*2</f>
        <v>44</v>
      </c>
      <c r="JL73" s="64">
        <f t="shared" ref="JL73:JL109" si="118">IO73*2</f>
        <v>44</v>
      </c>
      <c r="JM73" s="64">
        <f t="shared" ref="JM73:JM109" si="119">IP73*2</f>
        <v>48</v>
      </c>
      <c r="JN73" s="64">
        <f t="shared" ref="JN73:JN109" si="120">IQ73*2</f>
        <v>52</v>
      </c>
    </row>
    <row r="74" spans="1:277" x14ac:dyDescent="0.25">
      <c r="A74" s="9"/>
      <c r="B74" s="9"/>
      <c r="C74" s="9"/>
      <c r="D74" s="9"/>
      <c r="E74" s="9"/>
      <c r="F74" s="9"/>
      <c r="G74" s="9"/>
      <c r="H74" s="9"/>
      <c r="I74" s="9"/>
      <c r="J74" s="9"/>
      <c r="K74" s="9"/>
      <c r="L74" s="9"/>
      <c r="M74" s="9"/>
      <c r="N74" s="9"/>
      <c r="O74" s="9"/>
      <c r="P74" s="9"/>
      <c r="Q74" s="9"/>
      <c r="R74" s="9"/>
      <c r="S74" s="9"/>
      <c r="T74" s="36">
        <f>SUM(T50:T73)</f>
        <v>0</v>
      </c>
      <c r="U74" s="36">
        <f>SUM(U50:U73)</f>
        <v>0</v>
      </c>
      <c r="V74" s="72"/>
      <c r="W74" s="85">
        <f t="shared" si="96"/>
        <v>0</v>
      </c>
      <c r="X74" s="72">
        <f t="shared" si="97"/>
        <v>0</v>
      </c>
      <c r="Y74" s="72"/>
      <c r="Z74" s="72">
        <f>(INDEX(($AM$4:$CK$9,$AM$13:$CK$18,$AM$22:$CK$27,$AM$31:$CK$36),MATCH($L$82,$AL$4:$AL$9,0),MATCH(A85,$AM$3:$CK$3,0),MATCH($G$77,$X$26:$X$29,0)))*C85</f>
        <v>0</v>
      </c>
      <c r="AA74" s="72">
        <f>(INDEX(($AM$4:$CK$9,$AM$13:$CK$18,$AM$22:$CK$27,$AM$31:$CK$36),MATCH($L$77,$AL$4:$AL$9,0),MATCH(A85,$AM$3:$CK$3,0),MATCH($G$77,$X$26:$X$29,0)))*C85</f>
        <v>0</v>
      </c>
      <c r="AB74" s="72">
        <f>(INDEX(($AM$4:$CK$9,$AM$13:$CK$18,$AM$22:$CK$27,$AM$31:$CK$36),MATCH($L$78,$AL$4:$AL$9,0),MATCH(A85,$AM$3:$CK$3,0),MATCH($G$77,$X$26:$X$29,0)))*C85</f>
        <v>0</v>
      </c>
      <c r="AC74" s="72">
        <f>(INDEX(($AM$4:$CK$9,$AM$13:$CK$18,$AM$22:$CK$27,$AM$31:$CK$36),MATCH($L$79,$AL$4:$AL$9,0),MATCH(A85,$AM$3:$CK$3,0),MATCH($G$77,$X$26:$X$29,0)))*C85</f>
        <v>0</v>
      </c>
      <c r="AD74" s="72">
        <f>(INDEX(($AM$4:$CK$9,$AM$13:$CK$18,$AM$22:$CK$27,$AM$31:$CK$36),MATCH($L$80,$AL$4:$AL$9,0),MATCH(A85,$AM$3:$CK$3,0),MATCH($G$77,$X$26:$X$29,0)))*C85</f>
        <v>0</v>
      </c>
      <c r="AE74" s="72">
        <f>(INDEX(($AM$4:$CK$9,$AM$13:$CK$18,$AM$22:$CK$27,$AM$31:$CK$36),MATCH($L$81,$AL$4:$AL$9,0),MATCH(A85,$AM$3:$CK$3,0),MATCH($G$77,$X$26:$X$29,0)))*C85</f>
        <v>0</v>
      </c>
      <c r="AJ74" s="72"/>
      <c r="AK74" s="72"/>
      <c r="AL74" s="72"/>
      <c r="AM74" s="72"/>
      <c r="AN74" s="72"/>
      <c r="AO74" s="72"/>
      <c r="AP74" s="72"/>
      <c r="AQ74" s="72"/>
      <c r="AR74" s="72"/>
      <c r="AS74" s="72"/>
      <c r="AT74" s="72"/>
      <c r="AU74" s="72"/>
      <c r="AV74" s="72"/>
      <c r="AW74" s="72"/>
      <c r="AX74" s="72"/>
      <c r="AY74" s="72"/>
      <c r="AZ74" s="72"/>
      <c r="BA74" s="72"/>
      <c r="BB74" s="72"/>
      <c r="BC74" s="72"/>
      <c r="BD74" s="72"/>
      <c r="BE74" s="72"/>
      <c r="BF74" s="72"/>
      <c r="BG74" s="72"/>
      <c r="BH74" s="72"/>
      <c r="BI74" s="72"/>
      <c r="BJ74" s="72"/>
      <c r="BK74" s="72"/>
      <c r="BL74" s="72"/>
      <c r="BM74" s="72"/>
      <c r="BN74" s="72"/>
      <c r="BO74" s="72"/>
      <c r="BP74" s="72"/>
      <c r="BQ74" s="72"/>
      <c r="BR74" s="72"/>
      <c r="BS74" s="72"/>
      <c r="BT74" s="72"/>
      <c r="BU74" s="72"/>
      <c r="BV74" s="72"/>
      <c r="BW74" s="72"/>
      <c r="BX74" s="72"/>
      <c r="BY74" s="72"/>
      <c r="BZ74" s="72"/>
      <c r="CA74" s="72"/>
      <c r="CB74" s="72"/>
      <c r="CC74" s="72"/>
      <c r="CD74" s="72"/>
      <c r="CE74" s="72"/>
      <c r="CF74" s="72"/>
      <c r="CG74" s="72"/>
      <c r="CH74" s="72"/>
      <c r="CI74" s="72"/>
      <c r="CJ74" s="72"/>
      <c r="CK74" s="72"/>
      <c r="CL74" s="72"/>
      <c r="CM74" s="72" t="s">
        <v>59</v>
      </c>
      <c r="CN74" s="72">
        <v>0</v>
      </c>
      <c r="CO74" s="72">
        <v>1</v>
      </c>
      <c r="CP74" s="72">
        <v>2</v>
      </c>
      <c r="CQ74" s="72">
        <v>3</v>
      </c>
      <c r="CR74" s="72">
        <v>4</v>
      </c>
      <c r="CS74" s="72">
        <v>5</v>
      </c>
      <c r="CT74" s="72">
        <v>6</v>
      </c>
      <c r="CU74" s="72">
        <v>7</v>
      </c>
      <c r="CV74" s="72">
        <v>8</v>
      </c>
      <c r="CW74" s="72">
        <v>9</v>
      </c>
      <c r="CX74" s="72">
        <v>10</v>
      </c>
      <c r="CY74" s="72">
        <v>11</v>
      </c>
      <c r="CZ74" s="72">
        <v>12</v>
      </c>
      <c r="DA74" s="72">
        <v>13</v>
      </c>
      <c r="DB74" s="72">
        <v>14</v>
      </c>
      <c r="DC74" s="72">
        <v>15</v>
      </c>
      <c r="DD74" s="72">
        <v>16</v>
      </c>
      <c r="DE74" s="72">
        <v>17</v>
      </c>
      <c r="DF74" s="72">
        <v>18</v>
      </c>
      <c r="DG74" s="72">
        <v>19</v>
      </c>
      <c r="DH74" s="72">
        <v>20</v>
      </c>
      <c r="DI74" s="72"/>
      <c r="DJ74" s="72"/>
      <c r="DK74" s="72"/>
      <c r="DL74" s="72"/>
      <c r="DM74" s="72" t="s">
        <v>10</v>
      </c>
      <c r="DN74" s="72">
        <v>0</v>
      </c>
      <c r="DO74" s="72">
        <v>0</v>
      </c>
      <c r="DP74" s="72">
        <v>0</v>
      </c>
      <c r="DQ74" s="72">
        <v>0</v>
      </c>
      <c r="DR74" s="72">
        <v>2</v>
      </c>
      <c r="DS74" s="72">
        <v>2</v>
      </c>
      <c r="DT74" s="72">
        <v>2</v>
      </c>
      <c r="DU74" s="72">
        <v>4</v>
      </c>
      <c r="DV74" s="72">
        <v>4</v>
      </c>
      <c r="DW74" s="72">
        <v>4</v>
      </c>
      <c r="DX74" s="72">
        <v>6</v>
      </c>
      <c r="DY74" s="72">
        <v>6</v>
      </c>
      <c r="DZ74" s="81">
        <v>6</v>
      </c>
      <c r="EA74" s="81">
        <v>6</v>
      </c>
      <c r="EB74" s="81">
        <v>8</v>
      </c>
      <c r="EC74" s="72">
        <v>8</v>
      </c>
      <c r="ED74" s="72">
        <v>8</v>
      </c>
      <c r="EE74" s="72">
        <v>10</v>
      </c>
      <c r="EF74" s="72">
        <v>10</v>
      </c>
      <c r="EG74" s="72">
        <v>10</v>
      </c>
      <c r="EH74" s="72">
        <v>12</v>
      </c>
      <c r="EI74" s="72"/>
      <c r="EJ74" s="72"/>
      <c r="EK74" s="72"/>
      <c r="EL74" s="72"/>
      <c r="EM74" s="72"/>
      <c r="EN74" s="72"/>
      <c r="EO74" s="72"/>
      <c r="EP74" s="72"/>
      <c r="EQ74" s="72"/>
      <c r="ER74" s="72"/>
      <c r="ES74" s="72"/>
      <c r="ET74" s="72"/>
      <c r="EU74" s="72"/>
      <c r="EV74" s="72" t="s">
        <v>10</v>
      </c>
      <c r="EW74" s="72">
        <v>0</v>
      </c>
      <c r="EX74" s="72">
        <v>0</v>
      </c>
      <c r="EY74" s="72">
        <v>0</v>
      </c>
      <c r="EZ74" s="72">
        <v>2</v>
      </c>
      <c r="FA74" s="72">
        <v>2</v>
      </c>
      <c r="FB74" s="72">
        <v>4</v>
      </c>
      <c r="FC74" s="72">
        <v>4</v>
      </c>
      <c r="FD74" s="72">
        <v>6</v>
      </c>
      <c r="FE74" s="72">
        <v>6</v>
      </c>
      <c r="FF74" s="72">
        <v>8</v>
      </c>
      <c r="FG74" s="72">
        <v>8</v>
      </c>
      <c r="FH74" s="72"/>
      <c r="FI74" s="72" t="s">
        <v>102</v>
      </c>
      <c r="FJ74" s="72">
        <v>0</v>
      </c>
      <c r="FK74" s="72">
        <v>0</v>
      </c>
      <c r="FL74" s="72">
        <v>0</v>
      </c>
      <c r="FM74" s="72">
        <v>0</v>
      </c>
      <c r="FN74" s="72">
        <v>2</v>
      </c>
      <c r="FO74" s="72">
        <v>2</v>
      </c>
      <c r="FP74" s="72">
        <v>2</v>
      </c>
      <c r="FQ74" s="72">
        <v>0</v>
      </c>
      <c r="FR74" s="72">
        <v>0</v>
      </c>
      <c r="FS74" s="72">
        <v>0</v>
      </c>
      <c r="FT74" s="72">
        <v>4</v>
      </c>
      <c r="FU74" s="72"/>
      <c r="FV74" s="72" t="s">
        <v>102</v>
      </c>
      <c r="FW74" s="72">
        <v>0</v>
      </c>
      <c r="FX74" s="72">
        <v>0</v>
      </c>
      <c r="FY74" s="72">
        <v>0</v>
      </c>
      <c r="FZ74" s="72">
        <v>0</v>
      </c>
      <c r="GA74" s="72">
        <v>4</v>
      </c>
      <c r="GB74" s="72">
        <v>2</v>
      </c>
      <c r="GC74" s="72">
        <v>0</v>
      </c>
      <c r="GD74" s="72">
        <v>2</v>
      </c>
      <c r="GE74" s="72">
        <v>6</v>
      </c>
      <c r="GF74" s="72">
        <v>2</v>
      </c>
      <c r="GG74" s="72">
        <v>4</v>
      </c>
      <c r="GH74" s="72"/>
      <c r="GI74" s="72"/>
      <c r="GJ74" s="72"/>
      <c r="GK74" s="72"/>
      <c r="GL74" s="72"/>
      <c r="GM74" s="72"/>
      <c r="GN74" s="72"/>
      <c r="GO74" s="72"/>
      <c r="GP74" s="72"/>
      <c r="GQ74" s="72"/>
      <c r="GR74" s="72"/>
      <c r="GS74" s="72"/>
      <c r="GT74" s="72"/>
      <c r="GU74" s="72"/>
      <c r="GV74" s="72"/>
      <c r="GX74" s="72">
        <v>2120</v>
      </c>
      <c r="GY74" s="72">
        <v>1920</v>
      </c>
      <c r="GZ74" s="72">
        <v>23</v>
      </c>
      <c r="HA74" s="72">
        <f t="shared" ref="HA74" si="121">GY74*GZ74</f>
        <v>44160</v>
      </c>
      <c r="HB74" s="106">
        <v>36.159999999999997</v>
      </c>
      <c r="HC74" s="72">
        <f>GZ74*HB74</f>
        <v>831.68</v>
      </c>
      <c r="HD74" s="72">
        <f>GZ74</f>
        <v>23</v>
      </c>
    </row>
    <row r="75" spans="1:277" ht="39" x14ac:dyDescent="0.25">
      <c r="A75" s="3" t="s">
        <v>549</v>
      </c>
      <c r="B75" s="3"/>
      <c r="C75" s="3" t="s">
        <v>550</v>
      </c>
      <c r="D75" s="9"/>
      <c r="E75" s="9"/>
      <c r="F75" s="9"/>
      <c r="G75" s="9"/>
      <c r="H75" s="9"/>
      <c r="I75" s="9"/>
      <c r="J75" s="9"/>
      <c r="K75" s="9"/>
      <c r="L75" s="221" t="str">
        <f>IF(E80="kotvená","KONŠTRUKCIA DP-DTAVKN",IF(E80="zaťažená","KONŠTRUKCIA DP-DTAVBN"))</f>
        <v>KONŠTRUKCIA DP-DTAVBN</v>
      </c>
      <c r="M75" s="221"/>
      <c r="N75" s="221"/>
      <c r="O75" s="221"/>
      <c r="P75" s="221"/>
      <c r="Q75" s="221"/>
      <c r="R75" s="221"/>
      <c r="S75" s="221"/>
      <c r="T75" s="221"/>
      <c r="U75" s="221"/>
      <c r="V75" s="72"/>
      <c r="W75" s="85">
        <f t="shared" si="96"/>
        <v>0</v>
      </c>
      <c r="X75" s="72">
        <f t="shared" si="97"/>
        <v>0</v>
      </c>
      <c r="Y75" s="72"/>
      <c r="Z75" s="72">
        <f>(INDEX(($AM$4:$CK$9,$AM$13:$CK$18,$AM$22:$CK$27,$AM$31:$CK$36),MATCH($L$82,$AL$4:$AL$9,0),MATCH(A86,$AM$3:$CK$3,0),MATCH($G$77,$X$26:$X$29,0)))*C86</f>
        <v>0</v>
      </c>
      <c r="AA75" s="72">
        <f>(INDEX(($AM$4:$CK$9,$AM$13:$CK$18,$AM$22:$CK$27,$AM$31:$CK$36),MATCH($L$77,$AL$4:$AL$9,0),MATCH(A86,$AM$3:$CK$3,0),MATCH($G$77,$X$26:$X$29,0)))*C86</f>
        <v>0</v>
      </c>
      <c r="AB75" s="72">
        <f>(INDEX(($AM$4:$CK$9,$AM$13:$CK$18,$AM$22:$CK$27,$AM$31:$CK$36),MATCH($L$78,$AL$4:$AL$9,0),MATCH(A86,$AM$3:$CK$3,0),MATCH($G$77,$X$26:$X$29,0)))*C86</f>
        <v>0</v>
      </c>
      <c r="AC75" s="72">
        <f>(INDEX(($AM$4:$CK$9,$AM$13:$CK$18,$AM$22:$CK$27,$AM$31:$CK$36),MATCH($L$79,$AL$4:$AL$9,0),MATCH(A86,$AM$3:$CK$3,0),MATCH($G$77,$X$26:$X$29,0)))*C86</f>
        <v>0</v>
      </c>
      <c r="AD75" s="72">
        <f>(INDEX(($AM$4:$CK$9,$AM$13:$CK$18,$AM$22:$CK$27,$AM$31:$CK$36),MATCH($L$80,$AL$4:$AL$9,0),MATCH(A86,$AM$3:$CK$3,0),MATCH($G$77,$X$26:$X$29,0)))*C86</f>
        <v>0</v>
      </c>
      <c r="AE75" s="72">
        <f>(INDEX(($AM$4:$CK$9,$AM$13:$CK$18,$AM$22:$CK$27,$AM$31:$CK$36),MATCH($L$81,$AL$4:$AL$9,0),MATCH(A86,$AM$3:$CK$3,0),MATCH($G$77,$X$26:$X$29,0)))*C86</f>
        <v>0</v>
      </c>
      <c r="AF75" s="72"/>
      <c r="AG75" s="72"/>
      <c r="AH75" s="72"/>
      <c r="AI75" s="72"/>
      <c r="AJ75" s="72"/>
      <c r="AK75" s="72"/>
      <c r="AL75" s="72" t="s">
        <v>71</v>
      </c>
      <c r="AM75" s="72"/>
      <c r="AN75" s="72"/>
      <c r="AO75" s="72"/>
      <c r="AP75" s="72"/>
      <c r="AQ75" s="72"/>
      <c r="AR75" s="72"/>
      <c r="AS75" s="72"/>
      <c r="AT75" s="72"/>
      <c r="AU75" s="72"/>
      <c r="AV75" s="72"/>
      <c r="AW75" s="72"/>
      <c r="AX75" s="72"/>
      <c r="AY75" s="72"/>
      <c r="AZ75" s="72"/>
      <c r="BA75" s="72"/>
      <c r="BB75" s="72"/>
      <c r="BC75" s="72"/>
      <c r="BD75" s="72"/>
      <c r="BE75" s="72"/>
      <c r="BF75" s="72"/>
      <c r="BG75" s="72"/>
      <c r="BH75" s="72"/>
      <c r="BI75" s="72"/>
      <c r="BJ75" s="72"/>
      <c r="BK75" s="72"/>
      <c r="BL75" s="72"/>
      <c r="BM75" s="72"/>
      <c r="BN75" s="72"/>
      <c r="BO75" s="72"/>
      <c r="BP75" s="72"/>
      <c r="BQ75" s="72"/>
      <c r="BR75" s="72"/>
      <c r="BS75" s="72"/>
      <c r="BT75" s="72"/>
      <c r="BU75" s="72"/>
      <c r="BV75" s="72"/>
      <c r="BW75" s="72"/>
      <c r="BX75" s="72"/>
      <c r="BY75" s="72"/>
      <c r="BZ75" s="72"/>
      <c r="CA75" s="72"/>
      <c r="CB75" s="72"/>
      <c r="CC75" s="72"/>
      <c r="CD75" s="72"/>
      <c r="CE75" s="72"/>
      <c r="CF75" s="72"/>
      <c r="CG75" s="72"/>
      <c r="CH75" s="72"/>
      <c r="CI75" s="72"/>
      <c r="CJ75" s="72"/>
      <c r="CK75" s="72"/>
      <c r="CL75" s="72"/>
      <c r="CM75" s="72" t="s">
        <v>64</v>
      </c>
      <c r="CN75" s="72">
        <v>0</v>
      </c>
      <c r="CO75" s="72">
        <v>2</v>
      </c>
      <c r="CP75" s="72">
        <v>2</v>
      </c>
      <c r="CQ75" s="72">
        <v>0</v>
      </c>
      <c r="CR75" s="72">
        <v>4</v>
      </c>
      <c r="CS75" s="72">
        <v>2</v>
      </c>
      <c r="CT75" s="72">
        <v>0</v>
      </c>
      <c r="CU75" s="72">
        <v>4</v>
      </c>
      <c r="CV75" s="72">
        <v>2</v>
      </c>
      <c r="CW75" s="72">
        <v>0</v>
      </c>
      <c r="CX75" s="72">
        <v>4</v>
      </c>
      <c r="CY75" s="72">
        <v>2</v>
      </c>
      <c r="CZ75" s="72">
        <v>0</v>
      </c>
      <c r="DA75" s="72">
        <v>4</v>
      </c>
      <c r="DB75" s="72">
        <v>2</v>
      </c>
      <c r="DC75" s="72">
        <v>2</v>
      </c>
      <c r="DD75" s="72">
        <v>0</v>
      </c>
      <c r="DE75" s="72">
        <v>4</v>
      </c>
      <c r="DF75" s="72">
        <v>2</v>
      </c>
      <c r="DG75" s="72">
        <v>0</v>
      </c>
      <c r="DH75" s="72">
        <v>4</v>
      </c>
      <c r="DI75" s="72"/>
      <c r="DJ75" s="72"/>
      <c r="DK75" s="72"/>
      <c r="DL75" s="72"/>
      <c r="DM75" s="72"/>
      <c r="DN75" s="72"/>
      <c r="DO75" s="72"/>
      <c r="DP75" s="72"/>
      <c r="DQ75" s="72"/>
      <c r="DR75" s="72"/>
      <c r="DS75" s="72"/>
      <c r="DT75" s="72"/>
      <c r="DU75" s="72"/>
      <c r="DV75" s="72"/>
      <c r="DW75" s="72"/>
      <c r="DX75" s="72"/>
      <c r="DY75" s="72"/>
      <c r="DZ75" s="81"/>
      <c r="EA75" s="81"/>
      <c r="EB75" s="81"/>
      <c r="EC75" s="72"/>
      <c r="ED75" s="72"/>
      <c r="EE75" s="72"/>
      <c r="EF75" s="72"/>
      <c r="EG75" s="72"/>
      <c r="EH75" s="72"/>
      <c r="EI75" s="72"/>
      <c r="EJ75" s="72"/>
      <c r="EK75" s="72"/>
      <c r="EL75" s="72"/>
      <c r="EM75" s="72"/>
      <c r="EN75" s="72"/>
      <c r="EO75" s="72"/>
      <c r="EP75" s="72"/>
      <c r="EQ75" s="72"/>
      <c r="ER75" s="72"/>
      <c r="ES75" s="72"/>
      <c r="ET75" s="72"/>
      <c r="EU75" s="72"/>
      <c r="FH75" s="72"/>
      <c r="FI75" s="72" t="s">
        <v>10</v>
      </c>
      <c r="FJ75" s="72">
        <v>0</v>
      </c>
      <c r="FK75" s="72">
        <v>0</v>
      </c>
      <c r="FL75" s="72">
        <v>2</v>
      </c>
      <c r="FM75" s="72">
        <v>2</v>
      </c>
      <c r="FN75" s="72">
        <v>4</v>
      </c>
      <c r="FO75" s="72">
        <v>4</v>
      </c>
      <c r="FP75" s="72">
        <v>6</v>
      </c>
      <c r="FQ75" s="72">
        <v>6</v>
      </c>
      <c r="FR75" s="72">
        <v>8</v>
      </c>
      <c r="FS75" s="72">
        <v>8</v>
      </c>
      <c r="FT75" s="72">
        <v>10</v>
      </c>
      <c r="FU75" s="72"/>
      <c r="FV75" s="72" t="s">
        <v>10</v>
      </c>
      <c r="FW75" s="72">
        <v>0</v>
      </c>
      <c r="FX75" s="72">
        <v>0</v>
      </c>
      <c r="FY75" s="72">
        <v>2</v>
      </c>
      <c r="FZ75" s="72">
        <v>2</v>
      </c>
      <c r="GA75" s="72">
        <v>4</v>
      </c>
      <c r="GB75" s="72">
        <v>4</v>
      </c>
      <c r="GC75" s="72">
        <v>6</v>
      </c>
      <c r="GD75" s="72">
        <v>8</v>
      </c>
      <c r="GE75" s="72">
        <v>8</v>
      </c>
      <c r="GF75" s="72">
        <v>10</v>
      </c>
      <c r="GG75" s="72">
        <v>10</v>
      </c>
      <c r="GH75" s="72"/>
      <c r="GI75" s="72"/>
      <c r="GJ75" s="72"/>
      <c r="GK75" s="72"/>
      <c r="GL75" s="72"/>
      <c r="GM75" s="72"/>
      <c r="GN75" s="72"/>
      <c r="GO75" s="72"/>
      <c r="GP75" s="72"/>
      <c r="GQ75" s="72"/>
      <c r="GR75" s="72"/>
      <c r="GS75" s="72"/>
      <c r="GT75" s="72"/>
      <c r="GU75" s="72"/>
      <c r="GV75" s="72"/>
      <c r="GX75" s="72">
        <v>2400</v>
      </c>
      <c r="GY75" s="64">
        <v>2200</v>
      </c>
      <c r="GZ75" s="64">
        <v>0</v>
      </c>
      <c r="HA75" s="72">
        <f>GY75*GZ75</f>
        <v>0</v>
      </c>
      <c r="HB75" s="64">
        <v>51.1</v>
      </c>
      <c r="HC75" s="72">
        <f t="shared" ref="HC75" si="122">GZ75*HB75</f>
        <v>0</v>
      </c>
      <c r="HD75" s="72">
        <f>GZ75</f>
        <v>0</v>
      </c>
      <c r="HV75" s="83" t="s">
        <v>232</v>
      </c>
      <c r="IS75" s="64" t="s">
        <v>232</v>
      </c>
    </row>
    <row r="76" spans="1:277" x14ac:dyDescent="0.25">
      <c r="A76" s="8"/>
      <c r="B76" s="5" t="s">
        <v>61</v>
      </c>
      <c r="C76" s="8"/>
      <c r="D76" s="9"/>
      <c r="E76" s="9"/>
      <c r="F76" s="9"/>
      <c r="G76" s="9"/>
      <c r="H76" s="9"/>
      <c r="I76" s="9"/>
      <c r="J76" s="9"/>
      <c r="K76" s="9"/>
      <c r="L76" s="5" t="s">
        <v>53</v>
      </c>
      <c r="M76" s="5" t="s">
        <v>559</v>
      </c>
      <c r="N76" s="5" t="s">
        <v>436</v>
      </c>
      <c r="O76" s="5" t="s">
        <v>442</v>
      </c>
      <c r="P76" s="5" t="s">
        <v>443</v>
      </c>
      <c r="Q76" s="5" t="s">
        <v>444</v>
      </c>
      <c r="R76" s="5" t="s">
        <v>445</v>
      </c>
      <c r="S76" s="5" t="s">
        <v>446</v>
      </c>
      <c r="T76" s="5" t="s">
        <v>447</v>
      </c>
      <c r="U76" s="5" t="s">
        <v>438</v>
      </c>
      <c r="V76" s="72"/>
      <c r="W76" s="85">
        <f t="shared" si="96"/>
        <v>0</v>
      </c>
      <c r="X76" s="72">
        <f t="shared" si="97"/>
        <v>0</v>
      </c>
      <c r="Y76" s="72"/>
      <c r="Z76" s="72">
        <f>(INDEX(($AM$4:$CK$9,$AM$13:$CK$18,$AM$22:$CK$27,$AM$31:$CK$36),MATCH($L$82,$AL$4:$AL$9,0),MATCH(A87,$AM$3:$CK$3,0),MATCH($G$77,$X$26:$X$29,0)))*C87</f>
        <v>0</v>
      </c>
      <c r="AA76" s="72">
        <f>(INDEX(($AM$4:$CK$9,$AM$13:$CK$18,$AM$22:$CK$27,$AM$31:$CK$36),MATCH($L$77,$AL$4:$AL$9,0),MATCH(A87,$AM$3:$CK$3,0),MATCH($G$77,$X$26:$X$29,0)))*C87</f>
        <v>0</v>
      </c>
      <c r="AB76" s="72">
        <f>(INDEX(($AM$4:$CK$9,$AM$13:$CK$18,$AM$22:$CK$27,$AM$31:$CK$36),MATCH($L$78,$AL$4:$AL$9,0),MATCH(A87,$AM$3:$CK$3,0),MATCH($G$77,$X$26:$X$29,0)))*C87</f>
        <v>0</v>
      </c>
      <c r="AC76" s="72">
        <f>(INDEX(($AM$4:$CK$9,$AM$13:$CK$18,$AM$22:$CK$27,$AM$31:$CK$36),MATCH($L$79,$AL$4:$AL$9,0),MATCH(A87,$AM$3:$CK$3,0),MATCH($G$77,$X$26:$X$29,0)))*C87</f>
        <v>0</v>
      </c>
      <c r="AD76" s="72">
        <f>(INDEX(($AM$4:$CK$9,$AM$13:$CK$18,$AM$22:$CK$27,$AM$31:$CK$36),MATCH($L$80,$AL$4:$AL$9,0),MATCH(A87,$AM$3:$CK$3,0),MATCH($G$77,$X$26:$X$29,0)))*C87</f>
        <v>0</v>
      </c>
      <c r="AE76" s="72">
        <f>(INDEX(($AM$4:$CK$9,$AM$13:$CK$18,$AM$22:$CK$27,$AM$31:$CK$36),MATCH($L$81,$AL$4:$AL$9,0),MATCH(A87,$AM$3:$CK$3,0),MATCH($G$77,$X$26:$X$29,0)))*C87</f>
        <v>0</v>
      </c>
      <c r="AF76" s="72"/>
      <c r="AG76" s="72"/>
      <c r="AH76" s="72"/>
      <c r="AI76" s="72"/>
      <c r="AJ76" s="72"/>
      <c r="AK76" s="72"/>
      <c r="AL76" s="72"/>
      <c r="AM76" s="72">
        <v>0</v>
      </c>
      <c r="AN76" s="72">
        <v>1</v>
      </c>
      <c r="AO76" s="72">
        <v>2</v>
      </c>
      <c r="AP76" s="72">
        <v>3</v>
      </c>
      <c r="AQ76" s="72">
        <v>4</v>
      </c>
      <c r="AR76" s="72">
        <v>5</v>
      </c>
      <c r="AS76" s="72">
        <v>6</v>
      </c>
      <c r="AT76" s="72">
        <v>7</v>
      </c>
      <c r="AU76" s="72">
        <v>8</v>
      </c>
      <c r="AV76" s="72">
        <v>9</v>
      </c>
      <c r="AW76" s="72">
        <v>10</v>
      </c>
      <c r="AX76" s="72">
        <v>11</v>
      </c>
      <c r="AY76" s="72">
        <v>12</v>
      </c>
      <c r="AZ76" s="72">
        <v>13</v>
      </c>
      <c r="BA76" s="72">
        <v>14</v>
      </c>
      <c r="BB76" s="72">
        <v>15</v>
      </c>
      <c r="BC76" s="72">
        <v>16</v>
      </c>
      <c r="BD76" s="72">
        <v>17</v>
      </c>
      <c r="BE76" s="72">
        <v>18</v>
      </c>
      <c r="BF76" s="72">
        <v>19</v>
      </c>
      <c r="BG76" s="72">
        <v>20</v>
      </c>
      <c r="BH76" s="72">
        <v>21</v>
      </c>
      <c r="BI76" s="72">
        <v>22</v>
      </c>
      <c r="BJ76" s="72">
        <v>23</v>
      </c>
      <c r="BK76" s="72">
        <v>24</v>
      </c>
      <c r="BL76" s="72">
        <v>25</v>
      </c>
      <c r="BM76" s="72">
        <v>26</v>
      </c>
      <c r="BN76" s="72">
        <v>27</v>
      </c>
      <c r="BO76" s="72">
        <v>28</v>
      </c>
      <c r="BP76" s="72">
        <v>29</v>
      </c>
      <c r="BQ76" s="72">
        <v>30</v>
      </c>
      <c r="BR76" s="72">
        <v>31</v>
      </c>
      <c r="BS76" s="72">
        <v>32</v>
      </c>
      <c r="BT76" s="72">
        <v>33</v>
      </c>
      <c r="BU76" s="72">
        <v>34</v>
      </c>
      <c r="BV76" s="72">
        <v>35</v>
      </c>
      <c r="BW76" s="72">
        <v>36</v>
      </c>
      <c r="BX76" s="72">
        <v>37</v>
      </c>
      <c r="BY76" s="72">
        <v>38</v>
      </c>
      <c r="BZ76" s="72">
        <v>39</v>
      </c>
      <c r="CA76" s="72">
        <v>40</v>
      </c>
      <c r="CB76" s="72">
        <v>41</v>
      </c>
      <c r="CC76" s="72">
        <v>42</v>
      </c>
      <c r="CD76" s="72">
        <v>43</v>
      </c>
      <c r="CE76" s="72">
        <v>44</v>
      </c>
      <c r="CF76" s="72">
        <v>45</v>
      </c>
      <c r="CG76" s="72">
        <v>46</v>
      </c>
      <c r="CH76" s="72">
        <v>47</v>
      </c>
      <c r="CI76" s="72">
        <v>48</v>
      </c>
      <c r="CJ76" s="72">
        <v>49</v>
      </c>
      <c r="CK76" s="72">
        <v>50</v>
      </c>
      <c r="CL76" s="72"/>
      <c r="CM76" s="72" t="s">
        <v>18</v>
      </c>
      <c r="CN76" s="72">
        <v>0</v>
      </c>
      <c r="CO76" s="72">
        <v>0</v>
      </c>
      <c r="CP76" s="72">
        <v>0</v>
      </c>
      <c r="CQ76" s="72">
        <v>2</v>
      </c>
      <c r="CR76" s="72">
        <v>0</v>
      </c>
      <c r="CS76" s="72">
        <v>2</v>
      </c>
      <c r="CT76" s="72">
        <v>4</v>
      </c>
      <c r="CU76" s="72">
        <v>2</v>
      </c>
      <c r="CV76" s="72">
        <v>4</v>
      </c>
      <c r="CW76" s="72">
        <v>6</v>
      </c>
      <c r="CX76" s="72">
        <v>4</v>
      </c>
      <c r="CY76" s="72">
        <v>6</v>
      </c>
      <c r="CZ76" s="72">
        <v>8</v>
      </c>
      <c r="DA76" s="72">
        <v>6</v>
      </c>
      <c r="DB76" s="72">
        <v>8</v>
      </c>
      <c r="DC76" s="72">
        <v>8</v>
      </c>
      <c r="DD76" s="72">
        <v>10</v>
      </c>
      <c r="DE76" s="72">
        <v>8</v>
      </c>
      <c r="DF76" s="72">
        <v>10</v>
      </c>
      <c r="DG76" s="72">
        <v>12</v>
      </c>
      <c r="DH76" s="72">
        <v>10</v>
      </c>
      <c r="DI76" s="72"/>
      <c r="DJ76" s="72"/>
      <c r="DK76" s="72"/>
      <c r="DL76" s="72"/>
      <c r="DM76" s="72" t="s">
        <v>199</v>
      </c>
      <c r="DN76" s="72"/>
      <c r="DO76" s="72"/>
      <c r="DP76" s="72"/>
      <c r="DQ76" s="72"/>
      <c r="DR76" s="72"/>
      <c r="DS76" s="72"/>
      <c r="DT76" s="72"/>
      <c r="DU76" s="72"/>
      <c r="DV76" s="72"/>
      <c r="DW76" s="72"/>
      <c r="DX76" s="72"/>
      <c r="DY76" s="72"/>
      <c r="DZ76" s="81"/>
      <c r="EA76" s="81"/>
      <c r="EB76" s="81"/>
      <c r="EC76" s="72"/>
      <c r="ED76" s="72"/>
      <c r="EE76" s="72"/>
      <c r="EF76" s="72"/>
      <c r="EG76" s="72"/>
      <c r="EH76" s="72"/>
      <c r="EI76" s="72"/>
      <c r="EJ76" s="72"/>
      <c r="EK76" s="72"/>
      <c r="EL76" s="72"/>
      <c r="EM76" s="72"/>
      <c r="EN76" s="72"/>
      <c r="EO76" s="72"/>
      <c r="EP76" s="72"/>
      <c r="EQ76" s="72"/>
      <c r="ER76" s="72"/>
      <c r="ES76" s="72"/>
      <c r="ET76" s="72"/>
      <c r="EU76" s="72"/>
      <c r="EV76" s="72" t="s">
        <v>67</v>
      </c>
      <c r="EW76" s="72"/>
      <c r="EX76" s="72"/>
      <c r="EY76" s="72"/>
      <c r="EZ76" s="72"/>
      <c r="FA76" s="72"/>
      <c r="FB76" s="72"/>
      <c r="FC76" s="72"/>
      <c r="FD76" s="72"/>
      <c r="FE76" s="72"/>
      <c r="FF76" s="72"/>
      <c r="FG76" s="72"/>
      <c r="FH76" s="72"/>
      <c r="FU76" s="72"/>
      <c r="FV76" s="72"/>
      <c r="FW76" s="72"/>
      <c r="FX76" s="72"/>
      <c r="FY76" s="72"/>
      <c r="FZ76" s="72"/>
      <c r="GA76" s="72"/>
      <c r="GB76" s="72"/>
      <c r="GC76" s="72"/>
      <c r="GD76" s="72"/>
      <c r="GE76" s="72"/>
      <c r="GF76" s="72"/>
      <c r="GG76" s="72"/>
      <c r="GH76" s="72"/>
      <c r="GI76" s="72"/>
      <c r="GJ76" s="72"/>
      <c r="GK76" s="72"/>
      <c r="GL76" s="72"/>
      <c r="GM76" s="72"/>
      <c r="GN76" s="72"/>
      <c r="GO76" s="72"/>
      <c r="GP76" s="72"/>
      <c r="GQ76" s="72"/>
      <c r="GR76" s="72"/>
      <c r="GS76" s="72"/>
      <c r="GT76" s="72"/>
      <c r="GU76" s="72"/>
      <c r="GV76" s="72"/>
      <c r="GX76" s="72"/>
      <c r="GY76" s="72"/>
      <c r="GZ76" s="72">
        <f>(SUM(HD73:HE75)-1)*6</f>
        <v>138</v>
      </c>
      <c r="HB76" s="64">
        <v>0.85750000000000004</v>
      </c>
      <c r="HC76" s="64">
        <f>GZ76*HB76</f>
        <v>118.33500000000001</v>
      </c>
      <c r="HD76" s="72"/>
      <c r="HW76" s="64">
        <v>0</v>
      </c>
      <c r="HX76" s="64">
        <v>1</v>
      </c>
      <c r="HY76" s="64">
        <v>2</v>
      </c>
      <c r="HZ76" s="64">
        <v>3</v>
      </c>
      <c r="IA76" s="64">
        <v>4</v>
      </c>
      <c r="IB76" s="64">
        <v>5</v>
      </c>
      <c r="IC76" s="64">
        <v>6</v>
      </c>
      <c r="ID76" s="64">
        <v>7</v>
      </c>
      <c r="IE76" s="64">
        <v>8</v>
      </c>
      <c r="IF76" s="64">
        <v>9</v>
      </c>
      <c r="IG76" s="64">
        <v>10</v>
      </c>
      <c r="IH76" s="64">
        <v>11</v>
      </c>
      <c r="II76" s="64">
        <v>12</v>
      </c>
      <c r="IJ76" s="64">
        <v>13</v>
      </c>
      <c r="IK76" s="64">
        <v>14</v>
      </c>
      <c r="IL76" s="64">
        <v>15</v>
      </c>
      <c r="IM76" s="64">
        <v>16</v>
      </c>
      <c r="IN76" s="64">
        <v>17</v>
      </c>
      <c r="IO76" s="64">
        <v>18</v>
      </c>
      <c r="IP76" s="64">
        <v>19</v>
      </c>
      <c r="IQ76" s="64">
        <v>20</v>
      </c>
      <c r="IT76" s="64">
        <f t="shared" si="101"/>
        <v>0</v>
      </c>
      <c r="IU76" s="64">
        <f t="shared" si="102"/>
        <v>2</v>
      </c>
      <c r="IV76" s="64">
        <f t="shared" si="103"/>
        <v>4</v>
      </c>
      <c r="IW76" s="64">
        <f t="shared" si="104"/>
        <v>6</v>
      </c>
      <c r="IX76" s="64">
        <f t="shared" si="105"/>
        <v>8</v>
      </c>
      <c r="IY76" s="64">
        <f t="shared" si="106"/>
        <v>10</v>
      </c>
      <c r="IZ76" s="64">
        <f t="shared" si="107"/>
        <v>12</v>
      </c>
      <c r="JA76" s="64">
        <f t="shared" si="108"/>
        <v>14</v>
      </c>
      <c r="JB76" s="64">
        <f t="shared" si="98"/>
        <v>16</v>
      </c>
      <c r="JC76" s="64">
        <f t="shared" si="109"/>
        <v>18</v>
      </c>
      <c r="JD76" s="64">
        <f t="shared" si="110"/>
        <v>20</v>
      </c>
      <c r="JE76" s="64">
        <f t="shared" si="111"/>
        <v>22</v>
      </c>
      <c r="JF76" s="64">
        <f t="shared" si="112"/>
        <v>24</v>
      </c>
      <c r="JG76" s="64">
        <f t="shared" si="113"/>
        <v>26</v>
      </c>
      <c r="JH76" s="64">
        <f t="shared" si="114"/>
        <v>28</v>
      </c>
      <c r="JI76" s="64">
        <f t="shared" si="115"/>
        <v>30</v>
      </c>
      <c r="JJ76" s="64">
        <f t="shared" si="116"/>
        <v>32</v>
      </c>
      <c r="JK76" s="64">
        <f t="shared" si="117"/>
        <v>34</v>
      </c>
      <c r="JL76" s="64">
        <f t="shared" si="118"/>
        <v>36</v>
      </c>
      <c r="JM76" s="64">
        <f t="shared" si="119"/>
        <v>38</v>
      </c>
      <c r="JN76" s="64">
        <f t="shared" si="120"/>
        <v>40</v>
      </c>
    </row>
    <row r="77" spans="1:277" x14ac:dyDescent="0.25">
      <c r="A77" s="8"/>
      <c r="B77" s="5" t="s">
        <v>61</v>
      </c>
      <c r="C77" s="8"/>
      <c r="D77" s="6" t="s">
        <v>452</v>
      </c>
      <c r="E77" s="8" t="s">
        <v>67</v>
      </c>
      <c r="F77" s="5" t="s">
        <v>61</v>
      </c>
      <c r="G77" s="8" t="s">
        <v>59</v>
      </c>
      <c r="H77" s="5" t="s">
        <v>61</v>
      </c>
      <c r="I77" s="8">
        <v>30</v>
      </c>
      <c r="J77" s="5" t="s">
        <v>62</v>
      </c>
      <c r="K77" s="9"/>
      <c r="L77" s="6" t="s">
        <v>63</v>
      </c>
      <c r="M77" s="11">
        <f>INDEX(cenník!$C$2:$I$568,MATCH($L77,cenník!$B$2:$B$557,0),MATCH(M$2,cenník!$C$1:$I$1,0))</f>
        <v>894510</v>
      </c>
      <c r="N77" s="11" t="str">
        <f>INDEX(cenník!$C$2:$I$568,MATCH($L77,cenník!$B$2:$B$557,0),MATCH(N$2,cenník!$C$1:$I$1,0))</f>
        <v>ks</v>
      </c>
      <c r="O77" s="11">
        <f>SUM(AA65:AA80)</f>
        <v>0</v>
      </c>
      <c r="P77" s="36">
        <f>INDEX(cenník!$C$2:$I$568,MATCH($L77,cenník!$B$2:$B$557,0),MATCH(P$2,cenník!$C$1:$I$1,0))</f>
        <v>11.08</v>
      </c>
      <c r="Q77" s="36">
        <f>O77*P77</f>
        <v>0</v>
      </c>
      <c r="R77" s="37">
        <f t="shared" ref="R77:R100" si="123">$E$82</f>
        <v>0</v>
      </c>
      <c r="S77" s="36">
        <f t="shared" ref="S77:S100" si="124">P77*((100-$E$82)/100)</f>
        <v>11.08</v>
      </c>
      <c r="T77" s="36">
        <f>O77*S77</f>
        <v>0</v>
      </c>
      <c r="U77" s="36">
        <f>INDEX(cenník!$C$2:$I$568,MATCH($L77,cenník!$B$2:$B$557,0),MATCH(U$2,cenník!$C$1:$I$1,0))*O77</f>
        <v>0</v>
      </c>
      <c r="V77" s="72"/>
      <c r="W77" s="85">
        <f t="shared" si="96"/>
        <v>0</v>
      </c>
      <c r="X77" s="72">
        <f t="shared" si="97"/>
        <v>0</v>
      </c>
      <c r="Y77" s="72"/>
      <c r="Z77" s="72">
        <f>(INDEX(($AM$4:$CK$9,$AM$13:$CK$18,$AM$22:$CK$27,$AM$31:$CK$36),MATCH($L$82,$AL$4:$AL$9,0),MATCH(A88,$AM$3:$CK$3,0),MATCH($G$77,$X$26:$X$29,0)))*C88</f>
        <v>0</v>
      </c>
      <c r="AA77" s="72">
        <f>(INDEX(($AM$4:$CK$9,$AM$13:$CK$18,$AM$22:$CK$27,$AM$31:$CK$36),MATCH($L$77,$AL$4:$AL$9,0),MATCH(A88,$AM$3:$CK$3,0),MATCH($G$77,$X$26:$X$29,0)))*C88</f>
        <v>0</v>
      </c>
      <c r="AB77" s="72">
        <f>(INDEX(($AM$4:$CK$9,$AM$13:$CK$18,$AM$22:$CK$27,$AM$31:$CK$36),MATCH($L$78,$AL$4:$AL$9,0),MATCH(A88,$AM$3:$CK$3,0),MATCH($G$77,$X$26:$X$29,0)))*C88</f>
        <v>0</v>
      </c>
      <c r="AC77" s="72">
        <f>(INDEX(($AM$4:$CK$9,$AM$13:$CK$18,$AM$22:$CK$27,$AM$31:$CK$36),MATCH($L$79,$AL$4:$AL$9,0),MATCH(A88,$AM$3:$CK$3,0),MATCH($G$77,$X$26:$X$29,0)))*C88</f>
        <v>0</v>
      </c>
      <c r="AD77" s="72">
        <f>(INDEX(($AM$4:$CK$9,$AM$13:$CK$18,$AM$22:$CK$27,$AM$31:$CK$36),MATCH($L$80,$AL$4:$AL$9,0),MATCH(A88,$AM$3:$CK$3,0),MATCH($G$77,$X$26:$X$29,0)))*C88</f>
        <v>0</v>
      </c>
      <c r="AE77" s="72">
        <f>(INDEX(($AM$4:$CK$9,$AM$13:$CK$18,$AM$22:$CK$27,$AM$31:$CK$36),MATCH($L$81,$AL$4:$AL$9,0),MATCH(A88,$AM$3:$CK$3,0),MATCH($G$77,$X$26:$X$29,0)))*C88</f>
        <v>0</v>
      </c>
      <c r="AF77" s="72"/>
      <c r="AG77" s="72"/>
      <c r="AH77" s="72"/>
      <c r="AI77" s="72"/>
      <c r="AJ77" s="72"/>
      <c r="AK77" s="72"/>
      <c r="AL77" s="72" t="s">
        <v>63</v>
      </c>
      <c r="AM77" s="72">
        <v>0</v>
      </c>
      <c r="AN77" s="72">
        <v>0</v>
      </c>
      <c r="AO77" s="72">
        <v>0</v>
      </c>
      <c r="AP77" s="72">
        <v>0</v>
      </c>
      <c r="AQ77" s="72">
        <v>0</v>
      </c>
      <c r="AR77" s="72">
        <v>0</v>
      </c>
      <c r="AS77" s="72">
        <v>0</v>
      </c>
      <c r="AT77" s="72">
        <v>0</v>
      </c>
      <c r="AU77" s="72">
        <v>0</v>
      </c>
      <c r="AV77" s="72">
        <v>0</v>
      </c>
      <c r="AW77" s="72">
        <v>0</v>
      </c>
      <c r="AX77" s="72">
        <v>0</v>
      </c>
      <c r="AY77" s="72">
        <v>0</v>
      </c>
      <c r="AZ77" s="72">
        <v>0</v>
      </c>
      <c r="BA77" s="72">
        <v>0</v>
      </c>
      <c r="BB77" s="72">
        <v>0</v>
      </c>
      <c r="BC77" s="72">
        <v>0</v>
      </c>
      <c r="BD77" s="72">
        <v>0</v>
      </c>
      <c r="BE77" s="72">
        <v>0</v>
      </c>
      <c r="BF77" s="72">
        <v>0</v>
      </c>
      <c r="BG77" s="72">
        <v>0</v>
      </c>
      <c r="BH77" s="72">
        <v>0</v>
      </c>
      <c r="BI77" s="72">
        <v>0</v>
      </c>
      <c r="BJ77" s="72">
        <v>0</v>
      </c>
      <c r="BK77" s="72">
        <v>0</v>
      </c>
      <c r="BL77" s="72">
        <v>0</v>
      </c>
      <c r="BM77" s="72">
        <v>0</v>
      </c>
      <c r="BN77" s="72">
        <v>0</v>
      </c>
      <c r="BO77" s="72">
        <v>0</v>
      </c>
      <c r="BP77" s="72">
        <v>0</v>
      </c>
      <c r="BQ77" s="72">
        <v>0</v>
      </c>
      <c r="BR77" s="72">
        <v>0</v>
      </c>
      <c r="BS77" s="72">
        <v>0</v>
      </c>
      <c r="BT77" s="72">
        <v>0</v>
      </c>
      <c r="BU77" s="72">
        <v>0</v>
      </c>
      <c r="BV77" s="72">
        <v>0</v>
      </c>
      <c r="BW77" s="72">
        <v>0</v>
      </c>
      <c r="BX77" s="72">
        <v>0</v>
      </c>
      <c r="BY77" s="72">
        <v>0</v>
      </c>
      <c r="BZ77" s="72">
        <v>0</v>
      </c>
      <c r="CA77" s="72">
        <v>0</v>
      </c>
      <c r="CB77" s="72">
        <v>0</v>
      </c>
      <c r="CC77" s="72">
        <v>0</v>
      </c>
      <c r="CD77" s="72">
        <v>0</v>
      </c>
      <c r="CE77" s="72">
        <v>0</v>
      </c>
      <c r="CF77" s="72">
        <v>0</v>
      </c>
      <c r="CG77" s="72">
        <v>0</v>
      </c>
      <c r="CH77" s="72">
        <v>0</v>
      </c>
      <c r="CI77" s="72">
        <v>0</v>
      </c>
      <c r="CJ77" s="72">
        <v>0</v>
      </c>
      <c r="CK77" s="72">
        <v>0</v>
      </c>
      <c r="CL77" s="72"/>
      <c r="CM77" s="72" t="s">
        <v>179</v>
      </c>
      <c r="CN77" s="72">
        <v>0</v>
      </c>
      <c r="CO77" s="72">
        <v>0</v>
      </c>
      <c r="CP77" s="72">
        <v>0</v>
      </c>
      <c r="CQ77" s="72">
        <v>0</v>
      </c>
      <c r="CR77" s="72">
        <v>4</v>
      </c>
      <c r="CS77" s="72">
        <v>4</v>
      </c>
      <c r="CT77" s="72">
        <v>4</v>
      </c>
      <c r="CU77" s="72">
        <v>8</v>
      </c>
      <c r="CV77" s="72">
        <v>8</v>
      </c>
      <c r="CW77" s="72">
        <v>8</v>
      </c>
      <c r="CX77" s="72">
        <v>12</v>
      </c>
      <c r="CY77" s="72">
        <v>12</v>
      </c>
      <c r="CZ77" s="72">
        <v>12</v>
      </c>
      <c r="DA77" s="72">
        <v>16</v>
      </c>
      <c r="DB77" s="72">
        <v>16</v>
      </c>
      <c r="DC77" s="72">
        <v>16</v>
      </c>
      <c r="DD77" s="72">
        <v>16</v>
      </c>
      <c r="DE77" s="72">
        <v>20</v>
      </c>
      <c r="DF77" s="72">
        <v>20</v>
      </c>
      <c r="DG77" s="72">
        <v>20</v>
      </c>
      <c r="DH77" s="72">
        <v>24</v>
      </c>
      <c r="DI77" s="72"/>
      <c r="DJ77" s="72"/>
      <c r="DK77" s="72"/>
      <c r="DL77" s="72"/>
      <c r="DM77" s="72"/>
      <c r="DN77" s="72">
        <v>0</v>
      </c>
      <c r="DO77" s="72">
        <v>1</v>
      </c>
      <c r="DP77" s="72">
        <v>2</v>
      </c>
      <c r="DQ77" s="72">
        <v>3</v>
      </c>
      <c r="DR77" s="72">
        <v>4</v>
      </c>
      <c r="DS77" s="72">
        <v>5</v>
      </c>
      <c r="DT77" s="72">
        <v>6</v>
      </c>
      <c r="DU77" s="72">
        <v>7</v>
      </c>
      <c r="DV77" s="72">
        <v>8</v>
      </c>
      <c r="DW77" s="72">
        <v>9</v>
      </c>
      <c r="DX77" s="72">
        <v>10</v>
      </c>
      <c r="DY77" s="72">
        <v>11</v>
      </c>
      <c r="DZ77" s="81">
        <v>12</v>
      </c>
      <c r="EA77" s="81">
        <v>13</v>
      </c>
      <c r="EB77" s="81">
        <v>14</v>
      </c>
      <c r="EC77" s="72">
        <v>15</v>
      </c>
      <c r="ED77" s="72">
        <v>16</v>
      </c>
      <c r="EE77" s="72">
        <v>17</v>
      </c>
      <c r="EF77" s="72">
        <v>18</v>
      </c>
      <c r="EG77" s="72">
        <v>19</v>
      </c>
      <c r="EH77" s="72">
        <v>20</v>
      </c>
      <c r="EI77" s="72"/>
      <c r="EJ77" s="72"/>
      <c r="EK77" s="72"/>
      <c r="EL77" s="72"/>
      <c r="EM77" s="72"/>
      <c r="EN77" s="72"/>
      <c r="EO77" s="72"/>
      <c r="EP77" s="72"/>
      <c r="EQ77" s="72"/>
      <c r="ER77" s="72"/>
      <c r="ES77" s="72"/>
      <c r="ET77" s="72"/>
      <c r="EU77" s="72"/>
      <c r="EV77" s="72"/>
      <c r="EW77" s="72">
        <v>0</v>
      </c>
      <c r="EX77" s="72">
        <v>1</v>
      </c>
      <c r="EY77" s="72">
        <v>2</v>
      </c>
      <c r="EZ77" s="72">
        <v>3</v>
      </c>
      <c r="FA77" s="72">
        <v>4</v>
      </c>
      <c r="FB77" s="72">
        <v>5</v>
      </c>
      <c r="FC77" s="72">
        <v>6</v>
      </c>
      <c r="FD77" s="72">
        <v>7</v>
      </c>
      <c r="FE77" s="72">
        <v>8</v>
      </c>
      <c r="FF77" s="72">
        <v>9</v>
      </c>
      <c r="FG77" s="72">
        <v>10</v>
      </c>
      <c r="FH77" s="72"/>
      <c r="FI77" s="72" t="s">
        <v>198</v>
      </c>
      <c r="FJ77" s="72"/>
      <c r="FK77" s="72"/>
      <c r="FL77" s="72"/>
      <c r="FM77" s="72"/>
      <c r="FN77" s="72"/>
      <c r="FO77" s="72"/>
      <c r="FP77" s="72"/>
      <c r="FQ77" s="72"/>
      <c r="FR77" s="72"/>
      <c r="FS77" s="72"/>
      <c r="FT77" s="72"/>
      <c r="FU77" s="72"/>
      <c r="FV77" s="72"/>
      <c r="FW77" s="72"/>
      <c r="FX77" s="72"/>
      <c r="FY77" s="72"/>
      <c r="FZ77" s="72"/>
      <c r="GA77" s="72"/>
      <c r="GB77" s="72"/>
      <c r="GC77" s="72"/>
      <c r="GD77" s="72"/>
      <c r="GE77" s="72"/>
      <c r="GF77" s="72"/>
      <c r="GG77" s="72"/>
      <c r="GH77" s="72"/>
      <c r="GI77" s="72"/>
      <c r="GJ77" s="72"/>
      <c r="GK77" s="72"/>
      <c r="GL77" s="72"/>
      <c r="GM77" s="72"/>
      <c r="GN77" s="72"/>
      <c r="GO77" s="72"/>
      <c r="GP77" s="72"/>
      <c r="GQ77" s="72"/>
      <c r="GR77" s="72"/>
      <c r="GS77" s="72"/>
      <c r="GT77" s="72"/>
      <c r="GU77" s="72"/>
      <c r="GV77" s="72"/>
      <c r="GX77" s="72"/>
      <c r="GY77" s="72"/>
      <c r="HA77" s="72">
        <f>SUM(HA73:HA75)</f>
        <v>45760</v>
      </c>
      <c r="HB77" s="72"/>
      <c r="HC77" s="72">
        <f>SUM(HC73:HC76)</f>
        <v>979.73500000000001</v>
      </c>
      <c r="HV77" s="64" t="s">
        <v>380</v>
      </c>
      <c r="HW77" s="64">
        <v>0</v>
      </c>
      <c r="HX77" s="64">
        <v>2</v>
      </c>
      <c r="HY77" s="64">
        <v>4</v>
      </c>
      <c r="HZ77" s="64">
        <v>0</v>
      </c>
      <c r="IA77" s="64">
        <v>2</v>
      </c>
      <c r="IB77" s="64">
        <v>4</v>
      </c>
      <c r="IC77" s="64">
        <v>0</v>
      </c>
      <c r="ID77" s="64">
        <v>2</v>
      </c>
      <c r="IE77" s="64">
        <v>2</v>
      </c>
      <c r="IF77" s="64">
        <v>4</v>
      </c>
      <c r="IG77" s="64">
        <v>0</v>
      </c>
      <c r="IH77" s="64">
        <v>2</v>
      </c>
      <c r="II77" s="64">
        <v>4</v>
      </c>
      <c r="IJ77" s="64">
        <v>0</v>
      </c>
      <c r="IK77" s="64">
        <v>2</v>
      </c>
      <c r="IL77" s="64">
        <v>4</v>
      </c>
      <c r="IM77" s="64">
        <v>0</v>
      </c>
      <c r="IN77" s="64">
        <v>2</v>
      </c>
      <c r="IO77" s="64">
        <v>4</v>
      </c>
      <c r="IP77" s="64">
        <v>0</v>
      </c>
      <c r="IQ77" s="64">
        <v>2</v>
      </c>
      <c r="IS77" s="64" t="s">
        <v>380</v>
      </c>
      <c r="IT77" s="64">
        <f t="shared" si="101"/>
        <v>0</v>
      </c>
      <c r="IU77" s="64">
        <f t="shared" si="102"/>
        <v>4</v>
      </c>
      <c r="IV77" s="64">
        <f t="shared" si="103"/>
        <v>8</v>
      </c>
      <c r="IW77" s="64">
        <f t="shared" si="104"/>
        <v>0</v>
      </c>
      <c r="IX77" s="64">
        <f t="shared" si="105"/>
        <v>4</v>
      </c>
      <c r="IY77" s="64">
        <f t="shared" si="106"/>
        <v>8</v>
      </c>
      <c r="IZ77" s="64">
        <f t="shared" si="107"/>
        <v>0</v>
      </c>
      <c r="JA77" s="64">
        <f t="shared" si="108"/>
        <v>4</v>
      </c>
      <c r="JB77" s="64">
        <f t="shared" si="98"/>
        <v>4</v>
      </c>
      <c r="JC77" s="64">
        <f t="shared" si="109"/>
        <v>8</v>
      </c>
      <c r="JD77" s="64">
        <f t="shared" si="110"/>
        <v>0</v>
      </c>
      <c r="JE77" s="64">
        <f t="shared" si="111"/>
        <v>4</v>
      </c>
      <c r="JF77" s="64">
        <f t="shared" si="112"/>
        <v>8</v>
      </c>
      <c r="JG77" s="64">
        <f t="shared" si="113"/>
        <v>0</v>
      </c>
      <c r="JH77" s="64">
        <f t="shared" si="114"/>
        <v>4</v>
      </c>
      <c r="JI77" s="64">
        <f t="shared" si="115"/>
        <v>8</v>
      </c>
      <c r="JJ77" s="64">
        <f t="shared" si="116"/>
        <v>0</v>
      </c>
      <c r="JK77" s="64">
        <f t="shared" si="117"/>
        <v>4</v>
      </c>
      <c r="JL77" s="64">
        <f t="shared" si="118"/>
        <v>8</v>
      </c>
      <c r="JM77" s="64">
        <f t="shared" si="119"/>
        <v>0</v>
      </c>
      <c r="JN77" s="64">
        <f t="shared" si="120"/>
        <v>4</v>
      </c>
    </row>
    <row r="78" spans="1:277" x14ac:dyDescent="0.25">
      <c r="A78" s="8"/>
      <c r="B78" s="5" t="s">
        <v>61</v>
      </c>
      <c r="C78" s="8"/>
      <c r="D78" s="6" t="s">
        <v>455</v>
      </c>
      <c r="E78" s="8" t="s">
        <v>465</v>
      </c>
      <c r="F78" s="5"/>
      <c r="G78" s="5"/>
      <c r="H78" s="5"/>
      <c r="I78" s="5"/>
      <c r="J78" s="5" t="s">
        <v>62</v>
      </c>
      <c r="K78" s="9"/>
      <c r="L78" s="6" t="s">
        <v>11</v>
      </c>
      <c r="M78" s="11">
        <f>INDEX(cenník!$C$2:$I$568,MATCH($L78,cenník!$B$2:$B$557,0),MATCH(M$2,cenník!$C$1:$I$1,0))</f>
        <v>894621</v>
      </c>
      <c r="N78" s="11" t="str">
        <f>INDEX(cenník!$C$2:$I$568,MATCH($L78,cenník!$B$2:$B$557,0),MATCH(N$2,cenník!$C$1:$I$1,0))</f>
        <v>ks</v>
      </c>
      <c r="O78" s="11">
        <f>SUM(AB65:AB80)</f>
        <v>0</v>
      </c>
      <c r="P78" s="36">
        <f>INDEX(cenník!$C$2:$I$568,MATCH($L78,cenník!$B$2:$B$557,0),MATCH(P$2,cenník!$C$1:$I$1,0))</f>
        <v>20.05</v>
      </c>
      <c r="Q78" s="36">
        <f t="shared" ref="Q78:Q94" si="125">O78*P78</f>
        <v>0</v>
      </c>
      <c r="R78" s="37">
        <f t="shared" si="123"/>
        <v>0</v>
      </c>
      <c r="S78" s="36">
        <f t="shared" si="124"/>
        <v>20.05</v>
      </c>
      <c r="T78" s="36">
        <f t="shared" ref="T78:T94" si="126">O78*S78</f>
        <v>0</v>
      </c>
      <c r="U78" s="36">
        <f>INDEX(cenník!$C$2:$I$568,MATCH($L78,cenník!$B$2:$B$557,0),MATCH(U$2,cenník!$C$1:$I$1,0))*O78</f>
        <v>0</v>
      </c>
      <c r="V78" s="72"/>
      <c r="W78" s="85">
        <f t="shared" si="96"/>
        <v>0</v>
      </c>
      <c r="X78" s="72">
        <f t="shared" si="97"/>
        <v>0</v>
      </c>
      <c r="Y78" s="72"/>
      <c r="Z78" s="72">
        <f>(INDEX(($AM$4:$CK$9,$AM$13:$CK$18,$AM$22:$CK$27,$AM$31:$CK$36),MATCH($L$82,$AL$4:$AL$9,0),MATCH(A89,$AM$3:$CK$3,0),MATCH($G$77,$X$26:$X$29,0)))*C89</f>
        <v>0</v>
      </c>
      <c r="AA78" s="72">
        <f>(INDEX(($AM$4:$CK$9,$AM$13:$CK$18,$AM$22:$CK$27,$AM$31:$CK$36),MATCH($L$77,$AL$4:$AL$9,0),MATCH(A89,$AM$3:$CK$3,0),MATCH($G$77,$X$26:$X$29,0)))*C89</f>
        <v>0</v>
      </c>
      <c r="AB78" s="72">
        <f>(INDEX(($AM$4:$CK$9,$AM$13:$CK$18,$AM$22:$CK$27,$AM$31:$CK$36),MATCH($L$78,$AL$4:$AL$9,0),MATCH(A89,$AM$3:$CK$3,0),MATCH($G$77,$X$26:$X$29,0)))*C89</f>
        <v>0</v>
      </c>
      <c r="AC78" s="72">
        <f>(INDEX(($AM$4:$CK$9,$AM$13:$CK$18,$AM$22:$CK$27,$AM$31:$CK$36),MATCH($L$79,$AL$4:$AL$9,0),MATCH(A89,$AM$3:$CK$3,0),MATCH($G$77,$X$26:$X$29,0)))*C89</f>
        <v>0</v>
      </c>
      <c r="AD78" s="72">
        <f>(INDEX(($AM$4:$CK$9,$AM$13:$CK$18,$AM$22:$CK$27,$AM$31:$CK$36),MATCH($L$80,$AL$4:$AL$9,0),MATCH(A89,$AM$3:$CK$3,0),MATCH($G$77,$X$26:$X$29,0)))*C89</f>
        <v>0</v>
      </c>
      <c r="AE78" s="72">
        <f>(INDEX(($AM$4:$CK$9,$AM$13:$CK$18,$AM$22:$CK$27,$AM$31:$CK$36),MATCH($L$81,$AL$4:$AL$9,0),MATCH(A89,$AM$3:$CK$3,0),MATCH($G$77,$X$26:$X$29,0)))*C89</f>
        <v>0</v>
      </c>
      <c r="AF78" s="72"/>
      <c r="AG78" s="72"/>
      <c r="AH78" s="72"/>
      <c r="AI78" s="72"/>
      <c r="AJ78" s="72"/>
      <c r="AK78" s="72"/>
      <c r="AL78" s="72" t="s">
        <v>11</v>
      </c>
      <c r="AM78" s="72">
        <v>0</v>
      </c>
      <c r="AN78" s="72">
        <v>0</v>
      </c>
      <c r="AO78" s="72">
        <v>4</v>
      </c>
      <c r="AP78" s="72">
        <v>0</v>
      </c>
      <c r="AQ78" s="72">
        <v>2</v>
      </c>
      <c r="AR78" s="72">
        <v>4</v>
      </c>
      <c r="AS78" s="72">
        <v>0</v>
      </c>
      <c r="AT78" s="72">
        <v>2</v>
      </c>
      <c r="AU78" s="72">
        <v>4</v>
      </c>
      <c r="AV78" s="72">
        <v>0</v>
      </c>
      <c r="AW78" s="72">
        <v>0</v>
      </c>
      <c r="AX78" s="72">
        <v>0</v>
      </c>
      <c r="AY78" s="72">
        <v>0</v>
      </c>
      <c r="AZ78" s="72">
        <v>0</v>
      </c>
      <c r="BA78" s="72">
        <v>0</v>
      </c>
      <c r="BB78" s="72">
        <v>2</v>
      </c>
      <c r="BC78" s="72">
        <v>0</v>
      </c>
      <c r="BD78" s="72">
        <v>0</v>
      </c>
      <c r="BE78" s="72">
        <v>2</v>
      </c>
      <c r="BF78" s="72">
        <v>0</v>
      </c>
      <c r="BG78" s="72">
        <v>0</v>
      </c>
      <c r="BH78" s="72">
        <v>2</v>
      </c>
      <c r="BI78" s="72">
        <v>0</v>
      </c>
      <c r="BJ78" s="72">
        <v>0</v>
      </c>
      <c r="BK78" s="72">
        <v>0</v>
      </c>
      <c r="BL78" s="72">
        <v>0</v>
      </c>
      <c r="BM78" s="72">
        <v>0</v>
      </c>
      <c r="BN78" s="72">
        <v>0</v>
      </c>
      <c r="BO78" s="72">
        <v>0</v>
      </c>
      <c r="BP78" s="72">
        <v>0</v>
      </c>
      <c r="BQ78" s="72">
        <v>0</v>
      </c>
      <c r="BR78" s="72">
        <v>0</v>
      </c>
      <c r="BS78" s="72">
        <v>4</v>
      </c>
      <c r="BT78" s="72">
        <v>0</v>
      </c>
      <c r="BU78" s="72">
        <v>0</v>
      </c>
      <c r="BV78" s="72">
        <v>0</v>
      </c>
      <c r="BW78" s="72">
        <v>0</v>
      </c>
      <c r="BX78" s="72">
        <v>4</v>
      </c>
      <c r="BY78" s="72">
        <v>0</v>
      </c>
      <c r="BZ78" s="72">
        <v>0</v>
      </c>
      <c r="CA78" s="72">
        <v>0</v>
      </c>
      <c r="CB78" s="72">
        <v>0</v>
      </c>
      <c r="CC78" s="72">
        <v>0</v>
      </c>
      <c r="CD78" s="72">
        <v>0</v>
      </c>
      <c r="CE78" s="72">
        <v>0</v>
      </c>
      <c r="CF78" s="72">
        <v>0</v>
      </c>
      <c r="CG78" s="72">
        <v>0</v>
      </c>
      <c r="CH78" s="72">
        <v>0</v>
      </c>
      <c r="CI78" s="72">
        <v>0</v>
      </c>
      <c r="CJ78" s="72">
        <v>0</v>
      </c>
      <c r="CK78" s="72">
        <v>0</v>
      </c>
      <c r="CL78" s="72"/>
      <c r="CM78" s="72" t="s">
        <v>236</v>
      </c>
      <c r="CN78" s="72">
        <v>0</v>
      </c>
      <c r="CO78" s="72">
        <v>2</v>
      </c>
      <c r="CP78" s="72">
        <v>2</v>
      </c>
      <c r="CQ78" s="72">
        <v>0</v>
      </c>
      <c r="CR78" s="72">
        <v>4</v>
      </c>
      <c r="CS78" s="72">
        <v>2</v>
      </c>
      <c r="CT78" s="72">
        <v>0</v>
      </c>
      <c r="CU78" s="72">
        <v>4</v>
      </c>
      <c r="CV78" s="72">
        <v>2</v>
      </c>
      <c r="CW78" s="72">
        <v>0</v>
      </c>
      <c r="CX78" s="72">
        <v>4</v>
      </c>
      <c r="CY78" s="72">
        <v>2</v>
      </c>
      <c r="CZ78" s="72">
        <v>0</v>
      </c>
      <c r="DA78" s="72">
        <v>4</v>
      </c>
      <c r="DB78" s="72">
        <v>2</v>
      </c>
      <c r="DC78" s="72">
        <v>2</v>
      </c>
      <c r="DD78" s="72">
        <v>0</v>
      </c>
      <c r="DE78" s="72">
        <v>4</v>
      </c>
      <c r="DF78" s="72">
        <v>2</v>
      </c>
      <c r="DG78" s="72">
        <v>0</v>
      </c>
      <c r="DH78" s="72">
        <v>4</v>
      </c>
      <c r="DI78" s="72"/>
      <c r="DJ78" s="72"/>
      <c r="DK78" s="72"/>
      <c r="DL78" s="72"/>
      <c r="DM78" s="72" t="s">
        <v>114</v>
      </c>
      <c r="DN78" s="72">
        <v>0</v>
      </c>
      <c r="DO78" s="72">
        <v>2</v>
      </c>
      <c r="DP78" s="72">
        <v>0</v>
      </c>
      <c r="DQ78" s="72">
        <v>0</v>
      </c>
      <c r="DR78" s="72">
        <v>2</v>
      </c>
      <c r="DS78" s="72">
        <v>2</v>
      </c>
      <c r="DT78" s="72">
        <v>0</v>
      </c>
      <c r="DU78" s="72">
        <v>4</v>
      </c>
      <c r="DV78" s="72">
        <v>2</v>
      </c>
      <c r="DW78" s="72">
        <v>0</v>
      </c>
      <c r="DX78" s="72">
        <v>4</v>
      </c>
      <c r="DY78" s="72">
        <v>2</v>
      </c>
      <c r="DZ78" s="81">
        <v>0</v>
      </c>
      <c r="EA78" s="81">
        <v>4</v>
      </c>
      <c r="EB78" s="81">
        <v>2</v>
      </c>
      <c r="EC78" s="72">
        <v>0</v>
      </c>
      <c r="ED78" s="72">
        <v>4</v>
      </c>
      <c r="EE78" s="72">
        <v>2</v>
      </c>
      <c r="EF78" s="72">
        <v>0</v>
      </c>
      <c r="EG78" s="72">
        <v>4</v>
      </c>
      <c r="EH78" s="72">
        <v>2</v>
      </c>
      <c r="EI78" s="72"/>
      <c r="EJ78" s="72"/>
      <c r="EK78" s="72"/>
      <c r="EL78" s="72"/>
      <c r="EM78" s="72"/>
      <c r="EN78" s="72"/>
      <c r="EO78" s="72"/>
      <c r="EP78" s="72"/>
      <c r="EQ78" s="72"/>
      <c r="ER78" s="72"/>
      <c r="ES78" s="72"/>
      <c r="ET78" s="72"/>
      <c r="EU78" s="72"/>
      <c r="EV78" s="72" t="s">
        <v>99</v>
      </c>
      <c r="EW78" s="72">
        <v>0</v>
      </c>
      <c r="EX78" s="72">
        <v>0</v>
      </c>
      <c r="EY78" s="72">
        <v>0</v>
      </c>
      <c r="EZ78" s="72">
        <v>0</v>
      </c>
      <c r="FA78" s="72">
        <v>0</v>
      </c>
      <c r="FB78" s="72">
        <v>0</v>
      </c>
      <c r="FC78" s="72">
        <v>0</v>
      </c>
      <c r="FD78" s="72">
        <v>0</v>
      </c>
      <c r="FE78" s="72">
        <v>0</v>
      </c>
      <c r="FF78" s="72">
        <v>0</v>
      </c>
      <c r="FG78" s="72">
        <v>0</v>
      </c>
      <c r="FH78" s="72"/>
      <c r="FI78" s="72"/>
      <c r="FJ78" s="72">
        <v>0</v>
      </c>
      <c r="FK78" s="72">
        <v>1</v>
      </c>
      <c r="FL78" s="72">
        <v>2</v>
      </c>
      <c r="FM78" s="72">
        <v>3</v>
      </c>
      <c r="FN78" s="72">
        <v>4</v>
      </c>
      <c r="FO78" s="72">
        <v>5</v>
      </c>
      <c r="FP78" s="72">
        <v>6</v>
      </c>
      <c r="FQ78" s="72">
        <v>7</v>
      </c>
      <c r="FR78" s="72">
        <v>8</v>
      </c>
      <c r="FS78" s="72">
        <v>9</v>
      </c>
      <c r="FT78" s="72">
        <v>10</v>
      </c>
      <c r="FU78" s="72"/>
      <c r="FV78" s="72"/>
      <c r="FW78" s="72"/>
      <c r="FX78" s="72"/>
      <c r="FY78" s="72"/>
      <c r="FZ78" s="72"/>
      <c r="GA78" s="72"/>
      <c r="GB78" s="72"/>
      <c r="GC78" s="72"/>
      <c r="GD78" s="72"/>
      <c r="GE78" s="72"/>
      <c r="GF78" s="72"/>
      <c r="GG78" s="72"/>
      <c r="GH78" s="72"/>
      <c r="GI78" s="72"/>
      <c r="GJ78" s="72"/>
      <c r="GK78" s="72"/>
      <c r="GL78" s="72"/>
      <c r="GM78" s="72"/>
      <c r="GN78" s="72"/>
      <c r="GO78" s="72"/>
      <c r="GP78" s="72"/>
      <c r="GQ78" s="72"/>
      <c r="GR78" s="72"/>
      <c r="GS78" s="72"/>
      <c r="GT78" s="72"/>
      <c r="GU78" s="72"/>
      <c r="GV78" s="72"/>
      <c r="GW78" s="72"/>
      <c r="HV78" s="64" t="s">
        <v>379</v>
      </c>
      <c r="HW78" s="64">
        <v>0</v>
      </c>
      <c r="HX78" s="64">
        <v>0</v>
      </c>
      <c r="HY78" s="64">
        <v>0</v>
      </c>
      <c r="HZ78" s="64">
        <v>4</v>
      </c>
      <c r="IA78" s="64">
        <v>4</v>
      </c>
      <c r="IB78" s="64">
        <v>4</v>
      </c>
      <c r="IC78" s="64">
        <v>8</v>
      </c>
      <c r="ID78" s="64">
        <v>8</v>
      </c>
      <c r="IE78" s="64">
        <v>10</v>
      </c>
      <c r="IF78" s="64">
        <v>10</v>
      </c>
      <c r="IG78" s="64">
        <v>14</v>
      </c>
      <c r="IH78" s="64">
        <v>14</v>
      </c>
      <c r="II78" s="64">
        <v>14</v>
      </c>
      <c r="IJ78" s="64">
        <v>18</v>
      </c>
      <c r="IK78" s="64">
        <v>18</v>
      </c>
      <c r="IL78" s="64">
        <v>18</v>
      </c>
      <c r="IM78" s="64">
        <v>22</v>
      </c>
      <c r="IN78" s="64">
        <v>22</v>
      </c>
      <c r="IO78" s="64">
        <v>22</v>
      </c>
      <c r="IP78" s="64">
        <v>26</v>
      </c>
      <c r="IQ78" s="64">
        <v>26</v>
      </c>
      <c r="IS78" s="64" t="s">
        <v>379</v>
      </c>
      <c r="IT78" s="64">
        <f t="shared" si="101"/>
        <v>0</v>
      </c>
      <c r="IU78" s="64">
        <f t="shared" si="102"/>
        <v>0</v>
      </c>
      <c r="IV78" s="64">
        <f t="shared" si="103"/>
        <v>0</v>
      </c>
      <c r="IW78" s="64">
        <f t="shared" si="104"/>
        <v>8</v>
      </c>
      <c r="IX78" s="64">
        <f t="shared" si="105"/>
        <v>8</v>
      </c>
      <c r="IY78" s="64">
        <f t="shared" si="106"/>
        <v>8</v>
      </c>
      <c r="IZ78" s="64">
        <f t="shared" si="107"/>
        <v>16</v>
      </c>
      <c r="JA78" s="64">
        <f t="shared" si="108"/>
        <v>16</v>
      </c>
      <c r="JB78" s="64">
        <f t="shared" si="98"/>
        <v>20</v>
      </c>
      <c r="JC78" s="64">
        <f t="shared" si="109"/>
        <v>20</v>
      </c>
      <c r="JD78" s="64">
        <f t="shared" si="110"/>
        <v>28</v>
      </c>
      <c r="JE78" s="64">
        <f t="shared" si="111"/>
        <v>28</v>
      </c>
      <c r="JF78" s="64">
        <f t="shared" si="112"/>
        <v>28</v>
      </c>
      <c r="JG78" s="64">
        <f t="shared" si="113"/>
        <v>36</v>
      </c>
      <c r="JH78" s="64">
        <f t="shared" si="114"/>
        <v>36</v>
      </c>
      <c r="JI78" s="64">
        <f t="shared" si="115"/>
        <v>36</v>
      </c>
      <c r="JJ78" s="64">
        <f t="shared" si="116"/>
        <v>44</v>
      </c>
      <c r="JK78" s="64">
        <f t="shared" si="117"/>
        <v>44</v>
      </c>
      <c r="JL78" s="64">
        <f t="shared" si="118"/>
        <v>44</v>
      </c>
      <c r="JM78" s="64">
        <f t="shared" si="119"/>
        <v>52</v>
      </c>
      <c r="JN78" s="64">
        <f t="shared" si="120"/>
        <v>52</v>
      </c>
    </row>
    <row r="79" spans="1:277" x14ac:dyDescent="0.25">
      <c r="A79" s="8"/>
      <c r="B79" s="5" t="s">
        <v>61</v>
      </c>
      <c r="C79" s="8"/>
      <c r="D79" s="6" t="s">
        <v>456</v>
      </c>
      <c r="E79" s="8" t="s">
        <v>466</v>
      </c>
      <c r="F79" s="5"/>
      <c r="G79" s="5"/>
      <c r="H79" s="5"/>
      <c r="I79" s="5"/>
      <c r="J79" s="5"/>
      <c r="K79" s="9"/>
      <c r="L79" s="6" t="s">
        <v>64</v>
      </c>
      <c r="M79" s="11">
        <f>INDEX(cenník!$C$2:$I$568,MATCH($L79,cenník!$B$2:$B$557,0),MATCH(M$2,cenník!$C$1:$I$1,0))</f>
        <v>894622</v>
      </c>
      <c r="N79" s="11" t="str">
        <f>INDEX(cenník!$C$2:$I$568,MATCH($L79,cenník!$B$2:$B$557,0),MATCH(N$2,cenník!$C$1:$I$1,0))</f>
        <v>ks</v>
      </c>
      <c r="O79" s="11">
        <f>SUM(AC65:AC80)</f>
        <v>0</v>
      </c>
      <c r="P79" s="36">
        <f>INDEX(cenník!$C$2:$I$568,MATCH($L79,cenník!$B$2:$B$557,0),MATCH(P$2,cenník!$C$1:$I$1,0))</f>
        <v>21.11</v>
      </c>
      <c r="Q79" s="36">
        <f t="shared" si="125"/>
        <v>0</v>
      </c>
      <c r="R79" s="37">
        <f t="shared" si="123"/>
        <v>0</v>
      </c>
      <c r="S79" s="36">
        <f t="shared" si="124"/>
        <v>21.11</v>
      </c>
      <c r="T79" s="36">
        <f t="shared" si="126"/>
        <v>0</v>
      </c>
      <c r="U79" s="36">
        <f>INDEX(cenník!$C$2:$I$568,MATCH($L79,cenník!$B$2:$B$557,0),MATCH(U$2,cenník!$C$1:$I$1,0))*O79</f>
        <v>0</v>
      </c>
      <c r="V79" s="72"/>
      <c r="W79" s="85">
        <f t="shared" si="96"/>
        <v>0</v>
      </c>
      <c r="X79" s="72">
        <f t="shared" si="97"/>
        <v>0</v>
      </c>
      <c r="Y79" s="72"/>
      <c r="Z79" s="72">
        <f>(INDEX(($AM$4:$CK$9,$AM$13:$CK$18,$AM$22:$CK$27,$AM$31:$CK$36),MATCH($L$82,$AL$4:$AL$9,0),MATCH(A90,$AM$3:$CK$3,0),MATCH($G$77,$X$26:$X$29,0)))*C90</f>
        <v>0</v>
      </c>
      <c r="AA79" s="72">
        <f>(INDEX(($AM$4:$CK$9,$AM$13:$CK$18,$AM$22:$CK$27,$AM$31:$CK$36),MATCH($L$77,$AL$4:$AL$9,0),MATCH(A90,$AM$3:$CK$3,0),MATCH($G$77,$X$26:$X$29,0)))*C90</f>
        <v>0</v>
      </c>
      <c r="AB79" s="72">
        <f>(INDEX(($AM$4:$CK$9,$AM$13:$CK$18,$AM$22:$CK$27,$AM$31:$CK$36),MATCH($L$78,$AL$4:$AL$9,0),MATCH(A90,$AM$3:$CK$3,0),MATCH($G$77,$X$26:$X$29,0)))*C90</f>
        <v>0</v>
      </c>
      <c r="AC79" s="72">
        <f>(INDEX(($AM$4:$CK$9,$AM$13:$CK$18,$AM$22:$CK$27,$AM$31:$CK$36),MATCH($L$79,$AL$4:$AL$9,0),MATCH(A90,$AM$3:$CK$3,0),MATCH($G$77,$X$26:$X$29,0)))*C90</f>
        <v>0</v>
      </c>
      <c r="AD79" s="72">
        <f>(INDEX(($AM$4:$CK$9,$AM$13:$CK$18,$AM$22:$CK$27,$AM$31:$CK$36),MATCH($L$80,$AL$4:$AL$9,0),MATCH(A90,$AM$3:$CK$3,0),MATCH($G$77,$X$26:$X$29,0)))*C90</f>
        <v>0</v>
      </c>
      <c r="AE79" s="72">
        <f>(INDEX(($AM$4:$CK$9,$AM$13:$CK$18,$AM$22:$CK$27,$AM$31:$CK$36),MATCH($L$81,$AL$4:$AL$9,0),MATCH(A90,$AM$3:$CK$3,0),MATCH($G$77,$X$26:$X$29,0)))*C90</f>
        <v>0</v>
      </c>
      <c r="AF79" s="72"/>
      <c r="AG79" s="72"/>
      <c r="AH79" s="72"/>
      <c r="AI79" s="72"/>
      <c r="AJ79" s="72"/>
      <c r="AK79" s="72"/>
      <c r="AL79" s="72" t="s">
        <v>64</v>
      </c>
      <c r="AM79" s="72">
        <v>0</v>
      </c>
      <c r="AN79" s="72">
        <v>2</v>
      </c>
      <c r="AO79" s="72">
        <v>0</v>
      </c>
      <c r="AP79" s="72">
        <v>0</v>
      </c>
      <c r="AQ79" s="72">
        <v>0</v>
      </c>
      <c r="AR79" s="72">
        <v>0</v>
      </c>
      <c r="AS79" s="72">
        <v>0</v>
      </c>
      <c r="AT79" s="72">
        <v>0</v>
      </c>
      <c r="AU79" s="72">
        <v>0</v>
      </c>
      <c r="AV79" s="72">
        <v>2</v>
      </c>
      <c r="AW79" s="72">
        <v>4</v>
      </c>
      <c r="AX79" s="72">
        <v>0</v>
      </c>
      <c r="AY79" s="72">
        <v>2</v>
      </c>
      <c r="AZ79" s="72">
        <v>4</v>
      </c>
      <c r="BA79" s="72">
        <v>0</v>
      </c>
      <c r="BB79" s="72">
        <v>0</v>
      </c>
      <c r="BC79" s="72">
        <v>4</v>
      </c>
      <c r="BD79" s="72">
        <v>0</v>
      </c>
      <c r="BE79" s="72">
        <v>0</v>
      </c>
      <c r="BF79" s="72">
        <v>0</v>
      </c>
      <c r="BG79" s="72">
        <v>0</v>
      </c>
      <c r="BH79" s="72">
        <v>0</v>
      </c>
      <c r="BI79" s="72">
        <v>0</v>
      </c>
      <c r="BJ79" s="72">
        <v>0</v>
      </c>
      <c r="BK79" s="72">
        <v>2</v>
      </c>
      <c r="BL79" s="72">
        <v>0</v>
      </c>
      <c r="BM79" s="72">
        <v>2</v>
      </c>
      <c r="BN79" s="72">
        <v>0</v>
      </c>
      <c r="BO79" s="72">
        <v>0</v>
      </c>
      <c r="BP79" s="72">
        <v>0</v>
      </c>
      <c r="BQ79" s="72">
        <v>0</v>
      </c>
      <c r="BR79" s="72">
        <v>0</v>
      </c>
      <c r="BS79" s="72">
        <v>0</v>
      </c>
      <c r="BT79" s="72">
        <v>0</v>
      </c>
      <c r="BU79" s="72">
        <v>0</v>
      </c>
      <c r="BV79" s="72">
        <v>0</v>
      </c>
      <c r="BW79" s="72">
        <v>0</v>
      </c>
      <c r="BX79" s="72">
        <v>0</v>
      </c>
      <c r="BY79" s="72">
        <v>0</v>
      </c>
      <c r="BZ79" s="72">
        <v>0</v>
      </c>
      <c r="CA79" s="72">
        <v>2</v>
      </c>
      <c r="CB79" s="72">
        <v>0</v>
      </c>
      <c r="CC79" s="72">
        <v>2</v>
      </c>
      <c r="CD79" s="72">
        <v>0</v>
      </c>
      <c r="CE79" s="72">
        <v>0</v>
      </c>
      <c r="CF79" s="72">
        <v>0</v>
      </c>
      <c r="CG79" s="72">
        <v>0</v>
      </c>
      <c r="CH79" s="72">
        <v>0</v>
      </c>
      <c r="CI79" s="72">
        <v>0</v>
      </c>
      <c r="CJ79" s="72">
        <v>0</v>
      </c>
      <c r="CK79" s="72">
        <v>0</v>
      </c>
      <c r="CL79" s="72"/>
      <c r="CM79" s="72" t="s">
        <v>238</v>
      </c>
      <c r="CN79" s="72">
        <v>0</v>
      </c>
      <c r="CO79" s="72">
        <v>0</v>
      </c>
      <c r="CP79" s="72">
        <v>0</v>
      </c>
      <c r="CQ79" s="72">
        <v>2</v>
      </c>
      <c r="CR79" s="72">
        <v>0</v>
      </c>
      <c r="CS79" s="72">
        <v>2</v>
      </c>
      <c r="CT79" s="72">
        <v>4</v>
      </c>
      <c r="CU79" s="72">
        <v>2</v>
      </c>
      <c r="CV79" s="72">
        <v>4</v>
      </c>
      <c r="CW79" s="72">
        <v>6</v>
      </c>
      <c r="CX79" s="72">
        <v>4</v>
      </c>
      <c r="CY79" s="72">
        <v>6</v>
      </c>
      <c r="CZ79" s="72">
        <v>8</v>
      </c>
      <c r="DA79" s="72">
        <v>6</v>
      </c>
      <c r="DB79" s="72">
        <v>8</v>
      </c>
      <c r="DC79" s="72">
        <v>8</v>
      </c>
      <c r="DD79" s="72">
        <v>10</v>
      </c>
      <c r="DE79" s="72">
        <v>8</v>
      </c>
      <c r="DF79" s="72">
        <v>10</v>
      </c>
      <c r="DG79" s="72">
        <v>12</v>
      </c>
      <c r="DH79" s="72">
        <v>10</v>
      </c>
      <c r="DI79" s="72"/>
      <c r="DJ79" s="72"/>
      <c r="DK79" s="72"/>
      <c r="DL79" s="72"/>
      <c r="DM79" s="72" t="s">
        <v>101</v>
      </c>
      <c r="DN79" s="72">
        <v>0</v>
      </c>
      <c r="DO79" s="72">
        <v>0</v>
      </c>
      <c r="DP79" s="72">
        <v>2</v>
      </c>
      <c r="DQ79" s="72">
        <v>2</v>
      </c>
      <c r="DR79" s="72">
        <v>2</v>
      </c>
      <c r="DS79" s="72">
        <v>2</v>
      </c>
      <c r="DT79" s="72">
        <v>4</v>
      </c>
      <c r="DU79" s="72">
        <v>2</v>
      </c>
      <c r="DV79" s="72">
        <v>4</v>
      </c>
      <c r="DW79" s="72">
        <v>6</v>
      </c>
      <c r="DX79" s="72">
        <v>4</v>
      </c>
      <c r="DY79" s="72">
        <v>6</v>
      </c>
      <c r="DZ79" s="81">
        <v>8</v>
      </c>
      <c r="EA79" s="81">
        <v>6</v>
      </c>
      <c r="EB79" s="81">
        <v>8</v>
      </c>
      <c r="EC79" s="72">
        <v>10</v>
      </c>
      <c r="ED79" s="72">
        <v>8</v>
      </c>
      <c r="EE79" s="72">
        <v>10</v>
      </c>
      <c r="EF79" s="72">
        <v>12</v>
      </c>
      <c r="EG79" s="72">
        <v>10</v>
      </c>
      <c r="EH79" s="72">
        <v>12</v>
      </c>
      <c r="EI79" s="72"/>
      <c r="EJ79" s="72"/>
      <c r="EK79" s="72"/>
      <c r="EL79" s="72"/>
      <c r="EM79" s="72"/>
      <c r="EN79" s="72"/>
      <c r="EO79" s="72"/>
      <c r="EP79" s="72"/>
      <c r="EQ79" s="72"/>
      <c r="ER79" s="72"/>
      <c r="ES79" s="72"/>
      <c r="ET79" s="72"/>
      <c r="EU79" s="72"/>
      <c r="EV79" s="72" t="s">
        <v>8</v>
      </c>
      <c r="EW79" s="72">
        <v>0</v>
      </c>
      <c r="EX79" s="72">
        <v>0</v>
      </c>
      <c r="EY79" s="72">
        <v>0</v>
      </c>
      <c r="EZ79" s="72">
        <v>0</v>
      </c>
      <c r="FA79" s="72">
        <v>0</v>
      </c>
      <c r="FB79" s="72">
        <v>0</v>
      </c>
      <c r="FC79" s="72">
        <v>0</v>
      </c>
      <c r="FD79" s="72">
        <v>0</v>
      </c>
      <c r="FE79" s="72">
        <v>0</v>
      </c>
      <c r="FF79" s="72">
        <v>0</v>
      </c>
      <c r="FG79" s="72">
        <v>0</v>
      </c>
      <c r="FH79" s="72"/>
      <c r="FI79" s="72" t="s">
        <v>99</v>
      </c>
      <c r="FJ79" s="72">
        <v>0</v>
      </c>
      <c r="FK79" s="72">
        <v>0</v>
      </c>
      <c r="FL79" s="72">
        <v>2</v>
      </c>
      <c r="FM79" s="72">
        <v>0</v>
      </c>
      <c r="FN79" s="72">
        <v>2</v>
      </c>
      <c r="FO79" s="72">
        <v>0</v>
      </c>
      <c r="FP79" s="72">
        <v>0</v>
      </c>
      <c r="FQ79" s="72">
        <v>0</v>
      </c>
      <c r="FR79" s="72">
        <v>0</v>
      </c>
      <c r="FS79" s="72">
        <v>0</v>
      </c>
      <c r="FT79" s="72">
        <v>0</v>
      </c>
      <c r="FU79" s="72"/>
      <c r="FV79" s="72"/>
      <c r="FW79" s="72"/>
      <c r="FX79" s="72"/>
      <c r="FY79" s="72"/>
      <c r="FZ79" s="72"/>
      <c r="GA79" s="64" t="s">
        <v>56</v>
      </c>
      <c r="GB79" s="72"/>
      <c r="GC79" s="72"/>
      <c r="GD79" s="72"/>
      <c r="GE79" s="72"/>
      <c r="GF79" s="72"/>
      <c r="GG79" s="72"/>
      <c r="GH79" s="72"/>
      <c r="GI79" s="72"/>
      <c r="GJ79" s="72"/>
      <c r="GK79" s="72"/>
      <c r="GL79" s="72"/>
      <c r="GM79" s="72"/>
      <c r="GN79" s="72"/>
      <c r="GO79" s="72"/>
      <c r="GP79" s="72"/>
      <c r="GQ79" s="72"/>
      <c r="GR79" s="72"/>
      <c r="GS79" s="72"/>
      <c r="GT79" s="72"/>
      <c r="GU79" s="72"/>
      <c r="GV79" s="72"/>
      <c r="GW79" s="72"/>
      <c r="GX79" s="72"/>
      <c r="HV79" s="64" t="s">
        <v>406</v>
      </c>
      <c r="HW79" s="64">
        <v>0</v>
      </c>
      <c r="HX79" s="64">
        <v>0</v>
      </c>
      <c r="HY79" s="64">
        <v>2</v>
      </c>
      <c r="HZ79" s="64">
        <v>2</v>
      </c>
      <c r="IA79" s="64">
        <v>4</v>
      </c>
      <c r="IB79" s="64">
        <v>6</v>
      </c>
      <c r="IC79" s="64">
        <v>6</v>
      </c>
      <c r="ID79" s="64">
        <v>8</v>
      </c>
      <c r="IE79" s="64">
        <v>10</v>
      </c>
      <c r="IF79" s="64">
        <v>12</v>
      </c>
      <c r="IG79" s="64">
        <v>12</v>
      </c>
      <c r="IH79" s="64">
        <v>14</v>
      </c>
      <c r="II79" s="64">
        <v>16</v>
      </c>
      <c r="IJ79" s="64">
        <v>16</v>
      </c>
      <c r="IK79" s="64">
        <v>18</v>
      </c>
      <c r="IL79" s="64">
        <v>20</v>
      </c>
      <c r="IM79" s="64">
        <v>20</v>
      </c>
      <c r="IN79" s="64">
        <v>22</v>
      </c>
      <c r="IO79" s="64">
        <v>24</v>
      </c>
      <c r="IP79" s="64">
        <v>24</v>
      </c>
      <c r="IQ79" s="64">
        <v>26</v>
      </c>
      <c r="IS79" s="64" t="s">
        <v>406</v>
      </c>
      <c r="IT79" s="64">
        <f t="shared" si="101"/>
        <v>0</v>
      </c>
      <c r="IU79" s="64">
        <f t="shared" si="102"/>
        <v>0</v>
      </c>
      <c r="IV79" s="64">
        <f t="shared" si="103"/>
        <v>4</v>
      </c>
      <c r="IW79" s="64">
        <f t="shared" si="104"/>
        <v>4</v>
      </c>
      <c r="IX79" s="64">
        <f t="shared" si="105"/>
        <v>8</v>
      </c>
      <c r="IY79" s="64">
        <f t="shared" si="106"/>
        <v>12</v>
      </c>
      <c r="IZ79" s="64">
        <f t="shared" si="107"/>
        <v>12</v>
      </c>
      <c r="JA79" s="64">
        <f t="shared" si="108"/>
        <v>16</v>
      </c>
      <c r="JB79" s="64">
        <f t="shared" si="98"/>
        <v>20</v>
      </c>
      <c r="JC79" s="64">
        <f t="shared" si="109"/>
        <v>24</v>
      </c>
      <c r="JD79" s="64">
        <f t="shared" si="110"/>
        <v>24</v>
      </c>
      <c r="JE79" s="64">
        <f t="shared" si="111"/>
        <v>28</v>
      </c>
      <c r="JF79" s="64">
        <f t="shared" si="112"/>
        <v>32</v>
      </c>
      <c r="JG79" s="64">
        <f t="shared" si="113"/>
        <v>32</v>
      </c>
      <c r="JH79" s="64">
        <f t="shared" si="114"/>
        <v>36</v>
      </c>
      <c r="JI79" s="64">
        <f t="shared" si="115"/>
        <v>40</v>
      </c>
      <c r="JJ79" s="64">
        <f t="shared" si="116"/>
        <v>40</v>
      </c>
      <c r="JK79" s="64">
        <f t="shared" si="117"/>
        <v>44</v>
      </c>
      <c r="JL79" s="64">
        <f t="shared" si="118"/>
        <v>48</v>
      </c>
      <c r="JM79" s="64">
        <f t="shared" si="119"/>
        <v>48</v>
      </c>
      <c r="JN79" s="64">
        <f t="shared" si="120"/>
        <v>52</v>
      </c>
    </row>
    <row r="80" spans="1:277" x14ac:dyDescent="0.25">
      <c r="A80" s="8"/>
      <c r="B80" s="5" t="s">
        <v>61</v>
      </c>
      <c r="C80" s="8"/>
      <c r="D80" s="6" t="s">
        <v>475</v>
      </c>
      <c r="E80" s="8" t="s">
        <v>482</v>
      </c>
      <c r="F80" s="41" t="str">
        <f>IF(E80="zaťažená","hodnotu balastu určí statik","")</f>
        <v>hodnotu balastu určí statik</v>
      </c>
      <c r="G80" s="5"/>
      <c r="H80" s="5"/>
      <c r="I80" s="5"/>
      <c r="J80" s="5"/>
      <c r="K80" s="9"/>
      <c r="L80" s="6" t="s">
        <v>14</v>
      </c>
      <c r="M80" s="11">
        <f>INDEX(cenník!$C$2:$I$568,MATCH($L80,cenník!$B$2:$B$557,0),MATCH(M$2,cenník!$C$1:$I$1,0))</f>
        <v>894631</v>
      </c>
      <c r="N80" s="11" t="str">
        <f>INDEX(cenník!$C$2:$I$568,MATCH($L80,cenník!$B$2:$B$557,0),MATCH(N$2,cenník!$C$1:$I$1,0))</f>
        <v>ks</v>
      </c>
      <c r="O80" s="11">
        <f>SUM(AD65:AD80)</f>
        <v>0</v>
      </c>
      <c r="P80" s="36">
        <f>INDEX(cenník!$C$2:$I$568,MATCH($L80,cenník!$B$2:$B$557,0),MATCH(P$2,cenník!$C$1:$I$1,0))</f>
        <v>30.78</v>
      </c>
      <c r="Q80" s="36">
        <f t="shared" si="125"/>
        <v>0</v>
      </c>
      <c r="R80" s="37">
        <f t="shared" si="123"/>
        <v>0</v>
      </c>
      <c r="S80" s="36">
        <f t="shared" si="124"/>
        <v>30.78</v>
      </c>
      <c r="T80" s="36">
        <f t="shared" si="126"/>
        <v>0</v>
      </c>
      <c r="U80" s="36">
        <f>INDEX(cenník!$C$2:$I$568,MATCH($L80,cenník!$B$2:$B$557,0),MATCH(U$2,cenník!$C$1:$I$1,0))*O80</f>
        <v>0</v>
      </c>
      <c r="V80" s="72"/>
      <c r="W80" s="85">
        <f t="shared" si="96"/>
        <v>0</v>
      </c>
      <c r="X80" s="72">
        <f t="shared" si="97"/>
        <v>0</v>
      </c>
      <c r="Y80" s="72"/>
      <c r="Z80" s="72">
        <f>(INDEX(($AM$4:$CK$9,$AM$13:$CK$18,$AM$22:$CK$27,$AM$31:$CK$36),MATCH($L$82,$AL$4:$AL$9,0),MATCH(A91,$AM$3:$CK$3,0),MATCH($G$77,$X$26:$X$29,0)))*C91</f>
        <v>0</v>
      </c>
      <c r="AA80" s="72">
        <f>(INDEX(($AM$4:$CK$9,$AM$13:$CK$18,$AM$22:$CK$27,$AM$31:$CK$36),MATCH($L$77,$AL$4:$AL$9,0),MATCH(A91,$AM$3:$CK$3,0),MATCH($G$77,$X$26:$X$29,0)))*C91</f>
        <v>0</v>
      </c>
      <c r="AB80" s="72">
        <f>(INDEX(($AM$4:$CK$9,$AM$13:$CK$18,$AM$22:$CK$27,$AM$31:$CK$36),MATCH($L$78,$AL$4:$AL$9,0),MATCH(A91,$AM$3:$CK$3,0),MATCH($G$77,$X$26:$X$29,0)))*C91</f>
        <v>0</v>
      </c>
      <c r="AC80" s="72">
        <f>(INDEX(($AM$4:$CK$9,$AM$13:$CK$18,$AM$22:$CK$27,$AM$31:$CK$36),MATCH($L$79,$AL$4:$AL$9,0),MATCH(A91,$AM$3:$CK$3,0),MATCH($G$77,$X$26:$X$29,0)))*C91</f>
        <v>0</v>
      </c>
      <c r="AD80" s="72">
        <f>(INDEX(($AM$4:$CK$9,$AM$13:$CK$18,$AM$22:$CK$27,$AM$31:$CK$36),MATCH($L$80,$AL$4:$AL$9,0),MATCH(A91,$AM$3:$CK$3,0),MATCH($G$77,$X$26:$X$29,0)))*C91</f>
        <v>0</v>
      </c>
      <c r="AE80" s="72">
        <f>(INDEX(($AM$4:$CK$9,$AM$13:$CK$18,$AM$22:$CK$27,$AM$31:$CK$36),MATCH($L$81,$AL$4:$AL$9,0),MATCH(A91,$AM$3:$CK$3,0),MATCH($G$77,$X$26:$X$29,0)))*C91</f>
        <v>0</v>
      </c>
      <c r="AF80" s="72"/>
      <c r="AG80" s="72"/>
      <c r="AH80" s="72"/>
      <c r="AI80" s="72"/>
      <c r="AJ80" s="72"/>
      <c r="AK80" s="72"/>
      <c r="AL80" s="72" t="s">
        <v>14</v>
      </c>
      <c r="AM80" s="72">
        <v>0</v>
      </c>
      <c r="AN80" s="72">
        <v>0</v>
      </c>
      <c r="AO80" s="72">
        <v>0</v>
      </c>
      <c r="AP80" s="72">
        <v>4</v>
      </c>
      <c r="AQ80" s="72">
        <v>4</v>
      </c>
      <c r="AR80" s="72">
        <v>4</v>
      </c>
      <c r="AS80" s="72">
        <v>8</v>
      </c>
      <c r="AT80" s="72">
        <v>8</v>
      </c>
      <c r="AU80" s="72">
        <v>8</v>
      </c>
      <c r="AV80" s="72">
        <v>0</v>
      </c>
      <c r="AW80" s="72">
        <v>0</v>
      </c>
      <c r="AX80" s="72">
        <v>2</v>
      </c>
      <c r="AY80" s="72">
        <v>2</v>
      </c>
      <c r="AZ80" s="72">
        <v>4</v>
      </c>
      <c r="BA80" s="72">
        <v>6</v>
      </c>
      <c r="BB80" s="72">
        <v>6</v>
      </c>
      <c r="BC80" s="72">
        <v>8</v>
      </c>
      <c r="BD80" s="72">
        <v>10</v>
      </c>
      <c r="BE80" s="72">
        <v>10</v>
      </c>
      <c r="BF80" s="72">
        <v>0</v>
      </c>
      <c r="BG80" s="72">
        <v>14</v>
      </c>
      <c r="BH80" s="72">
        <v>14</v>
      </c>
      <c r="BI80" s="72">
        <v>2</v>
      </c>
      <c r="BJ80" s="72">
        <v>18</v>
      </c>
      <c r="BK80" s="72">
        <v>20</v>
      </c>
      <c r="BL80" s="72">
        <v>8</v>
      </c>
      <c r="BM80" s="72">
        <v>8</v>
      </c>
      <c r="BN80" s="72">
        <v>2</v>
      </c>
      <c r="BO80" s="72">
        <v>12</v>
      </c>
      <c r="BP80" s="72">
        <v>28</v>
      </c>
      <c r="BQ80" s="72">
        <v>0</v>
      </c>
      <c r="BR80" s="72">
        <v>16</v>
      </c>
      <c r="BS80" s="72">
        <v>8</v>
      </c>
      <c r="BT80" s="72">
        <v>4</v>
      </c>
      <c r="BU80" s="72">
        <v>20</v>
      </c>
      <c r="BV80" s="72">
        <v>0</v>
      </c>
      <c r="BW80" s="72">
        <v>8</v>
      </c>
      <c r="BX80" s="72">
        <v>2</v>
      </c>
      <c r="BY80" s="72">
        <v>0</v>
      </c>
      <c r="BZ80" s="72">
        <v>12</v>
      </c>
      <c r="CA80" s="72">
        <v>14</v>
      </c>
      <c r="CB80" s="72">
        <v>2</v>
      </c>
      <c r="CC80" s="72">
        <v>2</v>
      </c>
      <c r="CD80" s="72">
        <v>0</v>
      </c>
      <c r="CE80" s="72">
        <v>6</v>
      </c>
      <c r="CF80" s="72">
        <v>22</v>
      </c>
      <c r="CG80" s="72">
        <v>22</v>
      </c>
      <c r="CH80" s="72">
        <v>10</v>
      </c>
      <c r="CI80" s="72">
        <v>26</v>
      </c>
      <c r="CJ80" s="72">
        <v>0</v>
      </c>
      <c r="CK80" s="72">
        <v>14</v>
      </c>
      <c r="CL80" s="72"/>
      <c r="CM80" s="72" t="s">
        <v>239</v>
      </c>
      <c r="CN80" s="72">
        <v>0</v>
      </c>
      <c r="CO80" s="72">
        <v>0</v>
      </c>
      <c r="CP80" s="72">
        <v>0</v>
      </c>
      <c r="CQ80" s="72">
        <v>0</v>
      </c>
      <c r="CR80" s="72">
        <v>4</v>
      </c>
      <c r="CS80" s="72">
        <v>4</v>
      </c>
      <c r="CT80" s="72">
        <v>4</v>
      </c>
      <c r="CU80" s="72">
        <v>8</v>
      </c>
      <c r="CV80" s="72">
        <v>8</v>
      </c>
      <c r="CW80" s="72">
        <v>8</v>
      </c>
      <c r="CX80" s="72">
        <v>12</v>
      </c>
      <c r="CY80" s="72">
        <v>12</v>
      </c>
      <c r="CZ80" s="72">
        <v>12</v>
      </c>
      <c r="DA80" s="72">
        <v>16</v>
      </c>
      <c r="DB80" s="72">
        <v>16</v>
      </c>
      <c r="DC80" s="72">
        <v>16</v>
      </c>
      <c r="DD80" s="72">
        <v>16</v>
      </c>
      <c r="DE80" s="72">
        <v>20</v>
      </c>
      <c r="DF80" s="72">
        <v>20</v>
      </c>
      <c r="DG80" s="72">
        <v>20</v>
      </c>
      <c r="DH80" s="72">
        <v>24</v>
      </c>
      <c r="DI80" s="72"/>
      <c r="DJ80" s="72"/>
      <c r="DK80" s="72"/>
      <c r="DL80" s="72"/>
      <c r="DM80" s="72" t="s">
        <v>10</v>
      </c>
      <c r="DN80" s="72">
        <v>0</v>
      </c>
      <c r="DO80" s="72">
        <v>0</v>
      </c>
      <c r="DP80" s="72">
        <v>0</v>
      </c>
      <c r="DQ80" s="72">
        <v>0</v>
      </c>
      <c r="DR80" s="72">
        <v>2</v>
      </c>
      <c r="DS80" s="72">
        <v>2</v>
      </c>
      <c r="DT80" s="72">
        <v>2</v>
      </c>
      <c r="DU80" s="72">
        <v>4</v>
      </c>
      <c r="DV80" s="72">
        <v>4</v>
      </c>
      <c r="DW80" s="72">
        <v>4</v>
      </c>
      <c r="DX80" s="72">
        <v>6</v>
      </c>
      <c r="DY80" s="72">
        <v>6</v>
      </c>
      <c r="DZ80" s="81">
        <v>6</v>
      </c>
      <c r="EA80" s="81">
        <v>8</v>
      </c>
      <c r="EB80" s="81">
        <v>8</v>
      </c>
      <c r="EC80" s="72">
        <v>8</v>
      </c>
      <c r="ED80" s="72">
        <v>10</v>
      </c>
      <c r="EE80" s="72">
        <v>10</v>
      </c>
      <c r="EF80" s="72">
        <v>10</v>
      </c>
      <c r="EG80" s="72">
        <v>12</v>
      </c>
      <c r="EH80" s="72">
        <v>12</v>
      </c>
      <c r="EI80" s="72"/>
      <c r="EJ80" s="72"/>
      <c r="EK80" s="72"/>
      <c r="EL80" s="72"/>
      <c r="EM80" s="72"/>
      <c r="EN80" s="72"/>
      <c r="EO80" s="72"/>
      <c r="EP80" s="72"/>
      <c r="EQ80" s="72"/>
      <c r="ER80" s="72"/>
      <c r="ES80" s="72"/>
      <c r="ET80" s="72"/>
      <c r="EU80" s="72"/>
      <c r="EV80" s="72" t="s">
        <v>98</v>
      </c>
      <c r="EW80" s="72">
        <v>0</v>
      </c>
      <c r="EX80" s="72">
        <v>0</v>
      </c>
      <c r="EY80" s="72">
        <v>0</v>
      </c>
      <c r="EZ80" s="72">
        <v>2</v>
      </c>
      <c r="FA80" s="72">
        <v>0</v>
      </c>
      <c r="FB80" s="72">
        <v>0</v>
      </c>
      <c r="FC80" s="72">
        <v>0</v>
      </c>
      <c r="FD80" s="72">
        <v>0</v>
      </c>
      <c r="FE80" s="72">
        <v>0</v>
      </c>
      <c r="FF80" s="72">
        <v>0</v>
      </c>
      <c r="FG80" s="72">
        <v>0</v>
      </c>
      <c r="FH80" s="72"/>
      <c r="FI80" s="72" t="s">
        <v>8</v>
      </c>
      <c r="FJ80" s="72">
        <v>0</v>
      </c>
      <c r="FK80" s="72">
        <v>0</v>
      </c>
      <c r="FL80" s="72">
        <v>0</v>
      </c>
      <c r="FM80" s="72">
        <v>0</v>
      </c>
      <c r="FN80" s="72">
        <v>0</v>
      </c>
      <c r="FO80" s="72">
        <v>0</v>
      </c>
      <c r="FP80" s="72">
        <v>0</v>
      </c>
      <c r="FQ80" s="72">
        <v>0</v>
      </c>
      <c r="FR80" s="72">
        <v>0</v>
      </c>
      <c r="FS80" s="72">
        <v>0</v>
      </c>
      <c r="FT80" s="72">
        <v>0</v>
      </c>
      <c r="FU80" s="72"/>
      <c r="FV80" s="72"/>
      <c r="FW80" s="72"/>
      <c r="FX80" s="72"/>
      <c r="FY80" s="72"/>
      <c r="FZ80" s="72"/>
      <c r="GB80" s="64">
        <v>0</v>
      </c>
      <c r="GC80" s="64">
        <v>1</v>
      </c>
      <c r="GD80" s="64">
        <v>2</v>
      </c>
      <c r="GE80" s="64">
        <v>3</v>
      </c>
      <c r="GF80" s="64">
        <v>4</v>
      </c>
      <c r="GG80" s="64">
        <v>5</v>
      </c>
      <c r="GH80" s="64">
        <v>6</v>
      </c>
      <c r="GI80" s="64">
        <v>7</v>
      </c>
      <c r="GJ80" s="64">
        <v>8</v>
      </c>
      <c r="GK80" s="64">
        <v>9</v>
      </c>
      <c r="GL80" s="64">
        <v>10</v>
      </c>
      <c r="GM80" s="64">
        <v>11</v>
      </c>
      <c r="GN80" s="64">
        <v>12</v>
      </c>
      <c r="GO80" s="64">
        <v>13</v>
      </c>
      <c r="GP80" s="64">
        <v>14</v>
      </c>
      <c r="GQ80" s="64">
        <v>15</v>
      </c>
      <c r="GR80" s="64">
        <v>16</v>
      </c>
      <c r="GS80" s="64">
        <v>17</v>
      </c>
      <c r="GT80" s="64">
        <v>18</v>
      </c>
      <c r="GU80" s="64">
        <v>19</v>
      </c>
      <c r="GV80" s="64">
        <v>20</v>
      </c>
      <c r="GX80" s="64" t="s">
        <v>204</v>
      </c>
    </row>
    <row r="81" spans="1:274" x14ac:dyDescent="0.25">
      <c r="A81" s="8"/>
      <c r="B81" s="5" t="s">
        <v>61</v>
      </c>
      <c r="C81" s="8"/>
      <c r="D81" s="6" t="s">
        <v>476</v>
      </c>
      <c r="E81" s="8">
        <v>25</v>
      </c>
      <c r="F81" s="5"/>
      <c r="G81" s="5"/>
      <c r="H81" s="5"/>
      <c r="I81" s="5"/>
      <c r="J81" s="5" t="s">
        <v>180</v>
      </c>
      <c r="K81" s="9"/>
      <c r="L81" s="6" t="s">
        <v>18</v>
      </c>
      <c r="M81" s="11">
        <f>INDEX(cenník!$C$2:$I$568,MATCH($L81,cenník!$B$2:$B$557,0),MATCH(M$2,cenník!$C$1:$I$1,0))</f>
        <v>894633</v>
      </c>
      <c r="N81" s="11" t="str">
        <f>INDEX(cenník!$C$2:$I$568,MATCH($L81,cenník!$B$2:$B$557,0),MATCH(N$2,cenník!$C$1:$I$1,0))</f>
        <v>ks</v>
      </c>
      <c r="O81" s="11">
        <f>SUM(AE65:AE80)</f>
        <v>0</v>
      </c>
      <c r="P81" s="36">
        <f>INDEX(cenník!$C$2:$I$568,MATCH($L81,cenník!$B$2:$B$557,0),MATCH(P$2,cenník!$C$1:$I$1,0))</f>
        <v>32.159999999999997</v>
      </c>
      <c r="Q81" s="36">
        <f t="shared" si="125"/>
        <v>0</v>
      </c>
      <c r="R81" s="37">
        <f t="shared" si="123"/>
        <v>0</v>
      </c>
      <c r="S81" s="36">
        <f t="shared" si="124"/>
        <v>32.159999999999997</v>
      </c>
      <c r="T81" s="36">
        <f t="shared" si="126"/>
        <v>0</v>
      </c>
      <c r="U81" s="36">
        <f>INDEX(cenník!$C$2:$I$568,MATCH($L81,cenník!$B$2:$B$557,0),MATCH(U$2,cenník!$C$1:$I$1,0))*O81</f>
        <v>0</v>
      </c>
      <c r="V81" s="72"/>
      <c r="W81" s="72"/>
      <c r="X81" s="72"/>
      <c r="Y81" s="72"/>
      <c r="Z81" s="72"/>
      <c r="AA81" s="72"/>
      <c r="AB81" s="72"/>
      <c r="AC81" s="72"/>
      <c r="AD81" s="72"/>
      <c r="AE81" s="72"/>
      <c r="AF81" s="72"/>
      <c r="AG81" s="72"/>
      <c r="AH81" s="72"/>
      <c r="AI81" s="72"/>
      <c r="AJ81" s="72"/>
      <c r="AK81" s="72"/>
      <c r="AL81" s="72" t="s">
        <v>18</v>
      </c>
      <c r="AM81" s="72">
        <v>0</v>
      </c>
      <c r="AN81" s="72">
        <v>0</v>
      </c>
      <c r="AO81" s="72">
        <v>0</v>
      </c>
      <c r="AP81" s="72">
        <v>0</v>
      </c>
      <c r="AQ81" s="72">
        <v>0</v>
      </c>
      <c r="AR81" s="72">
        <v>0</v>
      </c>
      <c r="AS81" s="72">
        <v>0</v>
      </c>
      <c r="AT81" s="72">
        <v>0</v>
      </c>
      <c r="AU81" s="72">
        <v>0</v>
      </c>
      <c r="AV81" s="72">
        <v>10</v>
      </c>
      <c r="AW81" s="72">
        <v>10</v>
      </c>
      <c r="AX81" s="72">
        <v>12</v>
      </c>
      <c r="AY81" s="72">
        <v>12</v>
      </c>
      <c r="AZ81" s="72">
        <v>10</v>
      </c>
      <c r="BA81" s="72">
        <v>12</v>
      </c>
      <c r="BB81" s="72">
        <v>12</v>
      </c>
      <c r="BC81" s="72">
        <v>10</v>
      </c>
      <c r="BD81" s="72">
        <v>12</v>
      </c>
      <c r="BE81" s="72">
        <v>12</v>
      </c>
      <c r="BF81" s="72">
        <v>24</v>
      </c>
      <c r="BG81" s="72">
        <v>12</v>
      </c>
      <c r="BH81" s="72">
        <v>12</v>
      </c>
      <c r="BI81" s="72">
        <v>26</v>
      </c>
      <c r="BJ81" s="72">
        <v>12</v>
      </c>
      <c r="BK81" s="72">
        <v>10</v>
      </c>
      <c r="BL81" s="72">
        <v>24</v>
      </c>
      <c r="BM81" s="72">
        <v>24</v>
      </c>
      <c r="BN81" s="72">
        <v>32</v>
      </c>
      <c r="BO81" s="72">
        <v>24</v>
      </c>
      <c r="BP81" s="72">
        <v>10</v>
      </c>
      <c r="BQ81" s="72">
        <v>38</v>
      </c>
      <c r="BR81" s="72">
        <v>24</v>
      </c>
      <c r="BS81" s="72">
        <v>30</v>
      </c>
      <c r="BT81" s="72">
        <v>38</v>
      </c>
      <c r="BU81" s="72">
        <v>24</v>
      </c>
      <c r="BV81" s="72">
        <v>44</v>
      </c>
      <c r="BW81" s="72">
        <v>38</v>
      </c>
      <c r="BX81" s="72">
        <v>42</v>
      </c>
      <c r="BY81" s="72">
        <v>48</v>
      </c>
      <c r="BZ81" s="72">
        <v>38</v>
      </c>
      <c r="CA81" s="72">
        <v>36</v>
      </c>
      <c r="CB81" s="72">
        <v>50</v>
      </c>
      <c r="CC81" s="72">
        <v>50</v>
      </c>
      <c r="CD81" s="72">
        <v>54</v>
      </c>
      <c r="CE81" s="72">
        <v>50</v>
      </c>
      <c r="CF81" s="72">
        <v>36</v>
      </c>
      <c r="CG81" s="72">
        <v>36</v>
      </c>
      <c r="CH81" s="72">
        <v>50</v>
      </c>
      <c r="CI81" s="72">
        <v>36</v>
      </c>
      <c r="CJ81" s="72">
        <v>62</v>
      </c>
      <c r="CK81" s="72">
        <v>50</v>
      </c>
      <c r="CL81" s="72"/>
      <c r="CM81" s="72"/>
      <c r="CN81" s="72"/>
      <c r="CO81" s="72"/>
      <c r="CP81" s="72"/>
      <c r="CQ81" s="72"/>
      <c r="CR81" s="72"/>
      <c r="CS81" s="72"/>
      <c r="CT81" s="72"/>
      <c r="CU81" s="72"/>
      <c r="CV81" s="72"/>
      <c r="CW81" s="72"/>
      <c r="CX81" s="72"/>
      <c r="CY81" s="72"/>
      <c r="CZ81" s="72"/>
      <c r="DA81" s="72"/>
      <c r="DB81" s="72"/>
      <c r="DC81" s="72"/>
      <c r="DD81" s="72"/>
      <c r="DE81" s="72"/>
      <c r="DF81" s="72"/>
      <c r="DG81" s="72"/>
      <c r="DH81" s="72"/>
      <c r="DI81" s="72"/>
      <c r="DJ81" s="72"/>
      <c r="DK81" s="72"/>
      <c r="DL81" s="72"/>
      <c r="DM81" s="72"/>
      <c r="DN81" s="72"/>
      <c r="DO81" s="72"/>
      <c r="DP81" s="72"/>
      <c r="DQ81" s="72"/>
      <c r="DR81" s="72"/>
      <c r="DS81" s="72"/>
      <c r="DT81" s="72"/>
      <c r="DU81" s="72"/>
      <c r="DV81" s="72"/>
      <c r="DW81" s="72"/>
      <c r="DX81" s="72"/>
      <c r="DY81" s="72"/>
      <c r="DZ81" s="81"/>
      <c r="EA81" s="81"/>
      <c r="EB81" s="81"/>
      <c r="EC81" s="72"/>
      <c r="ED81" s="72"/>
      <c r="EE81" s="72"/>
      <c r="EF81" s="72"/>
      <c r="EG81" s="72"/>
      <c r="EH81" s="72"/>
      <c r="EI81" s="72"/>
      <c r="EJ81" s="72"/>
      <c r="EK81" s="72"/>
      <c r="EL81" s="72"/>
      <c r="EM81" s="72"/>
      <c r="EN81" s="72"/>
      <c r="EO81" s="72"/>
      <c r="EP81" s="72"/>
      <c r="EQ81" s="72"/>
      <c r="ER81" s="72"/>
      <c r="ES81" s="72"/>
      <c r="ET81" s="72"/>
      <c r="EU81" s="72"/>
      <c r="EV81" s="72" t="s">
        <v>100</v>
      </c>
      <c r="EW81" s="72">
        <v>0</v>
      </c>
      <c r="EX81" s="72">
        <v>2</v>
      </c>
      <c r="EY81" s="72">
        <v>0</v>
      </c>
      <c r="EZ81" s="72">
        <v>0</v>
      </c>
      <c r="FA81" s="72">
        <v>0</v>
      </c>
      <c r="FB81" s="72">
        <v>0</v>
      </c>
      <c r="FC81" s="72">
        <v>0</v>
      </c>
      <c r="FD81" s="72">
        <v>0</v>
      </c>
      <c r="FE81" s="72">
        <v>0</v>
      </c>
      <c r="FF81" s="72">
        <v>0</v>
      </c>
      <c r="FG81" s="72">
        <v>0</v>
      </c>
      <c r="FH81" s="72"/>
      <c r="FI81" s="72" t="s">
        <v>98</v>
      </c>
      <c r="FJ81" s="72">
        <v>0</v>
      </c>
      <c r="FK81" s="72">
        <v>0</v>
      </c>
      <c r="FL81" s="72">
        <v>0</v>
      </c>
      <c r="FM81" s="72">
        <v>0</v>
      </c>
      <c r="FN81" s="72">
        <v>0</v>
      </c>
      <c r="FO81" s="72">
        <v>0</v>
      </c>
      <c r="FP81" s="72">
        <v>0</v>
      </c>
      <c r="FQ81" s="72">
        <v>0</v>
      </c>
      <c r="FR81" s="72">
        <v>0</v>
      </c>
      <c r="FS81" s="72">
        <v>0</v>
      </c>
      <c r="FT81" s="72">
        <v>0</v>
      </c>
      <c r="FU81" s="72"/>
      <c r="FV81" s="72"/>
      <c r="FW81" s="72"/>
      <c r="FX81" s="72"/>
      <c r="FY81" s="72"/>
      <c r="FZ81" s="72"/>
      <c r="GA81" s="125" t="s">
        <v>411</v>
      </c>
      <c r="GB81" s="64">
        <v>0</v>
      </c>
      <c r="GC81" s="64">
        <v>1</v>
      </c>
      <c r="GD81" s="64">
        <v>1</v>
      </c>
      <c r="GE81" s="64">
        <v>2</v>
      </c>
      <c r="GF81" s="64">
        <v>3</v>
      </c>
      <c r="GG81" s="64">
        <v>3</v>
      </c>
      <c r="GH81" s="64">
        <v>4</v>
      </c>
      <c r="GI81" s="64">
        <v>5</v>
      </c>
      <c r="GJ81" s="64">
        <v>6</v>
      </c>
      <c r="GK81" s="64">
        <v>7</v>
      </c>
      <c r="GL81" s="64">
        <v>7</v>
      </c>
      <c r="GM81" s="64">
        <v>2</v>
      </c>
      <c r="GN81" s="64">
        <v>3</v>
      </c>
      <c r="GO81" s="64">
        <v>4</v>
      </c>
      <c r="GP81" s="64">
        <v>5</v>
      </c>
      <c r="GQ81" s="64">
        <v>5</v>
      </c>
      <c r="GR81" s="64">
        <v>0</v>
      </c>
      <c r="GS81" s="64">
        <v>1</v>
      </c>
      <c r="GT81" s="64">
        <v>2</v>
      </c>
      <c r="GU81" s="64">
        <v>2</v>
      </c>
      <c r="GV81" s="64">
        <v>3</v>
      </c>
      <c r="GY81" s="64">
        <v>0</v>
      </c>
      <c r="GZ81" s="64">
        <v>1</v>
      </c>
      <c r="HA81" s="64">
        <v>2</v>
      </c>
      <c r="HB81" s="64">
        <v>3</v>
      </c>
      <c r="HC81" s="64">
        <v>4</v>
      </c>
      <c r="HD81" s="64">
        <v>5</v>
      </c>
      <c r="HE81" s="64">
        <v>6</v>
      </c>
      <c r="HF81" s="64">
        <v>7</v>
      </c>
      <c r="HG81" s="64">
        <v>8</v>
      </c>
      <c r="HH81" s="64">
        <v>9</v>
      </c>
      <c r="HI81" s="64">
        <v>10</v>
      </c>
      <c r="HJ81" s="64">
        <v>11</v>
      </c>
      <c r="HK81" s="64">
        <v>12</v>
      </c>
      <c r="HL81" s="64">
        <v>13</v>
      </c>
      <c r="HM81" s="64">
        <v>14</v>
      </c>
      <c r="HN81" s="64">
        <v>15</v>
      </c>
      <c r="HO81" s="64">
        <v>16</v>
      </c>
      <c r="HP81" s="64">
        <v>17</v>
      </c>
      <c r="HQ81" s="64">
        <v>18</v>
      </c>
      <c r="HR81" s="64">
        <v>19</v>
      </c>
      <c r="HS81" s="64">
        <v>20</v>
      </c>
      <c r="HV81" s="83" t="s">
        <v>231</v>
      </c>
      <c r="IS81" s="64" t="s">
        <v>231</v>
      </c>
    </row>
    <row r="82" spans="1:274" x14ac:dyDescent="0.25">
      <c r="A82" s="8"/>
      <c r="B82" s="5" t="s">
        <v>61</v>
      </c>
      <c r="C82" s="8"/>
      <c r="D82" s="6" t="s">
        <v>458</v>
      </c>
      <c r="E82" s="8">
        <v>0</v>
      </c>
      <c r="F82" s="5"/>
      <c r="G82" s="5"/>
      <c r="H82" s="5"/>
      <c r="I82" s="5"/>
      <c r="J82" s="5" t="s">
        <v>95</v>
      </c>
      <c r="K82" s="9"/>
      <c r="L82" s="6" t="s">
        <v>179</v>
      </c>
      <c r="M82" s="11">
        <f>INDEX(cenník!$C$2:$I$568,MATCH($L82,cenník!$B$2:$B$557,0),MATCH(M$2,cenník!$C$1:$I$1,0))</f>
        <v>890512</v>
      </c>
      <c r="N82" s="11" t="str">
        <f>INDEX(cenník!$C$2:$I$568,MATCH($L82,cenník!$B$2:$B$557,0),MATCH(N$2,cenník!$C$1:$I$1,0))</f>
        <v>ks</v>
      </c>
      <c r="O82" s="11">
        <f>SUM(Z65:Z80)</f>
        <v>0</v>
      </c>
      <c r="P82" s="36">
        <f>INDEX(cenník!$C$2:$I$568,MATCH($L82,cenník!$B$2:$B$557,0),MATCH(P$2,cenník!$C$1:$I$1,0))</f>
        <v>1.48</v>
      </c>
      <c r="Q82" s="36">
        <f t="shared" si="125"/>
        <v>0</v>
      </c>
      <c r="R82" s="37">
        <f t="shared" si="123"/>
        <v>0</v>
      </c>
      <c r="S82" s="36">
        <f t="shared" si="124"/>
        <v>1.48</v>
      </c>
      <c r="T82" s="36">
        <f t="shared" si="126"/>
        <v>0</v>
      </c>
      <c r="U82" s="36">
        <f>INDEX(cenník!$C$2:$I$568,MATCH($L82,cenník!$B$2:$B$557,0),MATCH(U$2,cenník!$C$1:$I$1,0))*O82</f>
        <v>0</v>
      </c>
      <c r="V82" s="72"/>
      <c r="W82" s="72"/>
      <c r="X82" s="72"/>
      <c r="Y82" s="72"/>
      <c r="Z82" s="72"/>
      <c r="AA82" s="72"/>
      <c r="AB82" s="72"/>
      <c r="AC82" s="72"/>
      <c r="AD82" s="72"/>
      <c r="AE82" s="72"/>
      <c r="AF82" s="72"/>
      <c r="AG82" s="72"/>
      <c r="AH82" s="72"/>
      <c r="AI82" s="72"/>
      <c r="AJ82" s="72"/>
      <c r="AK82" s="72"/>
      <c r="AL82" s="72" t="s">
        <v>179</v>
      </c>
      <c r="AM82" s="72">
        <v>0</v>
      </c>
      <c r="AN82" s="72">
        <f>((((SUM(AN77:AN81))/2)-1))*4</f>
        <v>0</v>
      </c>
      <c r="AO82" s="72">
        <f t="shared" ref="AO82:CK82" si="127">((((SUM(AO77:AO81))/2)-1))*4</f>
        <v>4</v>
      </c>
      <c r="AP82" s="72">
        <f t="shared" si="127"/>
        <v>4</v>
      </c>
      <c r="AQ82" s="72">
        <f t="shared" si="127"/>
        <v>8</v>
      </c>
      <c r="AR82" s="72">
        <f t="shared" si="127"/>
        <v>12</v>
      </c>
      <c r="AS82" s="72">
        <f t="shared" si="127"/>
        <v>12</v>
      </c>
      <c r="AT82" s="72">
        <f t="shared" si="127"/>
        <v>16</v>
      </c>
      <c r="AU82" s="72">
        <f t="shared" si="127"/>
        <v>20</v>
      </c>
      <c r="AV82" s="72">
        <f t="shared" si="127"/>
        <v>20</v>
      </c>
      <c r="AW82" s="72">
        <f t="shared" si="127"/>
        <v>24</v>
      </c>
      <c r="AX82" s="72">
        <f t="shared" si="127"/>
        <v>24</v>
      </c>
      <c r="AY82" s="72">
        <f t="shared" si="127"/>
        <v>28</v>
      </c>
      <c r="AZ82" s="72">
        <f t="shared" si="127"/>
        <v>32</v>
      </c>
      <c r="BA82" s="72">
        <f t="shared" si="127"/>
        <v>32</v>
      </c>
      <c r="BB82" s="72">
        <f t="shared" si="127"/>
        <v>36</v>
      </c>
      <c r="BC82" s="72">
        <f t="shared" si="127"/>
        <v>40</v>
      </c>
      <c r="BD82" s="72">
        <f t="shared" si="127"/>
        <v>40</v>
      </c>
      <c r="BE82" s="72">
        <f t="shared" si="127"/>
        <v>44</v>
      </c>
      <c r="BF82" s="72">
        <f t="shared" si="127"/>
        <v>44</v>
      </c>
      <c r="BG82" s="72">
        <f t="shared" si="127"/>
        <v>48</v>
      </c>
      <c r="BH82" s="72">
        <f t="shared" si="127"/>
        <v>52</v>
      </c>
      <c r="BI82" s="72">
        <f t="shared" si="127"/>
        <v>52</v>
      </c>
      <c r="BJ82" s="72">
        <f t="shared" si="127"/>
        <v>56</v>
      </c>
      <c r="BK82" s="72">
        <f t="shared" si="127"/>
        <v>60</v>
      </c>
      <c r="BL82" s="72">
        <f t="shared" si="127"/>
        <v>60</v>
      </c>
      <c r="BM82" s="72">
        <f t="shared" si="127"/>
        <v>64</v>
      </c>
      <c r="BN82" s="72">
        <f t="shared" si="127"/>
        <v>64</v>
      </c>
      <c r="BO82" s="72">
        <f t="shared" si="127"/>
        <v>68</v>
      </c>
      <c r="BP82" s="72">
        <f t="shared" si="127"/>
        <v>72</v>
      </c>
      <c r="BQ82" s="72">
        <f t="shared" si="127"/>
        <v>72</v>
      </c>
      <c r="BR82" s="72">
        <f t="shared" si="127"/>
        <v>76</v>
      </c>
      <c r="BS82" s="72">
        <f t="shared" si="127"/>
        <v>80</v>
      </c>
      <c r="BT82" s="72">
        <f t="shared" si="127"/>
        <v>80</v>
      </c>
      <c r="BU82" s="72">
        <f t="shared" si="127"/>
        <v>84</v>
      </c>
      <c r="BV82" s="72">
        <f t="shared" si="127"/>
        <v>84</v>
      </c>
      <c r="BW82" s="72">
        <f t="shared" si="127"/>
        <v>88</v>
      </c>
      <c r="BX82" s="72">
        <f t="shared" si="127"/>
        <v>92</v>
      </c>
      <c r="BY82" s="72">
        <f t="shared" si="127"/>
        <v>92</v>
      </c>
      <c r="BZ82" s="72">
        <f t="shared" si="127"/>
        <v>96</v>
      </c>
      <c r="CA82" s="72">
        <f t="shared" si="127"/>
        <v>100</v>
      </c>
      <c r="CB82" s="72">
        <f t="shared" si="127"/>
        <v>100</v>
      </c>
      <c r="CC82" s="72">
        <f t="shared" si="127"/>
        <v>104</v>
      </c>
      <c r="CD82" s="72">
        <f t="shared" si="127"/>
        <v>104</v>
      </c>
      <c r="CE82" s="72">
        <f t="shared" si="127"/>
        <v>108</v>
      </c>
      <c r="CF82" s="72">
        <f t="shared" si="127"/>
        <v>112</v>
      </c>
      <c r="CG82" s="72">
        <f t="shared" si="127"/>
        <v>112</v>
      </c>
      <c r="CH82" s="72">
        <f t="shared" si="127"/>
        <v>116</v>
      </c>
      <c r="CI82" s="72">
        <f t="shared" si="127"/>
        <v>120</v>
      </c>
      <c r="CJ82" s="72">
        <f t="shared" si="127"/>
        <v>120</v>
      </c>
      <c r="CK82" s="72">
        <f t="shared" si="127"/>
        <v>124</v>
      </c>
      <c r="CL82" s="72"/>
      <c r="CM82" s="72" t="s">
        <v>60</v>
      </c>
      <c r="CN82" s="72">
        <v>0</v>
      </c>
      <c r="CO82" s="72">
        <v>1</v>
      </c>
      <c r="CP82" s="72">
        <v>2</v>
      </c>
      <c r="CQ82" s="72">
        <v>3</v>
      </c>
      <c r="CR82" s="72">
        <v>4</v>
      </c>
      <c r="CS82" s="72">
        <v>5</v>
      </c>
      <c r="CT82" s="72">
        <v>6</v>
      </c>
      <c r="CU82" s="72">
        <v>7</v>
      </c>
      <c r="CV82" s="72">
        <v>8</v>
      </c>
      <c r="CW82" s="72">
        <v>9</v>
      </c>
      <c r="CX82" s="72">
        <v>10</v>
      </c>
      <c r="CY82" s="72">
        <v>11</v>
      </c>
      <c r="CZ82" s="72">
        <v>12</v>
      </c>
      <c r="DA82" s="72">
        <v>13</v>
      </c>
      <c r="DB82" s="72">
        <v>14</v>
      </c>
      <c r="DC82" s="72">
        <v>15</v>
      </c>
      <c r="DD82" s="72">
        <v>16</v>
      </c>
      <c r="DE82" s="72">
        <v>17</v>
      </c>
      <c r="DF82" s="72">
        <v>18</v>
      </c>
      <c r="DG82" s="72">
        <v>19</v>
      </c>
      <c r="DH82" s="72">
        <v>20</v>
      </c>
      <c r="DI82" s="72"/>
      <c r="DJ82" s="72"/>
      <c r="DK82" s="72"/>
      <c r="DL82" s="72"/>
      <c r="DM82" s="72" t="s">
        <v>205</v>
      </c>
      <c r="DN82" s="72"/>
      <c r="DO82" s="72"/>
      <c r="DP82" s="72"/>
      <c r="DQ82" s="72"/>
      <c r="DR82" s="72"/>
      <c r="DS82" s="72"/>
      <c r="DT82" s="72"/>
      <c r="DU82" s="72"/>
      <c r="DV82" s="72"/>
      <c r="DW82" s="72"/>
      <c r="DX82" s="72"/>
      <c r="DY82" s="72"/>
      <c r="DZ82" s="81"/>
      <c r="EA82" s="81"/>
      <c r="EB82" s="81"/>
      <c r="EC82" s="72"/>
      <c r="ED82" s="72"/>
      <c r="EE82" s="72"/>
      <c r="EF82" s="72"/>
      <c r="EG82" s="72"/>
      <c r="EH82" s="72"/>
      <c r="EI82" s="72"/>
      <c r="EJ82" s="72"/>
      <c r="EK82" s="72"/>
      <c r="EL82" s="72"/>
      <c r="EM82" s="72"/>
      <c r="EN82" s="72"/>
      <c r="EO82" s="72"/>
      <c r="EP82" s="72"/>
      <c r="EQ82" s="72"/>
      <c r="ER82" s="72"/>
      <c r="ES82" s="72"/>
      <c r="ET82" s="72"/>
      <c r="EU82" s="72"/>
      <c r="EV82" s="72" t="s">
        <v>114</v>
      </c>
      <c r="EW82" s="72">
        <v>0</v>
      </c>
      <c r="EX82" s="72">
        <v>0</v>
      </c>
      <c r="EY82" s="72">
        <v>0</v>
      </c>
      <c r="EZ82" s="72">
        <v>0</v>
      </c>
      <c r="FA82" s="72">
        <v>0</v>
      </c>
      <c r="FB82" s="72">
        <v>0</v>
      </c>
      <c r="FC82" s="72">
        <v>0</v>
      </c>
      <c r="FD82" s="72">
        <v>0</v>
      </c>
      <c r="FE82" s="72">
        <v>0</v>
      </c>
      <c r="FF82" s="72">
        <v>0</v>
      </c>
      <c r="FG82" s="72">
        <v>0</v>
      </c>
      <c r="FH82" s="72"/>
      <c r="FI82" s="72" t="s">
        <v>100</v>
      </c>
      <c r="FJ82" s="72">
        <v>0</v>
      </c>
      <c r="FK82" s="72">
        <v>0</v>
      </c>
      <c r="FL82" s="72">
        <v>0</v>
      </c>
      <c r="FM82" s="72">
        <v>0</v>
      </c>
      <c r="FN82" s="72">
        <v>0</v>
      </c>
      <c r="FO82" s="72">
        <v>0</v>
      </c>
      <c r="FP82" s="72">
        <v>0</v>
      </c>
      <c r="FQ82" s="72">
        <v>0</v>
      </c>
      <c r="FR82" s="72">
        <v>0</v>
      </c>
      <c r="FS82" s="72">
        <v>0</v>
      </c>
      <c r="FT82" s="72">
        <v>0</v>
      </c>
      <c r="FU82" s="72"/>
      <c r="FV82" s="72"/>
      <c r="FW82" s="72"/>
      <c r="FX82" s="72"/>
      <c r="FY82" s="72"/>
      <c r="FZ82" s="72"/>
      <c r="GA82" s="125" t="s">
        <v>412</v>
      </c>
      <c r="GB82" s="64">
        <v>0</v>
      </c>
      <c r="GC82" s="64">
        <v>0</v>
      </c>
      <c r="GD82" s="64">
        <v>1</v>
      </c>
      <c r="GE82" s="64">
        <v>1</v>
      </c>
      <c r="GF82" s="64">
        <v>1</v>
      </c>
      <c r="GG82" s="64">
        <v>2</v>
      </c>
      <c r="GH82" s="64">
        <v>2</v>
      </c>
      <c r="GI82" s="64">
        <v>2</v>
      </c>
      <c r="GJ82" s="64">
        <v>2</v>
      </c>
      <c r="GK82" s="64">
        <v>2</v>
      </c>
      <c r="GL82" s="64">
        <v>3</v>
      </c>
      <c r="GM82" s="64">
        <v>8</v>
      </c>
      <c r="GN82" s="64">
        <v>8</v>
      </c>
      <c r="GO82" s="64">
        <v>8</v>
      </c>
      <c r="GP82" s="64">
        <v>8</v>
      </c>
      <c r="GQ82" s="64">
        <v>9</v>
      </c>
      <c r="GR82" s="64">
        <v>14</v>
      </c>
      <c r="GS82" s="64">
        <v>14</v>
      </c>
      <c r="GT82" s="64">
        <v>14</v>
      </c>
      <c r="GU82" s="64">
        <v>15</v>
      </c>
      <c r="GV82" s="64">
        <v>15</v>
      </c>
      <c r="GX82" s="125" t="s">
        <v>411</v>
      </c>
      <c r="GY82" s="64">
        <v>0</v>
      </c>
      <c r="GZ82" s="72">
        <v>0</v>
      </c>
      <c r="HA82" s="64">
        <v>3</v>
      </c>
      <c r="HB82" s="64">
        <v>3</v>
      </c>
      <c r="HC82" s="64">
        <v>2</v>
      </c>
      <c r="HD82" s="64">
        <v>1</v>
      </c>
      <c r="HE82" s="64">
        <v>0</v>
      </c>
      <c r="HF82" s="64">
        <v>5</v>
      </c>
      <c r="HG82" s="64">
        <v>4</v>
      </c>
      <c r="HH82" s="64">
        <v>3</v>
      </c>
      <c r="HI82" s="64">
        <v>2</v>
      </c>
      <c r="HJ82" s="64">
        <v>1</v>
      </c>
      <c r="HK82" s="64">
        <v>0</v>
      </c>
      <c r="HL82" s="64">
        <v>5</v>
      </c>
      <c r="HM82" s="64">
        <v>4</v>
      </c>
      <c r="HN82" s="64">
        <v>4</v>
      </c>
      <c r="HO82" s="64">
        <v>2</v>
      </c>
      <c r="HP82" s="64">
        <v>1</v>
      </c>
      <c r="HQ82" s="64">
        <v>0</v>
      </c>
      <c r="HR82" s="64">
        <v>0</v>
      </c>
      <c r="HS82" s="64">
        <v>4</v>
      </c>
      <c r="HW82" s="64">
        <v>0</v>
      </c>
      <c r="HX82" s="64">
        <v>1</v>
      </c>
      <c r="HY82" s="64">
        <v>2</v>
      </c>
      <c r="HZ82" s="64">
        <v>3</v>
      </c>
      <c r="IA82" s="64">
        <v>4</v>
      </c>
      <c r="IB82" s="64">
        <v>5</v>
      </c>
      <c r="IC82" s="64">
        <v>6</v>
      </c>
      <c r="ID82" s="64">
        <v>7</v>
      </c>
      <c r="IE82" s="64">
        <v>8</v>
      </c>
      <c r="IF82" s="64">
        <v>9</v>
      </c>
      <c r="IG82" s="64">
        <v>10</v>
      </c>
      <c r="IH82" s="64">
        <v>11</v>
      </c>
      <c r="II82" s="64">
        <v>12</v>
      </c>
      <c r="IJ82" s="64">
        <v>13</v>
      </c>
      <c r="IK82" s="64">
        <v>14</v>
      </c>
      <c r="IL82" s="64">
        <v>15</v>
      </c>
      <c r="IM82" s="64">
        <v>16</v>
      </c>
      <c r="IN82" s="64">
        <v>17</v>
      </c>
      <c r="IO82" s="64">
        <v>18</v>
      </c>
      <c r="IP82" s="64">
        <v>19</v>
      </c>
      <c r="IQ82" s="64">
        <v>20</v>
      </c>
      <c r="IT82" s="64">
        <f t="shared" si="101"/>
        <v>0</v>
      </c>
      <c r="IU82" s="64">
        <f t="shared" si="102"/>
        <v>2</v>
      </c>
      <c r="IV82" s="64">
        <f t="shared" si="103"/>
        <v>4</v>
      </c>
      <c r="IW82" s="64">
        <f t="shared" si="104"/>
        <v>6</v>
      </c>
      <c r="IX82" s="64">
        <f t="shared" si="105"/>
        <v>8</v>
      </c>
      <c r="IY82" s="64">
        <f t="shared" si="106"/>
        <v>10</v>
      </c>
      <c r="IZ82" s="64">
        <f t="shared" si="107"/>
        <v>12</v>
      </c>
      <c r="JA82" s="64">
        <f t="shared" si="108"/>
        <v>14</v>
      </c>
      <c r="JB82" s="64">
        <f t="shared" si="98"/>
        <v>16</v>
      </c>
      <c r="JC82" s="64">
        <f t="shared" si="109"/>
        <v>18</v>
      </c>
      <c r="JD82" s="64">
        <f t="shared" si="110"/>
        <v>20</v>
      </c>
      <c r="JE82" s="64">
        <f t="shared" si="111"/>
        <v>22</v>
      </c>
      <c r="JF82" s="64">
        <f t="shared" si="112"/>
        <v>24</v>
      </c>
      <c r="JG82" s="64">
        <f t="shared" si="113"/>
        <v>26</v>
      </c>
      <c r="JH82" s="64">
        <f t="shared" si="114"/>
        <v>28</v>
      </c>
      <c r="JI82" s="64">
        <f t="shared" si="115"/>
        <v>30</v>
      </c>
      <c r="JJ82" s="64">
        <f t="shared" si="116"/>
        <v>32</v>
      </c>
      <c r="JK82" s="64">
        <f t="shared" si="117"/>
        <v>34</v>
      </c>
      <c r="JL82" s="64">
        <f t="shared" si="118"/>
        <v>36</v>
      </c>
      <c r="JM82" s="64">
        <f t="shared" si="119"/>
        <v>38</v>
      </c>
      <c r="JN82" s="64">
        <f t="shared" si="120"/>
        <v>40</v>
      </c>
    </row>
    <row r="83" spans="1:274" x14ac:dyDescent="0.25">
      <c r="A83" s="8"/>
      <c r="B83" s="5" t="s">
        <v>61</v>
      </c>
      <c r="C83" s="8"/>
      <c r="D83" s="6" t="s">
        <v>460</v>
      </c>
      <c r="E83" s="8">
        <v>0</v>
      </c>
      <c r="F83" s="6"/>
      <c r="G83" s="6"/>
      <c r="H83" s="6"/>
      <c r="I83" s="6"/>
      <c r="J83" s="5" t="s">
        <v>461</v>
      </c>
      <c r="K83" s="9"/>
      <c r="L83" s="6" t="s">
        <v>110</v>
      </c>
      <c r="M83" s="11">
        <f>INDEX(cenník!$C$2:$I$568,MATCH($L83,cenník!$B$2:$B$557,0),MATCH(M$2,cenník!$C$1:$I$1,0))</f>
        <v>898170</v>
      </c>
      <c r="N83" s="11" t="str">
        <f>INDEX(cenník!$C$2:$I$568,MATCH($L83,cenník!$B$2:$B$557,0),MATCH(N$2,cenník!$C$1:$I$1,0))</f>
        <v>ks</v>
      </c>
      <c r="O83" s="11">
        <f>SUM(W65:W80)</f>
        <v>0</v>
      </c>
      <c r="P83" s="36">
        <f>INDEX(cenník!$C$2:$I$568,MATCH($L83,cenník!$B$2:$B$557,0),MATCH(P$2,cenník!$C$1:$I$1,0))</f>
        <v>19.55</v>
      </c>
      <c r="Q83" s="36">
        <f t="shared" si="125"/>
        <v>0</v>
      </c>
      <c r="R83" s="37">
        <f t="shared" si="123"/>
        <v>0</v>
      </c>
      <c r="S83" s="36">
        <f t="shared" si="124"/>
        <v>19.55</v>
      </c>
      <c r="T83" s="36">
        <f t="shared" si="126"/>
        <v>0</v>
      </c>
      <c r="U83" s="36">
        <f>INDEX(cenník!$C$2:$I$568,MATCH($L83,cenník!$B$2:$B$557,0),MATCH(U$2,cenník!$C$1:$I$1,0))*O83</f>
        <v>0</v>
      </c>
      <c r="V83" s="72"/>
      <c r="W83" s="72"/>
      <c r="X83" s="72"/>
      <c r="Y83" s="72"/>
      <c r="Z83" s="72"/>
      <c r="AA83" s="72"/>
      <c r="AB83" s="72"/>
      <c r="AC83" s="72"/>
      <c r="AD83" s="72"/>
      <c r="AE83" s="72"/>
      <c r="AF83" s="72"/>
      <c r="AG83" s="72"/>
      <c r="AH83" s="72"/>
      <c r="AI83" s="72"/>
      <c r="AJ83" s="72"/>
      <c r="AK83" s="72"/>
      <c r="AL83" s="72"/>
      <c r="AM83" s="72"/>
      <c r="AN83" s="72"/>
      <c r="AO83" s="72"/>
      <c r="AP83" s="72"/>
      <c r="AQ83" s="72"/>
      <c r="AR83" s="72"/>
      <c r="AS83" s="72"/>
      <c r="AT83" s="72"/>
      <c r="AU83" s="72"/>
      <c r="AV83" s="72"/>
      <c r="AW83" s="72"/>
      <c r="AX83" s="72"/>
      <c r="AY83" s="72"/>
      <c r="AZ83" s="72"/>
      <c r="BA83" s="72"/>
      <c r="BB83" s="72"/>
      <c r="BC83" s="72"/>
      <c r="BD83" s="72"/>
      <c r="BE83" s="72"/>
      <c r="BF83" s="72"/>
      <c r="BG83" s="72"/>
      <c r="BH83" s="72"/>
      <c r="BI83" s="72"/>
      <c r="BJ83" s="72"/>
      <c r="BK83" s="72"/>
      <c r="BL83" s="72"/>
      <c r="BM83" s="72"/>
      <c r="BN83" s="72"/>
      <c r="BO83" s="72"/>
      <c r="BP83" s="72"/>
      <c r="BQ83" s="72"/>
      <c r="BR83" s="72"/>
      <c r="BS83" s="72"/>
      <c r="BT83" s="72"/>
      <c r="BU83" s="72"/>
      <c r="BV83" s="72"/>
      <c r="BW83" s="72"/>
      <c r="BX83" s="72"/>
      <c r="BY83" s="72"/>
      <c r="BZ83" s="72"/>
      <c r="CA83" s="72"/>
      <c r="CB83" s="72"/>
      <c r="CC83" s="72"/>
      <c r="CD83" s="72"/>
      <c r="CE83" s="72"/>
      <c r="CF83" s="72"/>
      <c r="CG83" s="72"/>
      <c r="CH83" s="72"/>
      <c r="CI83" s="72"/>
      <c r="CJ83" s="72"/>
      <c r="CK83" s="72"/>
      <c r="CL83" s="72"/>
      <c r="CM83" s="72" t="s">
        <v>64</v>
      </c>
      <c r="CN83" s="72">
        <v>0</v>
      </c>
      <c r="CO83" s="72">
        <v>2</v>
      </c>
      <c r="CP83" s="72">
        <v>2</v>
      </c>
      <c r="CQ83" s="72">
        <v>0</v>
      </c>
      <c r="CR83" s="72">
        <v>4</v>
      </c>
      <c r="CS83" s="72">
        <v>2</v>
      </c>
      <c r="CT83" s="72">
        <v>0</v>
      </c>
      <c r="CU83" s="72">
        <v>4</v>
      </c>
      <c r="CV83" s="72">
        <v>2</v>
      </c>
      <c r="CW83" s="72">
        <v>0</v>
      </c>
      <c r="CX83" s="72">
        <v>4</v>
      </c>
      <c r="CY83" s="72">
        <v>2</v>
      </c>
      <c r="CZ83" s="72">
        <v>0</v>
      </c>
      <c r="DA83" s="72">
        <v>4</v>
      </c>
      <c r="DB83" s="72">
        <v>2</v>
      </c>
      <c r="DC83" s="72">
        <v>0</v>
      </c>
      <c r="DD83" s="72">
        <v>4</v>
      </c>
      <c r="DE83" s="72">
        <v>2</v>
      </c>
      <c r="DF83" s="72">
        <v>0</v>
      </c>
      <c r="DG83" s="72">
        <v>4</v>
      </c>
      <c r="DH83" s="72">
        <v>2</v>
      </c>
      <c r="DI83" s="72"/>
      <c r="DJ83" s="72"/>
      <c r="DK83" s="72"/>
      <c r="DL83" s="72"/>
      <c r="DM83" s="72"/>
      <c r="DN83" s="72">
        <v>0</v>
      </c>
      <c r="DO83" s="72">
        <v>1</v>
      </c>
      <c r="DP83" s="72">
        <v>2</v>
      </c>
      <c r="DQ83" s="72">
        <v>3</v>
      </c>
      <c r="DR83" s="72">
        <v>4</v>
      </c>
      <c r="DS83" s="72">
        <v>5</v>
      </c>
      <c r="DT83" s="72">
        <v>6</v>
      </c>
      <c r="DU83" s="72">
        <v>7</v>
      </c>
      <c r="DV83" s="72">
        <v>8</v>
      </c>
      <c r="DW83" s="72">
        <v>9</v>
      </c>
      <c r="DX83" s="72">
        <v>10</v>
      </c>
      <c r="DY83" s="72">
        <v>11</v>
      </c>
      <c r="DZ83" s="81">
        <v>12</v>
      </c>
      <c r="EA83" s="81">
        <v>13</v>
      </c>
      <c r="EB83" s="81">
        <v>14</v>
      </c>
      <c r="EC83" s="72">
        <v>15</v>
      </c>
      <c r="ED83" s="72">
        <v>16</v>
      </c>
      <c r="EE83" s="72">
        <v>17</v>
      </c>
      <c r="EF83" s="72">
        <v>18</v>
      </c>
      <c r="EG83" s="72">
        <v>19</v>
      </c>
      <c r="EH83" s="72">
        <v>20</v>
      </c>
      <c r="EI83" s="72"/>
      <c r="EJ83" s="72"/>
      <c r="EK83" s="72"/>
      <c r="EL83" s="72"/>
      <c r="EM83" s="72"/>
      <c r="EN83" s="72"/>
      <c r="EO83" s="72"/>
      <c r="EP83" s="72"/>
      <c r="EQ83" s="72"/>
      <c r="ER83" s="72"/>
      <c r="ES83" s="72"/>
      <c r="ET83" s="72"/>
      <c r="EU83" s="72"/>
      <c r="EV83" s="72" t="s">
        <v>9</v>
      </c>
      <c r="EW83" s="72">
        <v>0</v>
      </c>
      <c r="EX83" s="72">
        <v>0</v>
      </c>
      <c r="EY83" s="72">
        <v>0</v>
      </c>
      <c r="EZ83" s="72">
        <v>0</v>
      </c>
      <c r="FA83" s="72">
        <v>0</v>
      </c>
      <c r="FB83" s="72">
        <v>6</v>
      </c>
      <c r="FC83" s="72">
        <v>0</v>
      </c>
      <c r="FD83" s="72">
        <v>6</v>
      </c>
      <c r="FE83" s="72">
        <v>0</v>
      </c>
      <c r="FF83" s="72">
        <v>6</v>
      </c>
      <c r="FG83" s="72">
        <v>0</v>
      </c>
      <c r="FH83" s="72"/>
      <c r="FI83" s="72" t="s">
        <v>114</v>
      </c>
      <c r="FJ83" s="72">
        <v>0</v>
      </c>
      <c r="FK83" s="72">
        <v>2</v>
      </c>
      <c r="FL83" s="72">
        <v>0</v>
      </c>
      <c r="FM83" s="72">
        <v>0</v>
      </c>
      <c r="FN83" s="72">
        <v>0</v>
      </c>
      <c r="FO83" s="72">
        <v>0</v>
      </c>
      <c r="FP83" s="72">
        <v>0</v>
      </c>
      <c r="FQ83" s="72">
        <v>0</v>
      </c>
      <c r="FR83" s="72">
        <v>0</v>
      </c>
      <c r="FS83" s="72">
        <v>0</v>
      </c>
      <c r="FT83" s="72">
        <v>0</v>
      </c>
      <c r="FU83" s="72"/>
      <c r="FV83" s="72"/>
      <c r="FW83" s="72"/>
      <c r="FX83" s="72"/>
      <c r="FY83" s="72"/>
      <c r="FZ83" s="72"/>
      <c r="GA83" s="125" t="s">
        <v>413</v>
      </c>
      <c r="GB83" s="64">
        <v>0</v>
      </c>
      <c r="GC83" s="64">
        <v>0</v>
      </c>
      <c r="GD83" s="64">
        <v>0</v>
      </c>
      <c r="GE83" s="64">
        <v>0</v>
      </c>
      <c r="GF83" s="64">
        <v>0</v>
      </c>
      <c r="GG83" s="64">
        <v>0</v>
      </c>
      <c r="GH83" s="64">
        <v>0</v>
      </c>
      <c r="GI83" s="64">
        <v>0</v>
      </c>
      <c r="GJ83" s="64">
        <v>0</v>
      </c>
      <c r="GK83" s="64">
        <v>0</v>
      </c>
      <c r="GL83" s="64">
        <v>0</v>
      </c>
      <c r="GM83" s="64">
        <v>0</v>
      </c>
      <c r="GN83" s="64">
        <v>0</v>
      </c>
      <c r="GO83" s="64">
        <v>0</v>
      </c>
      <c r="GP83" s="64">
        <v>0</v>
      </c>
      <c r="GQ83" s="64">
        <v>0</v>
      </c>
      <c r="GR83" s="64">
        <v>0</v>
      </c>
      <c r="GS83" s="64">
        <v>0</v>
      </c>
      <c r="GT83" s="64">
        <v>0</v>
      </c>
      <c r="GU83" s="64">
        <v>0</v>
      </c>
      <c r="GV83" s="64">
        <v>0</v>
      </c>
      <c r="GX83" s="125" t="s">
        <v>412</v>
      </c>
      <c r="GY83" s="64">
        <v>0</v>
      </c>
      <c r="GZ83" s="72">
        <v>0</v>
      </c>
      <c r="HA83" s="64">
        <v>0</v>
      </c>
      <c r="HB83" s="64">
        <v>1</v>
      </c>
      <c r="HC83" s="64">
        <v>3</v>
      </c>
      <c r="HD83" s="64">
        <v>5</v>
      </c>
      <c r="HE83" s="64">
        <v>7</v>
      </c>
      <c r="HF83" s="64">
        <v>4</v>
      </c>
      <c r="HG83" s="64">
        <v>6</v>
      </c>
      <c r="HH83" s="64">
        <v>8</v>
      </c>
      <c r="HI83" s="64">
        <v>10</v>
      </c>
      <c r="HJ83" s="64">
        <v>12</v>
      </c>
      <c r="HK83" s="64">
        <v>14</v>
      </c>
      <c r="HL83" s="64">
        <v>11</v>
      </c>
      <c r="HM83" s="64">
        <v>13</v>
      </c>
      <c r="HN83" s="64">
        <v>14</v>
      </c>
      <c r="HO83" s="64">
        <v>17</v>
      </c>
      <c r="HP83" s="64">
        <v>19</v>
      </c>
      <c r="HQ83" s="64">
        <v>21</v>
      </c>
      <c r="HR83" s="64">
        <v>22</v>
      </c>
      <c r="HS83" s="64">
        <v>20</v>
      </c>
      <c r="HV83" s="64" t="s">
        <v>380</v>
      </c>
      <c r="HW83" s="64">
        <v>0</v>
      </c>
      <c r="HX83" s="64">
        <v>2</v>
      </c>
      <c r="HY83" s="64">
        <v>4</v>
      </c>
      <c r="HZ83" s="64">
        <v>0</v>
      </c>
      <c r="IA83" s="64">
        <v>2</v>
      </c>
      <c r="IB83" s="64">
        <v>2</v>
      </c>
      <c r="IC83" s="64">
        <v>4</v>
      </c>
      <c r="ID83" s="64">
        <v>0</v>
      </c>
      <c r="IE83" s="64">
        <v>2</v>
      </c>
      <c r="IF83" s="64">
        <v>4</v>
      </c>
      <c r="IG83" s="64">
        <v>0</v>
      </c>
      <c r="IH83" s="64">
        <v>2</v>
      </c>
      <c r="II83" s="64">
        <v>4</v>
      </c>
      <c r="IJ83" s="64">
        <v>0</v>
      </c>
      <c r="IK83" s="64">
        <v>0</v>
      </c>
      <c r="IL83" s="64">
        <v>2</v>
      </c>
      <c r="IM83" s="64">
        <v>4</v>
      </c>
      <c r="IN83" s="64">
        <v>0</v>
      </c>
      <c r="IO83" s="64">
        <v>2</v>
      </c>
      <c r="IP83" s="64">
        <v>4</v>
      </c>
      <c r="IQ83" s="64">
        <v>0</v>
      </c>
      <c r="IS83" s="64" t="s">
        <v>380</v>
      </c>
      <c r="IT83" s="64">
        <f t="shared" si="101"/>
        <v>0</v>
      </c>
      <c r="IU83" s="64">
        <f t="shared" si="102"/>
        <v>4</v>
      </c>
      <c r="IV83" s="64">
        <f t="shared" si="103"/>
        <v>8</v>
      </c>
      <c r="IW83" s="64">
        <f t="shared" si="104"/>
        <v>0</v>
      </c>
      <c r="IX83" s="64">
        <f t="shared" si="105"/>
        <v>4</v>
      </c>
      <c r="IY83" s="64">
        <f t="shared" si="106"/>
        <v>4</v>
      </c>
      <c r="IZ83" s="64">
        <f t="shared" si="107"/>
        <v>8</v>
      </c>
      <c r="JA83" s="64">
        <f t="shared" si="108"/>
        <v>0</v>
      </c>
      <c r="JB83" s="64">
        <f t="shared" si="98"/>
        <v>4</v>
      </c>
      <c r="JC83" s="64">
        <f t="shared" si="109"/>
        <v>8</v>
      </c>
      <c r="JD83" s="64">
        <f t="shared" si="110"/>
        <v>0</v>
      </c>
      <c r="JE83" s="64">
        <f t="shared" si="111"/>
        <v>4</v>
      </c>
      <c r="JF83" s="64">
        <f t="shared" si="112"/>
        <v>8</v>
      </c>
      <c r="JG83" s="64">
        <f t="shared" si="113"/>
        <v>0</v>
      </c>
      <c r="JH83" s="64">
        <f t="shared" si="114"/>
        <v>0</v>
      </c>
      <c r="JI83" s="64">
        <f t="shared" si="115"/>
        <v>4</v>
      </c>
      <c r="JJ83" s="64">
        <f t="shared" si="116"/>
        <v>8</v>
      </c>
      <c r="JK83" s="64">
        <f t="shared" si="117"/>
        <v>0</v>
      </c>
      <c r="JL83" s="64">
        <f t="shared" si="118"/>
        <v>4</v>
      </c>
      <c r="JM83" s="64">
        <f t="shared" si="119"/>
        <v>8</v>
      </c>
      <c r="JN83" s="64">
        <f t="shared" si="120"/>
        <v>0</v>
      </c>
    </row>
    <row r="84" spans="1:274" x14ac:dyDescent="0.25">
      <c r="A84" s="8"/>
      <c r="B84" s="5" t="s">
        <v>61</v>
      </c>
      <c r="C84" s="8"/>
      <c r="D84" s="6" t="s">
        <v>474</v>
      </c>
      <c r="E84" s="9"/>
      <c r="F84" s="9"/>
      <c r="G84" s="9"/>
      <c r="H84" s="9"/>
      <c r="I84" s="9"/>
      <c r="J84" s="9"/>
      <c r="K84" s="9"/>
      <c r="L84" s="6" t="str">
        <f>IF(E81=W84,"KT850A",IF(E81=X84,"KT1000A",IF(E81=Y84,"KT1150A",0)))</f>
        <v>KT850A</v>
      </c>
      <c r="M84" s="11">
        <f>INDEX(cenník!$C$2:$I$568,MATCH($L84,cenník!$B$2:$B$557,0),MATCH(M$2,cenník!$C$1:$I$1,0))</f>
        <v>898085</v>
      </c>
      <c r="N84" s="11" t="str">
        <f>INDEX(cenník!$C$2:$I$568,MATCH($L84,cenník!$B$2:$B$557,0),MATCH(N$2,cenník!$C$1:$I$1,0))</f>
        <v>ks</v>
      </c>
      <c r="O84" s="11">
        <f>SUM(W65:W80)</f>
        <v>0</v>
      </c>
      <c r="P84" s="36">
        <f>INDEX(cenník!$C$2:$I$568,MATCH($L84,cenník!$B$2:$B$557,0),MATCH(P$2,cenník!$C$1:$I$1,0))</f>
        <v>9.7799999999999994</v>
      </c>
      <c r="Q84" s="36">
        <f t="shared" si="125"/>
        <v>0</v>
      </c>
      <c r="R84" s="37">
        <f t="shared" si="123"/>
        <v>0</v>
      </c>
      <c r="S84" s="36">
        <f t="shared" si="124"/>
        <v>9.7799999999999994</v>
      </c>
      <c r="T84" s="36">
        <f t="shared" si="126"/>
        <v>0</v>
      </c>
      <c r="U84" s="36">
        <f>INDEX(cenník!$C$2:$I$568,MATCH($L84,cenník!$B$2:$B$557,0),MATCH(U$2,cenník!$C$1:$I$1,0))*O84</f>
        <v>0</v>
      </c>
      <c r="V84" s="72"/>
      <c r="W84" s="72">
        <v>25</v>
      </c>
      <c r="X84" s="72">
        <v>30</v>
      </c>
      <c r="Y84" s="72">
        <v>35</v>
      </c>
      <c r="Z84" s="72"/>
      <c r="AA84" s="72"/>
      <c r="AB84" s="72"/>
      <c r="AC84" s="72"/>
      <c r="AD84" s="72"/>
      <c r="AE84" s="72"/>
      <c r="AF84" s="72">
        <f>INDEX(($AG$30:$AH$39),MATCH(I77,$AF$30:$AF$39,0),MATCH(E78,$AG$29:$AH$29,0))</f>
        <v>0</v>
      </c>
      <c r="AG84" s="72"/>
      <c r="AH84" s="72"/>
      <c r="AI84" s="72"/>
      <c r="AJ84" s="72"/>
      <c r="AK84" s="72"/>
      <c r="AL84" s="72" t="s">
        <v>72</v>
      </c>
      <c r="AM84" s="72"/>
      <c r="AN84" s="72"/>
      <c r="AO84" s="72"/>
      <c r="AP84" s="72"/>
      <c r="AQ84" s="72"/>
      <c r="AR84" s="72"/>
      <c r="AS84" s="72"/>
      <c r="AT84" s="72"/>
      <c r="AU84" s="72"/>
      <c r="AV84" s="72"/>
      <c r="AW84" s="72"/>
      <c r="AX84" s="72"/>
      <c r="AY84" s="72"/>
      <c r="AZ84" s="72"/>
      <c r="BA84" s="72"/>
      <c r="BB84" s="72"/>
      <c r="BC84" s="72"/>
      <c r="BD84" s="72"/>
      <c r="BE84" s="72"/>
      <c r="BF84" s="72"/>
      <c r="BG84" s="72"/>
      <c r="BH84" s="72"/>
      <c r="BI84" s="72"/>
      <c r="BJ84" s="72"/>
      <c r="BK84" s="72"/>
      <c r="BL84" s="72"/>
      <c r="BM84" s="72"/>
      <c r="BN84" s="72"/>
      <c r="BO84" s="72"/>
      <c r="BP84" s="72"/>
      <c r="BQ84" s="72"/>
      <c r="BR84" s="72"/>
      <c r="BS84" s="72"/>
      <c r="BT84" s="72"/>
      <c r="BU84" s="72"/>
      <c r="BV84" s="72"/>
      <c r="BW84" s="72"/>
      <c r="BX84" s="72"/>
      <c r="BY84" s="72"/>
      <c r="BZ84" s="72"/>
      <c r="CA84" s="72"/>
      <c r="CB84" s="72"/>
      <c r="CC84" s="72"/>
      <c r="CD84" s="72"/>
      <c r="CE84" s="72"/>
      <c r="CF84" s="72"/>
      <c r="CG84" s="72"/>
      <c r="CH84" s="72"/>
      <c r="CI84" s="72"/>
      <c r="CJ84" s="72"/>
      <c r="CK84" s="72"/>
      <c r="CL84" s="72"/>
      <c r="CM84" s="72" t="s">
        <v>18</v>
      </c>
      <c r="CN84" s="72">
        <v>0</v>
      </c>
      <c r="CO84" s="72">
        <v>0</v>
      </c>
      <c r="CP84" s="72">
        <v>0</v>
      </c>
      <c r="CQ84" s="72">
        <v>2</v>
      </c>
      <c r="CR84" s="72">
        <v>0</v>
      </c>
      <c r="CS84" s="72">
        <v>2</v>
      </c>
      <c r="CT84" s="72">
        <v>4</v>
      </c>
      <c r="CU84" s="72">
        <v>2</v>
      </c>
      <c r="CV84" s="72">
        <v>4</v>
      </c>
      <c r="CW84" s="72">
        <v>6</v>
      </c>
      <c r="CX84" s="72">
        <v>4</v>
      </c>
      <c r="CY84" s="72">
        <v>6</v>
      </c>
      <c r="CZ84" s="72">
        <v>8</v>
      </c>
      <c r="DA84" s="72">
        <v>6</v>
      </c>
      <c r="DB84" s="72">
        <v>8</v>
      </c>
      <c r="DC84" s="72">
        <v>10</v>
      </c>
      <c r="DD84" s="72">
        <v>8</v>
      </c>
      <c r="DE84" s="72">
        <v>10</v>
      </c>
      <c r="DF84" s="72">
        <v>12</v>
      </c>
      <c r="DG84" s="72">
        <v>10</v>
      </c>
      <c r="DH84" s="72">
        <v>12</v>
      </c>
      <c r="DI84" s="72"/>
      <c r="DJ84" s="72"/>
      <c r="DK84" s="72"/>
      <c r="DL84" s="72"/>
      <c r="DM84" s="72" t="s">
        <v>114</v>
      </c>
      <c r="DN84" s="72">
        <v>0</v>
      </c>
      <c r="DO84" s="72">
        <v>2</v>
      </c>
      <c r="DP84" s="72">
        <v>0</v>
      </c>
      <c r="DQ84" s="72">
        <v>4</v>
      </c>
      <c r="DR84" s="72">
        <v>2</v>
      </c>
      <c r="DS84" s="72">
        <v>0</v>
      </c>
      <c r="DT84" s="72">
        <v>4</v>
      </c>
      <c r="DU84" s="72">
        <v>2</v>
      </c>
      <c r="DV84" s="72">
        <v>0</v>
      </c>
      <c r="DW84" s="72">
        <v>4</v>
      </c>
      <c r="DX84" s="72">
        <v>2</v>
      </c>
      <c r="DY84" s="72">
        <v>0</v>
      </c>
      <c r="DZ84" s="81">
        <v>4</v>
      </c>
      <c r="EA84" s="81">
        <v>2</v>
      </c>
      <c r="EB84" s="81">
        <v>0</v>
      </c>
      <c r="EC84" s="72">
        <v>4</v>
      </c>
      <c r="ED84" s="72">
        <v>2</v>
      </c>
      <c r="EE84" s="72">
        <v>0</v>
      </c>
      <c r="EF84" s="72">
        <v>4</v>
      </c>
      <c r="EG84" s="72">
        <v>2</v>
      </c>
      <c r="EH84" s="72">
        <v>0</v>
      </c>
      <c r="EI84" s="72"/>
      <c r="EJ84" s="72"/>
      <c r="EK84" s="72"/>
      <c r="EL84" s="72"/>
      <c r="EM84" s="72"/>
      <c r="EN84" s="72"/>
      <c r="EO84" s="72"/>
      <c r="EP84" s="72"/>
      <c r="EQ84" s="72"/>
      <c r="ER84" s="72"/>
      <c r="ES84" s="72"/>
      <c r="ET84" s="72"/>
      <c r="EU84" s="72"/>
      <c r="EV84" s="72" t="s">
        <v>101</v>
      </c>
      <c r="EW84" s="72">
        <v>0</v>
      </c>
      <c r="EX84" s="72">
        <v>0</v>
      </c>
      <c r="EY84" s="72">
        <v>0</v>
      </c>
      <c r="EZ84" s="72">
        <v>0</v>
      </c>
      <c r="FA84" s="72">
        <v>2</v>
      </c>
      <c r="FB84" s="72">
        <v>0</v>
      </c>
      <c r="FC84" s="72">
        <v>4</v>
      </c>
      <c r="FD84" s="72">
        <v>2</v>
      </c>
      <c r="FE84" s="72">
        <v>4</v>
      </c>
      <c r="FF84" s="72">
        <v>4</v>
      </c>
      <c r="FG84" s="72">
        <v>6</v>
      </c>
      <c r="FH84" s="72"/>
      <c r="FI84" s="72" t="s">
        <v>9</v>
      </c>
      <c r="FJ84" s="72">
        <v>0</v>
      </c>
      <c r="FK84" s="72">
        <v>0</v>
      </c>
      <c r="FL84" s="72">
        <v>2</v>
      </c>
      <c r="FM84" s="72">
        <v>4</v>
      </c>
      <c r="FN84" s="72">
        <v>0</v>
      </c>
      <c r="FO84" s="72">
        <v>2</v>
      </c>
      <c r="FP84" s="72">
        <v>8</v>
      </c>
      <c r="FQ84" s="72">
        <v>2</v>
      </c>
      <c r="FR84" s="72">
        <v>6</v>
      </c>
      <c r="FS84" s="72">
        <v>0</v>
      </c>
      <c r="FT84" s="72">
        <v>6</v>
      </c>
      <c r="FU84" s="72"/>
      <c r="FV84" s="72"/>
      <c r="FW84" s="72"/>
      <c r="FX84" s="72"/>
      <c r="FY84" s="72"/>
      <c r="FZ84" s="72"/>
      <c r="GX84" s="125" t="s">
        <v>413</v>
      </c>
      <c r="GY84" s="64">
        <v>0</v>
      </c>
      <c r="GZ84" s="72">
        <v>1</v>
      </c>
      <c r="HA84" s="64">
        <v>0</v>
      </c>
      <c r="HB84" s="64">
        <v>0</v>
      </c>
      <c r="HC84" s="64">
        <v>0</v>
      </c>
      <c r="HD84" s="64">
        <v>0</v>
      </c>
      <c r="HE84" s="64">
        <v>0</v>
      </c>
      <c r="HF84" s="64">
        <v>0</v>
      </c>
      <c r="HG84" s="64">
        <v>0</v>
      </c>
      <c r="HH84" s="64">
        <v>0</v>
      </c>
      <c r="HI84" s="64">
        <v>0</v>
      </c>
      <c r="HJ84" s="64">
        <v>0</v>
      </c>
      <c r="HK84" s="64">
        <v>0</v>
      </c>
      <c r="HL84" s="64">
        <v>0</v>
      </c>
      <c r="HM84" s="64">
        <v>0</v>
      </c>
      <c r="HN84" s="64">
        <v>0</v>
      </c>
      <c r="HO84" s="64">
        <v>0</v>
      </c>
      <c r="HP84" s="64">
        <v>0</v>
      </c>
      <c r="HQ84" s="64">
        <v>0</v>
      </c>
      <c r="HR84" s="64">
        <v>0</v>
      </c>
      <c r="HS84" s="64">
        <v>0</v>
      </c>
      <c r="HV84" s="64" t="s">
        <v>379</v>
      </c>
      <c r="HW84" s="64">
        <v>0</v>
      </c>
      <c r="HX84" s="64">
        <v>0</v>
      </c>
      <c r="HY84" s="64">
        <v>0</v>
      </c>
      <c r="HZ84" s="64">
        <v>4</v>
      </c>
      <c r="IA84" s="64">
        <v>4</v>
      </c>
      <c r="IB84" s="64">
        <v>6</v>
      </c>
      <c r="IC84" s="64">
        <v>6</v>
      </c>
      <c r="ID84" s="64">
        <v>10</v>
      </c>
      <c r="IE84" s="64">
        <v>10</v>
      </c>
      <c r="IF84" s="64">
        <v>10</v>
      </c>
      <c r="IG84" s="64">
        <v>14</v>
      </c>
      <c r="IH84" s="64">
        <v>14</v>
      </c>
      <c r="II84" s="64">
        <v>14</v>
      </c>
      <c r="IJ84" s="64">
        <v>18</v>
      </c>
      <c r="IK84" s="64">
        <v>20</v>
      </c>
      <c r="IL84" s="64">
        <v>20</v>
      </c>
      <c r="IM84" s="64">
        <v>20</v>
      </c>
      <c r="IN84" s="64">
        <v>24</v>
      </c>
      <c r="IO84" s="64">
        <v>24</v>
      </c>
      <c r="IP84" s="64">
        <v>24</v>
      </c>
      <c r="IQ84" s="64">
        <v>28</v>
      </c>
      <c r="IS84" s="64" t="s">
        <v>379</v>
      </c>
      <c r="IT84" s="64">
        <f t="shared" si="101"/>
        <v>0</v>
      </c>
      <c r="IU84" s="64">
        <f t="shared" si="102"/>
        <v>0</v>
      </c>
      <c r="IV84" s="64">
        <f t="shared" si="103"/>
        <v>0</v>
      </c>
      <c r="IW84" s="64">
        <f t="shared" si="104"/>
        <v>8</v>
      </c>
      <c r="IX84" s="64">
        <f t="shared" si="105"/>
        <v>8</v>
      </c>
      <c r="IY84" s="64">
        <f t="shared" si="106"/>
        <v>12</v>
      </c>
      <c r="IZ84" s="64">
        <f t="shared" si="107"/>
        <v>12</v>
      </c>
      <c r="JA84" s="64">
        <f t="shared" si="108"/>
        <v>20</v>
      </c>
      <c r="JB84" s="64">
        <f t="shared" si="98"/>
        <v>20</v>
      </c>
      <c r="JC84" s="64">
        <f t="shared" si="109"/>
        <v>20</v>
      </c>
      <c r="JD84" s="64">
        <f t="shared" si="110"/>
        <v>28</v>
      </c>
      <c r="JE84" s="64">
        <f t="shared" si="111"/>
        <v>28</v>
      </c>
      <c r="JF84" s="64">
        <f t="shared" si="112"/>
        <v>28</v>
      </c>
      <c r="JG84" s="64">
        <f t="shared" si="113"/>
        <v>36</v>
      </c>
      <c r="JH84" s="64">
        <f t="shared" si="114"/>
        <v>40</v>
      </c>
      <c r="JI84" s="64">
        <f t="shared" si="115"/>
        <v>40</v>
      </c>
      <c r="JJ84" s="64">
        <f t="shared" si="116"/>
        <v>40</v>
      </c>
      <c r="JK84" s="64">
        <f t="shared" si="117"/>
        <v>48</v>
      </c>
      <c r="JL84" s="64">
        <f t="shared" si="118"/>
        <v>48</v>
      </c>
      <c r="JM84" s="64">
        <f t="shared" si="119"/>
        <v>48</v>
      </c>
      <c r="JN84" s="64">
        <f t="shared" si="120"/>
        <v>56</v>
      </c>
    </row>
    <row r="85" spans="1:274" x14ac:dyDescent="0.25">
      <c r="A85" s="8"/>
      <c r="B85" s="5" t="s">
        <v>61</v>
      </c>
      <c r="C85" s="8"/>
      <c r="D85" s="6" t="s">
        <v>477</v>
      </c>
      <c r="E85" s="56">
        <f>INDEX((AI111:AM113),MATCH(E86,AH111:AH113,0),MATCH(E87,AI110:AM110,0))</f>
        <v>1000</v>
      </c>
      <c r="F85" s="9"/>
      <c r="G85" s="9"/>
      <c r="H85" s="9"/>
      <c r="I85" s="9"/>
      <c r="J85" s="9"/>
      <c r="K85" s="9"/>
      <c r="L85" s="6" t="s">
        <v>107</v>
      </c>
      <c r="M85" s="11">
        <f>INDEX(cenník!$C$2:$I$568,MATCH($L85,cenník!$B$2:$B$557,0),MATCH(M$2,cenník!$C$1:$I$1,0))</f>
        <v>898175</v>
      </c>
      <c r="N85" s="11" t="str">
        <f>INDEX(cenník!$C$2:$I$568,MATCH($L85,cenník!$B$2:$B$557,0),MATCH(N$2,cenník!$C$1:$I$1,0))</f>
        <v>ks</v>
      </c>
      <c r="O85" s="11">
        <f>SUM(X65:X80)</f>
        <v>0</v>
      </c>
      <c r="P85" s="36">
        <f>INDEX(cenník!$C$2:$I$568,MATCH($L85,cenník!$B$2:$B$557,0),MATCH(P$2,cenník!$C$1:$I$1,0))</f>
        <v>19.55</v>
      </c>
      <c r="Q85" s="36">
        <f t="shared" si="125"/>
        <v>0</v>
      </c>
      <c r="R85" s="37">
        <f t="shared" si="123"/>
        <v>0</v>
      </c>
      <c r="S85" s="36">
        <f t="shared" si="124"/>
        <v>19.55</v>
      </c>
      <c r="T85" s="36">
        <f t="shared" si="126"/>
        <v>0</v>
      </c>
      <c r="U85" s="36">
        <f>INDEX(cenník!$C$2:$I$568,MATCH($L85,cenník!$B$2:$B$557,0),MATCH(U$2,cenník!$C$1:$I$1,0))*O85</f>
        <v>0</v>
      </c>
      <c r="V85" s="72"/>
      <c r="W85" s="72"/>
      <c r="X85" s="72"/>
      <c r="Y85" s="72"/>
      <c r="Z85" s="72"/>
      <c r="AA85" s="72"/>
      <c r="AB85" s="72"/>
      <c r="AC85" s="72"/>
      <c r="AD85" s="72"/>
      <c r="AE85" s="72"/>
      <c r="AF85" s="72"/>
      <c r="AG85" s="72"/>
      <c r="AH85" s="72"/>
      <c r="AI85" s="72"/>
      <c r="AJ85" s="72"/>
      <c r="AK85" s="72"/>
      <c r="AL85" s="72"/>
      <c r="AM85" s="72">
        <v>0</v>
      </c>
      <c r="AN85" s="72">
        <v>1</v>
      </c>
      <c r="AO85" s="72">
        <v>2</v>
      </c>
      <c r="AP85" s="72">
        <v>3</v>
      </c>
      <c r="AQ85" s="72">
        <v>4</v>
      </c>
      <c r="AR85" s="72">
        <v>5</v>
      </c>
      <c r="AS85" s="72">
        <v>6</v>
      </c>
      <c r="AT85" s="72">
        <v>7</v>
      </c>
      <c r="AU85" s="72">
        <v>8</v>
      </c>
      <c r="AV85" s="72">
        <v>9</v>
      </c>
      <c r="AW85" s="72">
        <v>10</v>
      </c>
      <c r="AX85" s="72">
        <v>11</v>
      </c>
      <c r="AY85" s="72">
        <v>12</v>
      </c>
      <c r="AZ85" s="72">
        <v>13</v>
      </c>
      <c r="BA85" s="72">
        <v>14</v>
      </c>
      <c r="BB85" s="72">
        <v>15</v>
      </c>
      <c r="BC85" s="72">
        <v>16</v>
      </c>
      <c r="BD85" s="72">
        <v>17</v>
      </c>
      <c r="BE85" s="72">
        <v>18</v>
      </c>
      <c r="BF85" s="72">
        <v>19</v>
      </c>
      <c r="BG85" s="72">
        <v>20</v>
      </c>
      <c r="BH85" s="72">
        <v>21</v>
      </c>
      <c r="BI85" s="72">
        <v>22</v>
      </c>
      <c r="BJ85" s="72">
        <v>23</v>
      </c>
      <c r="BK85" s="72">
        <v>24</v>
      </c>
      <c r="BL85" s="72">
        <v>25</v>
      </c>
      <c r="BM85" s="72">
        <v>26</v>
      </c>
      <c r="BN85" s="72">
        <v>27</v>
      </c>
      <c r="BO85" s="72">
        <v>28</v>
      </c>
      <c r="BP85" s="72">
        <v>29</v>
      </c>
      <c r="BQ85" s="72">
        <v>30</v>
      </c>
      <c r="BR85" s="72">
        <v>31</v>
      </c>
      <c r="BS85" s="72">
        <v>32</v>
      </c>
      <c r="BT85" s="72">
        <v>33</v>
      </c>
      <c r="BU85" s="72">
        <v>34</v>
      </c>
      <c r="BV85" s="72">
        <v>35</v>
      </c>
      <c r="BW85" s="72">
        <v>36</v>
      </c>
      <c r="BX85" s="72">
        <v>37</v>
      </c>
      <c r="BY85" s="72">
        <v>38</v>
      </c>
      <c r="BZ85" s="72">
        <v>39</v>
      </c>
      <c r="CA85" s="72">
        <v>40</v>
      </c>
      <c r="CB85" s="72">
        <v>41</v>
      </c>
      <c r="CC85" s="72">
        <v>42</v>
      </c>
      <c r="CD85" s="72">
        <v>43</v>
      </c>
      <c r="CE85" s="72">
        <v>44</v>
      </c>
      <c r="CF85" s="72">
        <v>45</v>
      </c>
      <c r="CG85" s="72">
        <v>46</v>
      </c>
      <c r="CH85" s="72">
        <v>47</v>
      </c>
      <c r="CI85" s="72">
        <v>48</v>
      </c>
      <c r="CJ85" s="72">
        <v>49</v>
      </c>
      <c r="CK85" s="72">
        <v>50</v>
      </c>
      <c r="CL85" s="72"/>
      <c r="CM85" s="72" t="s">
        <v>179</v>
      </c>
      <c r="CN85" s="72">
        <v>0</v>
      </c>
      <c r="CO85" s="72">
        <v>0</v>
      </c>
      <c r="CP85" s="72">
        <v>0</v>
      </c>
      <c r="CQ85" s="72">
        <v>0</v>
      </c>
      <c r="CR85" s="72">
        <v>4</v>
      </c>
      <c r="CS85" s="72">
        <v>4</v>
      </c>
      <c r="CT85" s="72">
        <v>4</v>
      </c>
      <c r="CU85" s="72">
        <v>8</v>
      </c>
      <c r="CV85" s="72">
        <v>8</v>
      </c>
      <c r="CW85" s="72">
        <v>8</v>
      </c>
      <c r="CX85" s="72">
        <v>12</v>
      </c>
      <c r="CY85" s="72">
        <v>12</v>
      </c>
      <c r="CZ85" s="72">
        <v>12</v>
      </c>
      <c r="DA85" s="72">
        <v>16</v>
      </c>
      <c r="DB85" s="72">
        <v>16</v>
      </c>
      <c r="DC85" s="72">
        <v>16</v>
      </c>
      <c r="DD85" s="72">
        <v>20</v>
      </c>
      <c r="DE85" s="72">
        <v>20</v>
      </c>
      <c r="DF85" s="72">
        <v>20</v>
      </c>
      <c r="DG85" s="72">
        <v>24</v>
      </c>
      <c r="DH85" s="72">
        <v>24</v>
      </c>
      <c r="DI85" s="72"/>
      <c r="DJ85" s="72"/>
      <c r="DK85" s="72"/>
      <c r="DL85" s="72"/>
      <c r="DM85" s="72" t="s">
        <v>101</v>
      </c>
      <c r="DN85" s="72">
        <v>0</v>
      </c>
      <c r="DO85" s="72">
        <v>0</v>
      </c>
      <c r="DP85" s="72">
        <v>2</v>
      </c>
      <c r="DQ85" s="72">
        <v>0</v>
      </c>
      <c r="DR85" s="72">
        <v>2</v>
      </c>
      <c r="DS85" s="72">
        <v>4</v>
      </c>
      <c r="DT85" s="72">
        <v>2</v>
      </c>
      <c r="DU85" s="72">
        <v>4</v>
      </c>
      <c r="DV85" s="72">
        <v>6</v>
      </c>
      <c r="DW85" s="72">
        <v>4</v>
      </c>
      <c r="DX85" s="72">
        <v>6</v>
      </c>
      <c r="DY85" s="72">
        <v>8</v>
      </c>
      <c r="DZ85" s="81">
        <v>6</v>
      </c>
      <c r="EA85" s="81">
        <v>8</v>
      </c>
      <c r="EB85" s="81">
        <v>10</v>
      </c>
      <c r="EC85" s="72">
        <v>8</v>
      </c>
      <c r="ED85" s="72">
        <v>10</v>
      </c>
      <c r="EE85" s="72">
        <v>12</v>
      </c>
      <c r="EF85" s="72">
        <v>10</v>
      </c>
      <c r="EG85" s="72">
        <v>12</v>
      </c>
      <c r="EH85" s="72">
        <v>14</v>
      </c>
      <c r="EI85" s="72"/>
      <c r="EJ85" s="72"/>
      <c r="EK85" s="72"/>
      <c r="EL85" s="72"/>
      <c r="EM85" s="72"/>
      <c r="EN85" s="72"/>
      <c r="EO85" s="72"/>
      <c r="EP85" s="72"/>
      <c r="EQ85" s="72"/>
      <c r="ER85" s="72"/>
      <c r="ES85" s="72"/>
      <c r="ET85" s="72"/>
      <c r="EU85" s="72"/>
      <c r="EV85" s="72" t="s">
        <v>102</v>
      </c>
      <c r="EW85" s="72">
        <v>0</v>
      </c>
      <c r="EX85" s="72">
        <v>0</v>
      </c>
      <c r="EY85" s="72">
        <v>2</v>
      </c>
      <c r="EZ85" s="72">
        <v>2</v>
      </c>
      <c r="FA85" s="72">
        <v>2</v>
      </c>
      <c r="FB85" s="72">
        <v>0</v>
      </c>
      <c r="FC85" s="72">
        <v>2</v>
      </c>
      <c r="FD85" s="72">
        <v>0</v>
      </c>
      <c r="FE85" s="72">
        <v>4</v>
      </c>
      <c r="FF85" s="72">
        <v>0</v>
      </c>
      <c r="FG85" s="72">
        <v>4</v>
      </c>
      <c r="FH85" s="72"/>
      <c r="FI85" s="72" t="s">
        <v>101</v>
      </c>
      <c r="FJ85" s="72">
        <v>0</v>
      </c>
      <c r="FK85" s="72">
        <v>0</v>
      </c>
      <c r="FL85" s="72">
        <v>0</v>
      </c>
      <c r="FM85" s="72">
        <v>0</v>
      </c>
      <c r="FN85" s="72">
        <v>4</v>
      </c>
      <c r="FO85" s="72">
        <v>4</v>
      </c>
      <c r="FP85" s="72">
        <v>0</v>
      </c>
      <c r="FQ85" s="72">
        <v>2</v>
      </c>
      <c r="FR85" s="72">
        <v>4</v>
      </c>
      <c r="FS85" s="72">
        <v>6</v>
      </c>
      <c r="FT85" s="72">
        <v>2</v>
      </c>
      <c r="FU85" s="72"/>
      <c r="FV85" s="72"/>
      <c r="FW85" s="72"/>
      <c r="FX85" s="72"/>
      <c r="FY85" s="72"/>
      <c r="FZ85" s="72"/>
      <c r="GA85" s="64" t="s">
        <v>57</v>
      </c>
      <c r="HV85" s="64" t="s">
        <v>406</v>
      </c>
      <c r="HW85" s="64">
        <v>0</v>
      </c>
      <c r="HX85" s="64">
        <v>0</v>
      </c>
      <c r="HY85" s="64">
        <v>2</v>
      </c>
      <c r="HZ85" s="64">
        <v>2</v>
      </c>
      <c r="IA85" s="64">
        <v>4</v>
      </c>
      <c r="IB85" s="64">
        <v>6</v>
      </c>
      <c r="IC85" s="64">
        <v>8</v>
      </c>
      <c r="ID85" s="64">
        <v>8</v>
      </c>
      <c r="IE85" s="64">
        <v>10</v>
      </c>
      <c r="IF85" s="64">
        <v>12</v>
      </c>
      <c r="IG85" s="64">
        <v>12</v>
      </c>
      <c r="IH85" s="64">
        <v>14</v>
      </c>
      <c r="II85" s="64">
        <v>16</v>
      </c>
      <c r="IJ85" s="64">
        <v>16</v>
      </c>
      <c r="IK85" s="64">
        <v>18</v>
      </c>
      <c r="IL85" s="64">
        <v>20</v>
      </c>
      <c r="IM85" s="64">
        <v>22</v>
      </c>
      <c r="IN85" s="64">
        <v>22</v>
      </c>
      <c r="IO85" s="64">
        <v>24</v>
      </c>
      <c r="IP85" s="64">
        <v>26</v>
      </c>
      <c r="IQ85" s="64">
        <v>26</v>
      </c>
      <c r="IS85" s="64" t="s">
        <v>406</v>
      </c>
      <c r="IT85" s="64">
        <f t="shared" si="101"/>
        <v>0</v>
      </c>
      <c r="IU85" s="64">
        <f t="shared" si="102"/>
        <v>0</v>
      </c>
      <c r="IV85" s="64">
        <f t="shared" si="103"/>
        <v>4</v>
      </c>
      <c r="IW85" s="64">
        <f t="shared" si="104"/>
        <v>4</v>
      </c>
      <c r="IX85" s="64">
        <f t="shared" si="105"/>
        <v>8</v>
      </c>
      <c r="IY85" s="64">
        <f t="shared" si="106"/>
        <v>12</v>
      </c>
      <c r="IZ85" s="64">
        <f t="shared" si="107"/>
        <v>16</v>
      </c>
      <c r="JA85" s="64">
        <f t="shared" si="108"/>
        <v>16</v>
      </c>
      <c r="JB85" s="64">
        <f t="shared" si="98"/>
        <v>20</v>
      </c>
      <c r="JC85" s="64">
        <f t="shared" si="109"/>
        <v>24</v>
      </c>
      <c r="JD85" s="64">
        <f t="shared" si="110"/>
        <v>24</v>
      </c>
      <c r="JE85" s="64">
        <f t="shared" si="111"/>
        <v>28</v>
      </c>
      <c r="JF85" s="64">
        <f t="shared" si="112"/>
        <v>32</v>
      </c>
      <c r="JG85" s="64">
        <f t="shared" si="113"/>
        <v>32</v>
      </c>
      <c r="JH85" s="64">
        <f t="shared" si="114"/>
        <v>36</v>
      </c>
      <c r="JI85" s="64">
        <f t="shared" si="115"/>
        <v>40</v>
      </c>
      <c r="JJ85" s="64">
        <f t="shared" si="116"/>
        <v>44</v>
      </c>
      <c r="JK85" s="64">
        <f t="shared" si="117"/>
        <v>44</v>
      </c>
      <c r="JL85" s="64">
        <f t="shared" si="118"/>
        <v>48</v>
      </c>
      <c r="JM85" s="64">
        <f t="shared" si="119"/>
        <v>52</v>
      </c>
      <c r="JN85" s="64">
        <f t="shared" si="120"/>
        <v>52</v>
      </c>
    </row>
    <row r="86" spans="1:274" x14ac:dyDescent="0.25">
      <c r="A86" s="8"/>
      <c r="B86" s="5" t="s">
        <v>61</v>
      </c>
      <c r="C86" s="8"/>
      <c r="D86" s="6" t="s">
        <v>478</v>
      </c>
      <c r="E86" s="8">
        <v>1</v>
      </c>
      <c r="F86" s="43" t="s">
        <v>480</v>
      </c>
      <c r="G86" s="16"/>
      <c r="H86" s="9"/>
      <c r="I86" s="9"/>
      <c r="J86" s="9"/>
      <c r="K86" s="9"/>
      <c r="L86" s="6" t="s">
        <v>106</v>
      </c>
      <c r="M86" s="11">
        <f>INDEX(cenník!$C$2:$I$568,MATCH($L86,cenník!$B$2:$B$557,0),MATCH(M$2,cenník!$C$1:$I$1,0))</f>
        <v>898210</v>
      </c>
      <c r="N86" s="11" t="str">
        <f>INDEX(cenník!$C$2:$I$568,MATCH($L86,cenník!$B$2:$B$557,0),MATCH(N$2,cenník!$C$1:$I$1,0))</f>
        <v>ks</v>
      </c>
      <c r="O86" s="11">
        <f>O84</f>
        <v>0</v>
      </c>
      <c r="P86" s="36">
        <f>INDEX(cenník!$C$2:$I$568,MATCH($L86,cenník!$B$2:$B$557,0),MATCH(P$2,cenník!$C$1:$I$1,0))</f>
        <v>23.01</v>
      </c>
      <c r="Q86" s="36">
        <f t="shared" si="125"/>
        <v>0</v>
      </c>
      <c r="R86" s="37">
        <f t="shared" si="123"/>
        <v>0</v>
      </c>
      <c r="S86" s="36">
        <f t="shared" si="124"/>
        <v>23.01</v>
      </c>
      <c r="T86" s="36">
        <f t="shared" si="126"/>
        <v>0</v>
      </c>
      <c r="U86" s="36">
        <f>INDEX(cenník!$C$2:$I$568,MATCH($L86,cenník!$B$2:$B$557,0),MATCH(U$2,cenník!$C$1:$I$1,0))*O86</f>
        <v>0</v>
      </c>
      <c r="V86" s="72"/>
      <c r="W86" s="72"/>
      <c r="X86" s="72"/>
      <c r="Y86" s="72"/>
      <c r="Z86" s="72"/>
      <c r="AA86" s="72"/>
      <c r="AB86" s="72"/>
      <c r="AC86" s="72"/>
      <c r="AD86" s="72"/>
      <c r="AE86" s="72"/>
      <c r="AF86" s="72"/>
      <c r="AG86" s="72"/>
      <c r="AH86" s="72"/>
      <c r="AI86" s="72"/>
      <c r="AJ86" s="72"/>
      <c r="AK86" s="72"/>
      <c r="AL86" s="72" t="s">
        <v>63</v>
      </c>
      <c r="AM86" s="72">
        <v>0</v>
      </c>
      <c r="AN86" s="72">
        <v>0</v>
      </c>
      <c r="AO86" s="72">
        <v>2</v>
      </c>
      <c r="AP86" s="72">
        <v>0</v>
      </c>
      <c r="AQ86" s="72">
        <v>0</v>
      </c>
      <c r="AR86" s="72">
        <v>0</v>
      </c>
      <c r="AS86" s="72">
        <v>0</v>
      </c>
      <c r="AT86" s="72">
        <v>0</v>
      </c>
      <c r="AU86" s="72">
        <v>0</v>
      </c>
      <c r="AV86" s="72">
        <v>0</v>
      </c>
      <c r="AW86" s="72">
        <v>0</v>
      </c>
      <c r="AX86" s="72">
        <v>0</v>
      </c>
      <c r="AY86" s="72">
        <v>0</v>
      </c>
      <c r="AZ86" s="72">
        <v>0</v>
      </c>
      <c r="BA86" s="72">
        <v>0</v>
      </c>
      <c r="BB86" s="72">
        <v>0</v>
      </c>
      <c r="BC86" s="72">
        <v>0</v>
      </c>
      <c r="BD86" s="72">
        <v>0</v>
      </c>
      <c r="BE86" s="72">
        <v>0</v>
      </c>
      <c r="BF86" s="72">
        <v>0</v>
      </c>
      <c r="BG86" s="72">
        <v>0</v>
      </c>
      <c r="BH86" s="72">
        <v>0</v>
      </c>
      <c r="BI86" s="72">
        <v>0</v>
      </c>
      <c r="BJ86" s="72">
        <v>0</v>
      </c>
      <c r="BK86" s="72">
        <v>0</v>
      </c>
      <c r="BL86" s="72">
        <v>0</v>
      </c>
      <c r="BM86" s="72">
        <v>0</v>
      </c>
      <c r="BN86" s="72">
        <v>0</v>
      </c>
      <c r="BO86" s="72">
        <v>0</v>
      </c>
      <c r="BP86" s="72">
        <v>0</v>
      </c>
      <c r="BQ86" s="72">
        <v>0</v>
      </c>
      <c r="BR86" s="72">
        <v>0</v>
      </c>
      <c r="BS86" s="72">
        <v>0</v>
      </c>
      <c r="BT86" s="72">
        <v>0</v>
      </c>
      <c r="BU86" s="72">
        <v>0</v>
      </c>
      <c r="BV86" s="72">
        <v>0</v>
      </c>
      <c r="BW86" s="72">
        <v>0</v>
      </c>
      <c r="BX86" s="72">
        <v>0</v>
      </c>
      <c r="BY86" s="72">
        <v>0</v>
      </c>
      <c r="BZ86" s="72">
        <v>0</v>
      </c>
      <c r="CA86" s="72">
        <v>0</v>
      </c>
      <c r="CB86" s="72">
        <v>0</v>
      </c>
      <c r="CC86" s="72">
        <v>0</v>
      </c>
      <c r="CD86" s="72">
        <v>0</v>
      </c>
      <c r="CE86" s="72">
        <v>0</v>
      </c>
      <c r="CF86" s="72">
        <v>0</v>
      </c>
      <c r="CG86" s="72">
        <v>0</v>
      </c>
      <c r="CH86" s="72">
        <v>2</v>
      </c>
      <c r="CI86" s="72">
        <v>0</v>
      </c>
      <c r="CJ86" s="72">
        <v>0</v>
      </c>
      <c r="CK86" s="72">
        <v>0</v>
      </c>
      <c r="CL86" s="72"/>
      <c r="CM86" s="72" t="s">
        <v>236</v>
      </c>
      <c r="CN86" s="72">
        <v>0</v>
      </c>
      <c r="CO86" s="72">
        <v>2</v>
      </c>
      <c r="CP86" s="72">
        <v>2</v>
      </c>
      <c r="CQ86" s="72">
        <v>0</v>
      </c>
      <c r="CR86" s="72">
        <v>4</v>
      </c>
      <c r="CS86" s="72">
        <v>2</v>
      </c>
      <c r="CT86" s="72">
        <v>0</v>
      </c>
      <c r="CU86" s="72">
        <v>4</v>
      </c>
      <c r="CV86" s="72">
        <v>2</v>
      </c>
      <c r="CW86" s="72">
        <v>0</v>
      </c>
      <c r="CX86" s="72">
        <v>4</v>
      </c>
      <c r="CY86" s="72">
        <v>2</v>
      </c>
      <c r="CZ86" s="72">
        <v>0</v>
      </c>
      <c r="DA86" s="72">
        <v>4</v>
      </c>
      <c r="DB86" s="72">
        <v>2</v>
      </c>
      <c r="DC86" s="72">
        <v>0</v>
      </c>
      <c r="DD86" s="72">
        <v>4</v>
      </c>
      <c r="DE86" s="72">
        <v>2</v>
      </c>
      <c r="DF86" s="72">
        <v>0</v>
      </c>
      <c r="DG86" s="72">
        <v>4</v>
      </c>
      <c r="DH86" s="72">
        <v>2</v>
      </c>
      <c r="DI86" s="72"/>
      <c r="DJ86" s="72"/>
      <c r="DK86" s="72"/>
      <c r="DL86" s="72"/>
      <c r="DM86" s="72" t="s">
        <v>10</v>
      </c>
      <c r="DN86" s="72">
        <v>0</v>
      </c>
      <c r="DO86" s="72">
        <v>0</v>
      </c>
      <c r="DP86" s="72">
        <v>0</v>
      </c>
      <c r="DQ86" s="72">
        <v>2</v>
      </c>
      <c r="DR86" s="72">
        <v>2</v>
      </c>
      <c r="DS86" s="72">
        <v>2</v>
      </c>
      <c r="DT86" s="72">
        <v>4</v>
      </c>
      <c r="DU86" s="72">
        <v>4</v>
      </c>
      <c r="DV86" s="72">
        <v>4</v>
      </c>
      <c r="DW86" s="72">
        <v>6</v>
      </c>
      <c r="DX86" s="72">
        <v>6</v>
      </c>
      <c r="DY86" s="72">
        <v>6</v>
      </c>
      <c r="DZ86" s="81">
        <v>8</v>
      </c>
      <c r="EA86" s="81">
        <v>8</v>
      </c>
      <c r="EB86" s="81">
        <v>8</v>
      </c>
      <c r="EC86" s="72">
        <v>10</v>
      </c>
      <c r="ED86" s="72">
        <v>10</v>
      </c>
      <c r="EE86" s="72">
        <v>10</v>
      </c>
      <c r="EF86" s="72">
        <v>12</v>
      </c>
      <c r="EG86" s="72">
        <v>12</v>
      </c>
      <c r="EH86" s="72">
        <v>12</v>
      </c>
      <c r="EI86" s="72"/>
      <c r="EJ86" s="72"/>
      <c r="EK86" s="72"/>
      <c r="EL86" s="72"/>
      <c r="EM86" s="72"/>
      <c r="EN86" s="72"/>
      <c r="EO86" s="72"/>
      <c r="EP86" s="72"/>
      <c r="EQ86" s="72"/>
      <c r="ER86" s="72"/>
      <c r="ES86" s="72"/>
      <c r="ET86" s="72"/>
      <c r="EU86" s="72"/>
      <c r="EV86" s="72" t="s">
        <v>10</v>
      </c>
      <c r="EW86" s="72">
        <v>0</v>
      </c>
      <c r="EX86" s="72">
        <v>0</v>
      </c>
      <c r="EY86" s="72">
        <v>0</v>
      </c>
      <c r="EZ86" s="72">
        <v>2</v>
      </c>
      <c r="FA86" s="72">
        <v>2</v>
      </c>
      <c r="FB86" s="72">
        <v>4</v>
      </c>
      <c r="FC86" s="72">
        <v>4</v>
      </c>
      <c r="FD86" s="72">
        <v>6</v>
      </c>
      <c r="FE86" s="72">
        <v>6</v>
      </c>
      <c r="FF86" s="72">
        <v>8</v>
      </c>
      <c r="FG86" s="72">
        <v>8</v>
      </c>
      <c r="FH86" s="72"/>
      <c r="FI86" s="72" t="s">
        <v>102</v>
      </c>
      <c r="FJ86" s="72">
        <v>0</v>
      </c>
      <c r="FK86" s="72">
        <v>0</v>
      </c>
      <c r="FL86" s="72">
        <v>0</v>
      </c>
      <c r="FM86" s="72">
        <v>0</v>
      </c>
      <c r="FN86" s="72">
        <v>0</v>
      </c>
      <c r="FO86" s="72">
        <v>0</v>
      </c>
      <c r="FP86" s="72">
        <v>0</v>
      </c>
      <c r="FQ86" s="72">
        <v>4</v>
      </c>
      <c r="FR86" s="72">
        <v>0</v>
      </c>
      <c r="FS86" s="72">
        <v>4</v>
      </c>
      <c r="FT86" s="72">
        <v>4</v>
      </c>
      <c r="FU86" s="72"/>
      <c r="FV86" s="72"/>
      <c r="FW86" s="72"/>
      <c r="FX86" s="72"/>
      <c r="FY86" s="72"/>
      <c r="FZ86" s="72"/>
      <c r="GB86" s="64">
        <v>0</v>
      </c>
      <c r="GC86" s="64">
        <v>1</v>
      </c>
      <c r="GD86" s="64">
        <v>2</v>
      </c>
      <c r="GE86" s="64">
        <v>3</v>
      </c>
      <c r="GF86" s="64">
        <v>4</v>
      </c>
      <c r="GG86" s="64">
        <v>5</v>
      </c>
      <c r="GH86" s="64">
        <v>6</v>
      </c>
      <c r="GI86" s="64">
        <v>7</v>
      </c>
      <c r="GJ86" s="64">
        <v>8</v>
      </c>
      <c r="GK86" s="64">
        <v>9</v>
      </c>
      <c r="GL86" s="64">
        <v>10</v>
      </c>
      <c r="GM86" s="64">
        <v>11</v>
      </c>
      <c r="GN86" s="64">
        <v>12</v>
      </c>
      <c r="GO86" s="64">
        <v>13</v>
      </c>
      <c r="GP86" s="64">
        <v>14</v>
      </c>
      <c r="GQ86" s="64">
        <v>15</v>
      </c>
      <c r="GR86" s="64">
        <v>16</v>
      </c>
      <c r="GS86" s="64">
        <v>17</v>
      </c>
      <c r="GT86" s="64">
        <v>18</v>
      </c>
      <c r="GU86" s="64">
        <v>19</v>
      </c>
      <c r="GV86" s="64">
        <v>20</v>
      </c>
      <c r="GX86" s="64" t="s">
        <v>232</v>
      </c>
    </row>
    <row r="87" spans="1:274" x14ac:dyDescent="0.25">
      <c r="A87" s="8"/>
      <c r="B87" s="5" t="s">
        <v>61</v>
      </c>
      <c r="C87" s="8"/>
      <c r="D87" s="6" t="s">
        <v>479</v>
      </c>
      <c r="E87" s="8">
        <v>1</v>
      </c>
      <c r="F87" s="43" t="s">
        <v>481</v>
      </c>
      <c r="G87" s="9"/>
      <c r="H87" s="9"/>
      <c r="I87" s="9"/>
      <c r="J87" s="9"/>
      <c r="K87" s="9"/>
      <c r="L87" s="6" t="str">
        <f>INDEX(($Z$89:$AA$99,$AE$89:$AF$99),MATCH(I77,$Y$89:$Y$98,0),MATCH(E79,$Z$88:$AA$88,0),MATCH(E78,$Y$4:$Y$5,0))</f>
        <v>BUFK30</v>
      </c>
      <c r="M87" s="11">
        <f>INDEX(cenník!$C$2:$I$568,MATCH($L87,cenník!$B$2:$B$557,0),MATCH(M$2,cenník!$C$1:$I$1,0))</f>
        <v>897430</v>
      </c>
      <c r="N87" s="11" t="str">
        <f>INDEX(cenník!$C$2:$I$568,MATCH($L87,cenník!$B$2:$B$557,0),MATCH(N$2,cenník!$C$1:$I$1,0))</f>
        <v>ks</v>
      </c>
      <c r="O87" s="11">
        <f>SUM(IF(A76=0,0,IF((A76&gt;0),C76*4)),IF(A77=0,0,IF((A77&gt;0),C77*4)),IF(A78=0,0,IF((A78&gt;0),C78*4)),IF(A79=0,0,IF((A79&gt;0),C79*4)),IF(A80=0,0,IF((A80&gt;0),C80*4)),IF(A81=0,0,IF((A81&gt;0),C81*4)),IF(A82=0,0,IF((A82&gt;0),C82*4)),IF(A83=0,0,IF((A83&gt;0),C83*4)),IF(A84=0,0,IF((A84&gt;0),C84*4)),IF(A85=0,0,IF((A85&gt;0),C85*4)),IF(A86=0,0,IF((A86&gt;0),C86*4)),IF(A87=0,0,IF((A87&gt;0),C87*4)),IF(A88=0,0,IF((A88&gt;0),C88*4)),IF(A89=0,0,IF((A89&gt;0),C89*4)),IF(A90=0,0,IF((A90&gt;0),C90*4)),,IF(A91=0,0,IF((A91&gt;0),C91*4)))</f>
        <v>0</v>
      </c>
      <c r="P87" s="36">
        <f>INDEX(cenník!$C$2:$I$568,MATCH($L87,cenník!$B$2:$B$557,0),MATCH(P$2,cenník!$C$1:$I$1,0))</f>
        <v>1.9</v>
      </c>
      <c r="Q87" s="36">
        <f t="shared" si="125"/>
        <v>0</v>
      </c>
      <c r="R87" s="37">
        <f t="shared" si="123"/>
        <v>0</v>
      </c>
      <c r="S87" s="36">
        <f t="shared" si="124"/>
        <v>1.9</v>
      </c>
      <c r="T87" s="36">
        <f t="shared" si="126"/>
        <v>0</v>
      </c>
      <c r="U87" s="36">
        <f>INDEX(cenník!$C$2:$I$568,MATCH($L87,cenník!$B$2:$B$557,0),MATCH(U$2,cenník!$C$1:$I$1,0))*O87</f>
        <v>0</v>
      </c>
      <c r="V87" s="72"/>
      <c r="W87" s="72"/>
      <c r="X87" s="72"/>
      <c r="Y87" s="72"/>
      <c r="Z87" s="72"/>
      <c r="AA87" s="72"/>
      <c r="AB87" s="72"/>
      <c r="AC87" s="72"/>
      <c r="AD87" s="72"/>
      <c r="AE87" s="72"/>
      <c r="AF87" s="72"/>
      <c r="AG87" s="72"/>
      <c r="AH87" s="72"/>
      <c r="AI87" s="72"/>
      <c r="AJ87" s="72"/>
      <c r="AK87" s="72"/>
      <c r="AL87" s="72" t="s">
        <v>11</v>
      </c>
      <c r="AM87" s="72">
        <v>0</v>
      </c>
      <c r="AN87" s="72">
        <v>0</v>
      </c>
      <c r="AO87" s="72">
        <v>0</v>
      </c>
      <c r="AP87" s="72">
        <v>0</v>
      </c>
      <c r="AQ87" s="72">
        <v>2</v>
      </c>
      <c r="AR87" s="72">
        <v>2</v>
      </c>
      <c r="AS87" s="72">
        <v>0</v>
      </c>
      <c r="AT87" s="72">
        <v>2</v>
      </c>
      <c r="AU87" s="72">
        <v>0</v>
      </c>
      <c r="AV87" s="72">
        <v>0</v>
      </c>
      <c r="AW87" s="72">
        <v>2</v>
      </c>
      <c r="AX87" s="72">
        <v>0</v>
      </c>
      <c r="AY87" s="72">
        <v>0</v>
      </c>
      <c r="AZ87" s="72">
        <v>0</v>
      </c>
      <c r="BA87" s="72">
        <v>4</v>
      </c>
      <c r="BB87" s="72">
        <v>0</v>
      </c>
      <c r="BC87" s="72">
        <v>0</v>
      </c>
      <c r="BD87" s="72">
        <v>0</v>
      </c>
      <c r="BE87" s="72">
        <v>0</v>
      </c>
      <c r="BF87" s="72">
        <v>0</v>
      </c>
      <c r="BG87" s="72">
        <v>0</v>
      </c>
      <c r="BH87" s="72">
        <v>0</v>
      </c>
      <c r="BI87" s="72">
        <v>0</v>
      </c>
      <c r="BJ87" s="72">
        <v>0</v>
      </c>
      <c r="BK87" s="72">
        <v>0</v>
      </c>
      <c r="BL87" s="72">
        <v>0</v>
      </c>
      <c r="BM87" s="72">
        <v>0</v>
      </c>
      <c r="BN87" s="72">
        <v>0</v>
      </c>
      <c r="BO87" s="72">
        <v>0</v>
      </c>
      <c r="BP87" s="72">
        <v>0</v>
      </c>
      <c r="BQ87" s="72">
        <v>0</v>
      </c>
      <c r="BR87" s="72">
        <v>0</v>
      </c>
      <c r="BS87" s="72">
        <v>0</v>
      </c>
      <c r="BT87" s="72">
        <v>0</v>
      </c>
      <c r="BU87" s="72">
        <v>0</v>
      </c>
      <c r="BV87" s="72">
        <v>0</v>
      </c>
      <c r="BW87" s="72">
        <v>0</v>
      </c>
      <c r="BX87" s="72">
        <v>0</v>
      </c>
      <c r="BY87" s="72">
        <v>0</v>
      </c>
      <c r="BZ87" s="72">
        <v>0</v>
      </c>
      <c r="CA87" s="72">
        <v>0</v>
      </c>
      <c r="CB87" s="72">
        <v>0</v>
      </c>
      <c r="CC87" s="72">
        <v>0</v>
      </c>
      <c r="CD87" s="72">
        <v>0</v>
      </c>
      <c r="CE87" s="72">
        <v>0</v>
      </c>
      <c r="CF87" s="72">
        <v>0</v>
      </c>
      <c r="CG87" s="72">
        <v>0</v>
      </c>
      <c r="CH87" s="72">
        <v>0</v>
      </c>
      <c r="CI87" s="72">
        <v>0</v>
      </c>
      <c r="CJ87" s="72">
        <v>0</v>
      </c>
      <c r="CK87" s="72">
        <v>0</v>
      </c>
      <c r="CL87" s="72"/>
      <c r="CM87" s="72" t="s">
        <v>238</v>
      </c>
      <c r="CN87" s="72">
        <v>0</v>
      </c>
      <c r="CO87" s="72">
        <v>0</v>
      </c>
      <c r="CP87" s="72">
        <v>0</v>
      </c>
      <c r="CQ87" s="72">
        <v>2</v>
      </c>
      <c r="CR87" s="72">
        <v>0</v>
      </c>
      <c r="CS87" s="72">
        <v>2</v>
      </c>
      <c r="CT87" s="72">
        <v>4</v>
      </c>
      <c r="CU87" s="72">
        <v>2</v>
      </c>
      <c r="CV87" s="72">
        <v>4</v>
      </c>
      <c r="CW87" s="72">
        <v>6</v>
      </c>
      <c r="CX87" s="72">
        <v>4</v>
      </c>
      <c r="CY87" s="72">
        <v>6</v>
      </c>
      <c r="CZ87" s="72">
        <v>8</v>
      </c>
      <c r="DA87" s="72">
        <v>6</v>
      </c>
      <c r="DB87" s="72">
        <v>8</v>
      </c>
      <c r="DC87" s="72">
        <v>10</v>
      </c>
      <c r="DD87" s="72">
        <v>8</v>
      </c>
      <c r="DE87" s="72">
        <v>10</v>
      </c>
      <c r="DF87" s="72">
        <v>12</v>
      </c>
      <c r="DG87" s="72">
        <v>10</v>
      </c>
      <c r="DH87" s="72">
        <v>12</v>
      </c>
      <c r="DI87" s="72"/>
      <c r="DJ87" s="72"/>
      <c r="DK87" s="72"/>
      <c r="DL87" s="72"/>
      <c r="DM87" s="72"/>
      <c r="DN87" s="72"/>
      <c r="DO87" s="72"/>
      <c r="DP87" s="72"/>
      <c r="DQ87" s="72"/>
      <c r="DR87" s="72"/>
      <c r="DS87" s="72"/>
      <c r="DT87" s="72"/>
      <c r="DU87" s="72"/>
      <c r="DV87" s="72"/>
      <c r="DW87" s="72"/>
      <c r="DX87" s="72"/>
      <c r="DY87" s="72"/>
      <c r="DZ87" s="81"/>
      <c r="EA87" s="81"/>
      <c r="EB87" s="81"/>
      <c r="EC87" s="72"/>
      <c r="ED87" s="72"/>
      <c r="EE87" s="72"/>
      <c r="EF87" s="72"/>
      <c r="EG87" s="72"/>
      <c r="EH87" s="72"/>
      <c r="EI87" s="72"/>
      <c r="EJ87" s="72"/>
      <c r="EK87" s="72"/>
      <c r="EL87" s="72"/>
      <c r="EM87" s="72"/>
      <c r="EN87" s="72"/>
      <c r="EO87" s="72"/>
      <c r="EP87" s="72"/>
      <c r="EQ87" s="72"/>
      <c r="ER87" s="72"/>
      <c r="ES87" s="72"/>
      <c r="ET87" s="72"/>
      <c r="EU87" s="72"/>
      <c r="FH87" s="72"/>
      <c r="FI87" s="72" t="s">
        <v>10</v>
      </c>
      <c r="FJ87" s="72">
        <v>0</v>
      </c>
      <c r="FK87" s="72">
        <v>0</v>
      </c>
      <c r="FL87" s="72">
        <v>2</v>
      </c>
      <c r="FM87" s="72">
        <v>2</v>
      </c>
      <c r="FN87" s="72">
        <v>4</v>
      </c>
      <c r="FO87" s="72">
        <v>4</v>
      </c>
      <c r="FP87" s="72">
        <v>6</v>
      </c>
      <c r="FQ87" s="72">
        <v>6</v>
      </c>
      <c r="FR87" s="72">
        <v>8</v>
      </c>
      <c r="FS87" s="72">
        <v>8</v>
      </c>
      <c r="FT87" s="72">
        <v>10</v>
      </c>
      <c r="FU87" s="72"/>
      <c r="FV87" s="72"/>
      <c r="FW87" s="72"/>
      <c r="FX87" s="72"/>
      <c r="FY87" s="72"/>
      <c r="FZ87" s="72"/>
      <c r="GA87" s="125" t="s">
        <v>411</v>
      </c>
      <c r="GB87" s="64">
        <v>0</v>
      </c>
      <c r="GC87" s="64">
        <v>1</v>
      </c>
      <c r="GD87" s="64">
        <v>1</v>
      </c>
      <c r="GE87" s="64">
        <v>1</v>
      </c>
      <c r="GF87" s="64">
        <v>2</v>
      </c>
      <c r="GG87" s="64">
        <v>3</v>
      </c>
      <c r="GH87" s="64">
        <v>3</v>
      </c>
      <c r="GI87" s="64">
        <v>4</v>
      </c>
      <c r="GJ87" s="64">
        <v>5</v>
      </c>
      <c r="GK87" s="64">
        <v>5</v>
      </c>
      <c r="GL87" s="64">
        <v>6</v>
      </c>
      <c r="GM87" s="64">
        <v>0</v>
      </c>
      <c r="GN87" s="64">
        <v>1</v>
      </c>
      <c r="GO87" s="64">
        <v>2</v>
      </c>
      <c r="GP87" s="64">
        <v>2</v>
      </c>
      <c r="GQ87" s="64">
        <v>3</v>
      </c>
      <c r="GR87" s="64">
        <v>4</v>
      </c>
      <c r="GS87" s="64">
        <v>4</v>
      </c>
      <c r="GT87" s="64">
        <v>5</v>
      </c>
      <c r="GU87" s="64">
        <v>5</v>
      </c>
      <c r="GV87" s="64">
        <v>0</v>
      </c>
      <c r="GY87" s="64">
        <v>0</v>
      </c>
      <c r="GZ87" s="64">
        <v>1</v>
      </c>
      <c r="HA87" s="64">
        <v>2</v>
      </c>
      <c r="HB87" s="64">
        <v>3</v>
      </c>
      <c r="HC87" s="64">
        <v>4</v>
      </c>
      <c r="HD87" s="64">
        <v>5</v>
      </c>
      <c r="HE87" s="64">
        <v>6</v>
      </c>
      <c r="HF87" s="64">
        <v>7</v>
      </c>
      <c r="HG87" s="64">
        <v>8</v>
      </c>
      <c r="HH87" s="64">
        <v>9</v>
      </c>
      <c r="HI87" s="64">
        <v>10</v>
      </c>
      <c r="HJ87" s="64">
        <v>11</v>
      </c>
      <c r="HK87" s="64">
        <v>12</v>
      </c>
      <c r="HL87" s="64">
        <v>13</v>
      </c>
      <c r="HM87" s="64">
        <v>14</v>
      </c>
      <c r="HN87" s="64">
        <v>15</v>
      </c>
      <c r="HO87" s="64">
        <v>16</v>
      </c>
      <c r="HP87" s="64">
        <v>17</v>
      </c>
      <c r="HQ87" s="64">
        <v>18</v>
      </c>
      <c r="HR87" s="64">
        <v>19</v>
      </c>
      <c r="HS87" s="64">
        <v>20</v>
      </c>
      <c r="HV87" s="83" t="s">
        <v>351</v>
      </c>
      <c r="IS87" s="64" t="s">
        <v>351</v>
      </c>
    </row>
    <row r="88" spans="1:274" x14ac:dyDescent="0.25">
      <c r="A88" s="8"/>
      <c r="B88" s="5" t="s">
        <v>61</v>
      </c>
      <c r="C88" s="8"/>
      <c r="D88" s="44" t="s">
        <v>573</v>
      </c>
      <c r="E88" s="34"/>
      <c r="F88" s="33"/>
      <c r="G88" s="33"/>
      <c r="H88" s="9"/>
      <c r="I88" s="9"/>
      <c r="J88" s="9"/>
      <c r="K88" s="9"/>
      <c r="L88" s="6" t="str">
        <f>INDEX(($Z$99:$AA$99,$AE$99:$AF$99),1,MATCH(E79,$Z$88:$AA$88,0),MATCH(E78,$Y$4:$Y$5,0))</f>
        <v>PUFK</v>
      </c>
      <c r="M88" s="11">
        <f>INDEX(cenník!$C$2:$I$568,MATCH($L88,cenník!$B$2:$B$557,0),MATCH(M$2,cenník!$C$1:$I$1,0))</f>
        <v>890300</v>
      </c>
      <c r="N88" s="11" t="str">
        <f>INDEX(cenník!$C$2:$I$568,MATCH($L88,cenník!$B$2:$B$557,0),MATCH(N$2,cenník!$C$1:$I$1,0))</f>
        <v>ks</v>
      </c>
      <c r="O88" s="11">
        <f>SUM(IF(A76=0,0,IF(A76&gt;0,(A76-1)*2*C76)),IF(A77=0,0,IF(A77&gt;0,(A77-1)*2*C77)),IF(A78=0,0,IF(A78&gt;0,(A78-1)*2*C78)),IF(A79=0,0,IF(A79&gt;0,(A79-1)*2*C79)),IF(A80=0,0,IF(A80&gt;0,(A80-1)*2*C80)),IF(A81=0,0,IF(A81&gt;0,(A81-1)*2*C81)),IF(A82=0,0,IF(A82&gt;0,(A82-1)*2*C82)),IF(A83=0,0,IF(A83&gt;0,(A83-1)*2*C83)),IF(A84=0,0,IF(A84&gt;0,(A84-1)*2*C84)),IF(A85=0,0,IF(A85&gt;0,(A85-1)*2*C85)),IF(A86=0,0,IF(A86&gt;0,(A86-1)*2*C86)),IF(A87=0,0,IF(A87&gt;0,(A87-1)*2*C87)),IF(A88=0,0,IF(A88&gt;0,(A88-1)*2*C88)),IF(A89=0,0,IF(A89&gt;0,(A89-1)*2*C89)),IF(A90=0,0,IF(A90&gt;0,(A90-1)*2*C90)),IF(A91=0,0,IF(A91&gt;0,(A91-1)*2*C91)))</f>
        <v>0</v>
      </c>
      <c r="P88" s="36">
        <f>INDEX(cenník!$C$2:$I$568,MATCH($L88,cenník!$B$2:$B$557,0),MATCH(P$2,cenník!$C$1:$I$1,0))</f>
        <v>2.08</v>
      </c>
      <c r="Q88" s="36">
        <f t="shared" si="125"/>
        <v>0</v>
      </c>
      <c r="R88" s="37">
        <f t="shared" si="123"/>
        <v>0</v>
      </c>
      <c r="S88" s="36">
        <f t="shared" si="124"/>
        <v>2.08</v>
      </c>
      <c r="T88" s="36">
        <f t="shared" si="126"/>
        <v>0</v>
      </c>
      <c r="U88" s="36">
        <f>INDEX(cenník!$C$2:$I$568,MATCH($L88,cenník!$B$2:$B$557,0),MATCH(U$2,cenník!$C$1:$I$1,0))*O88</f>
        <v>0</v>
      </c>
      <c r="V88" s="72"/>
      <c r="W88" s="72"/>
      <c r="X88" s="72"/>
      <c r="Y88" s="72" t="s">
        <v>464</v>
      </c>
      <c r="Z88" s="72" t="s">
        <v>466</v>
      </c>
      <c r="AA88" s="72" t="s">
        <v>467</v>
      </c>
      <c r="AB88" s="82"/>
      <c r="AC88" s="82"/>
      <c r="AD88" s="72" t="s">
        <v>465</v>
      </c>
      <c r="AE88" s="72" t="s">
        <v>466</v>
      </c>
      <c r="AF88" s="72" t="s">
        <v>467</v>
      </c>
      <c r="AG88" s="82"/>
      <c r="AH88" s="82"/>
      <c r="AI88" s="72"/>
      <c r="AJ88" s="72"/>
      <c r="AK88" s="72"/>
      <c r="AL88" s="72" t="s">
        <v>64</v>
      </c>
      <c r="AM88" s="72">
        <v>0</v>
      </c>
      <c r="AN88" s="72">
        <v>2</v>
      </c>
      <c r="AO88" s="72">
        <v>0</v>
      </c>
      <c r="AP88" s="72">
        <v>0</v>
      </c>
      <c r="AQ88" s="72">
        <v>0</v>
      </c>
      <c r="AR88" s="72">
        <v>2</v>
      </c>
      <c r="AS88" s="72">
        <v>0</v>
      </c>
      <c r="AT88" s="72">
        <v>0</v>
      </c>
      <c r="AU88" s="72">
        <v>4</v>
      </c>
      <c r="AV88" s="72">
        <v>0</v>
      </c>
      <c r="AW88" s="72">
        <v>0</v>
      </c>
      <c r="AX88" s="72">
        <v>4</v>
      </c>
      <c r="AY88" s="72">
        <v>0</v>
      </c>
      <c r="AZ88" s="72">
        <v>2</v>
      </c>
      <c r="BA88" s="72">
        <v>0</v>
      </c>
      <c r="BB88" s="72">
        <v>0</v>
      </c>
      <c r="BC88" s="72">
        <v>2</v>
      </c>
      <c r="BD88" s="72">
        <v>0</v>
      </c>
      <c r="BE88" s="72">
        <v>0</v>
      </c>
      <c r="BF88" s="72">
        <v>2</v>
      </c>
      <c r="BG88" s="72">
        <v>0</v>
      </c>
      <c r="BH88" s="72">
        <v>0</v>
      </c>
      <c r="BI88" s="72">
        <v>4</v>
      </c>
      <c r="BJ88" s="72">
        <v>0</v>
      </c>
      <c r="BK88" s="72">
        <v>0</v>
      </c>
      <c r="BL88" s="72">
        <v>0</v>
      </c>
      <c r="BM88" s="72">
        <v>0</v>
      </c>
      <c r="BN88" s="72">
        <v>2</v>
      </c>
      <c r="BO88" s="72">
        <v>0</v>
      </c>
      <c r="BP88" s="72">
        <v>0</v>
      </c>
      <c r="BQ88" s="72">
        <v>2</v>
      </c>
      <c r="BR88" s="72">
        <v>0</v>
      </c>
      <c r="BS88" s="72">
        <v>2</v>
      </c>
      <c r="BT88" s="72">
        <v>0</v>
      </c>
      <c r="BU88" s="72">
        <v>0</v>
      </c>
      <c r="BV88" s="72">
        <v>0</v>
      </c>
      <c r="BW88" s="72">
        <v>0</v>
      </c>
      <c r="BX88" s="72">
        <v>0</v>
      </c>
      <c r="BY88" s="72">
        <v>2</v>
      </c>
      <c r="BZ88" s="72">
        <v>0</v>
      </c>
      <c r="CA88" s="72">
        <v>0</v>
      </c>
      <c r="CB88" s="72">
        <v>2</v>
      </c>
      <c r="CC88" s="72">
        <v>0</v>
      </c>
      <c r="CD88" s="72">
        <v>0</v>
      </c>
      <c r="CE88" s="72">
        <v>0</v>
      </c>
      <c r="CF88" s="72">
        <v>0</v>
      </c>
      <c r="CG88" s="72">
        <v>0</v>
      </c>
      <c r="CH88" s="72">
        <v>0</v>
      </c>
      <c r="CI88" s="72">
        <v>0</v>
      </c>
      <c r="CJ88" s="72">
        <v>0</v>
      </c>
      <c r="CK88" s="72">
        <v>0</v>
      </c>
      <c r="CL88" s="72"/>
      <c r="CM88" s="72" t="s">
        <v>239</v>
      </c>
      <c r="CN88" s="72">
        <v>0</v>
      </c>
      <c r="CO88" s="72">
        <v>0</v>
      </c>
      <c r="CP88" s="72">
        <v>0</v>
      </c>
      <c r="CQ88" s="72">
        <v>0</v>
      </c>
      <c r="CR88" s="72">
        <v>4</v>
      </c>
      <c r="CS88" s="72">
        <v>4</v>
      </c>
      <c r="CT88" s="72">
        <v>4</v>
      </c>
      <c r="CU88" s="72">
        <v>8</v>
      </c>
      <c r="CV88" s="72">
        <v>8</v>
      </c>
      <c r="CW88" s="72">
        <v>8</v>
      </c>
      <c r="CX88" s="72">
        <v>12</v>
      </c>
      <c r="CY88" s="72">
        <v>12</v>
      </c>
      <c r="CZ88" s="72">
        <v>12</v>
      </c>
      <c r="DA88" s="72">
        <v>16</v>
      </c>
      <c r="DB88" s="72">
        <v>16</v>
      </c>
      <c r="DC88" s="72">
        <v>16</v>
      </c>
      <c r="DD88" s="72">
        <v>20</v>
      </c>
      <c r="DE88" s="72">
        <v>20</v>
      </c>
      <c r="DF88" s="72">
        <v>20</v>
      </c>
      <c r="DG88" s="72">
        <v>24</v>
      </c>
      <c r="DH88" s="72">
        <v>24</v>
      </c>
      <c r="DI88" s="72"/>
      <c r="DJ88" s="72"/>
      <c r="DK88" s="72"/>
      <c r="DL88" s="72"/>
      <c r="DM88" s="72"/>
      <c r="DN88" s="72"/>
      <c r="DO88" s="72"/>
      <c r="DP88" s="72"/>
      <c r="DQ88" s="72"/>
      <c r="DR88" s="72"/>
      <c r="DS88" s="72"/>
      <c r="DT88" s="72"/>
      <c r="DU88" s="72"/>
      <c r="DV88" s="72"/>
      <c r="DW88" s="72"/>
      <c r="DX88" s="72"/>
      <c r="DY88" s="72"/>
      <c r="DZ88" s="81"/>
      <c r="EA88" s="81"/>
      <c r="EB88" s="81"/>
      <c r="EC88" s="72"/>
      <c r="ED88" s="72"/>
      <c r="EE88" s="72"/>
      <c r="EF88" s="72"/>
      <c r="EG88" s="72"/>
      <c r="EH88" s="72"/>
      <c r="EI88" s="72"/>
      <c r="EJ88" s="72"/>
      <c r="EK88" s="72"/>
      <c r="EL88" s="72"/>
      <c r="EM88" s="72"/>
      <c r="EN88" s="72"/>
      <c r="EO88" s="72"/>
      <c r="EP88" s="72"/>
      <c r="EQ88" s="72"/>
      <c r="ER88" s="72"/>
      <c r="ES88" s="72"/>
      <c r="ET88" s="72"/>
      <c r="EU88" s="72"/>
      <c r="EV88" s="72" t="s">
        <v>195</v>
      </c>
      <c r="EW88" s="72"/>
      <c r="EX88" s="72"/>
      <c r="EY88" s="72"/>
      <c r="EZ88" s="72"/>
      <c r="FA88" s="72"/>
      <c r="FB88" s="72"/>
      <c r="FC88" s="72"/>
      <c r="FD88" s="72"/>
      <c r="FE88" s="72"/>
      <c r="FF88" s="72"/>
      <c r="FG88" s="72"/>
      <c r="FH88" s="72"/>
      <c r="FU88" s="72"/>
      <c r="FV88" s="72"/>
      <c r="FW88" s="72"/>
      <c r="FX88" s="72"/>
      <c r="FY88" s="72"/>
      <c r="FZ88" s="72"/>
      <c r="GA88" s="125" t="s">
        <v>412</v>
      </c>
      <c r="GB88" s="64">
        <v>0</v>
      </c>
      <c r="GC88" s="64">
        <v>0</v>
      </c>
      <c r="GD88" s="64">
        <v>1</v>
      </c>
      <c r="GE88" s="64">
        <v>2</v>
      </c>
      <c r="GF88" s="64">
        <v>2</v>
      </c>
      <c r="GG88" s="64">
        <v>2</v>
      </c>
      <c r="GH88" s="64">
        <v>3</v>
      </c>
      <c r="GI88" s="64">
        <v>3</v>
      </c>
      <c r="GJ88" s="64">
        <v>3</v>
      </c>
      <c r="GK88" s="64">
        <v>4</v>
      </c>
      <c r="GL88" s="64">
        <v>4</v>
      </c>
      <c r="GM88" s="64">
        <v>10</v>
      </c>
      <c r="GN88" s="64">
        <v>10</v>
      </c>
      <c r="GO88" s="64">
        <v>10</v>
      </c>
      <c r="GP88" s="64">
        <v>11</v>
      </c>
      <c r="GQ88" s="64">
        <v>11</v>
      </c>
      <c r="GR88" s="64">
        <v>11</v>
      </c>
      <c r="GS88" s="64">
        <v>12</v>
      </c>
      <c r="GT88" s="64">
        <v>12</v>
      </c>
      <c r="GU88" s="64">
        <v>13</v>
      </c>
      <c r="GV88" s="64">
        <v>18</v>
      </c>
      <c r="GX88" s="125" t="s">
        <v>411</v>
      </c>
      <c r="GY88" s="64">
        <v>0</v>
      </c>
      <c r="GZ88" s="64">
        <v>0</v>
      </c>
      <c r="HA88" s="64">
        <v>3</v>
      </c>
      <c r="HB88" s="64">
        <v>2</v>
      </c>
      <c r="HC88" s="64">
        <v>1</v>
      </c>
      <c r="HD88" s="64">
        <v>0</v>
      </c>
      <c r="HE88" s="64">
        <v>5</v>
      </c>
      <c r="HF88" s="64">
        <v>4</v>
      </c>
      <c r="HG88" s="64">
        <v>3</v>
      </c>
      <c r="HH88" s="64">
        <v>2</v>
      </c>
      <c r="HI88" s="64">
        <v>1</v>
      </c>
      <c r="HJ88" s="64">
        <v>0</v>
      </c>
      <c r="HK88" s="64">
        <v>4</v>
      </c>
      <c r="HL88" s="64">
        <v>3</v>
      </c>
      <c r="HM88" s="64">
        <v>2</v>
      </c>
      <c r="HN88" s="64">
        <v>1</v>
      </c>
      <c r="HO88" s="64">
        <v>0</v>
      </c>
      <c r="HP88" s="64">
        <v>5</v>
      </c>
      <c r="HQ88" s="64">
        <v>4</v>
      </c>
      <c r="HR88" s="64">
        <v>2</v>
      </c>
      <c r="HS88" s="64">
        <v>1</v>
      </c>
      <c r="HW88" s="64">
        <v>0</v>
      </c>
      <c r="HX88" s="64">
        <v>1</v>
      </c>
      <c r="HY88" s="64">
        <v>2</v>
      </c>
      <c r="HZ88" s="64">
        <v>3</v>
      </c>
      <c r="IA88" s="64">
        <v>4</v>
      </c>
      <c r="IB88" s="64">
        <v>5</v>
      </c>
      <c r="IC88" s="64">
        <v>6</v>
      </c>
      <c r="ID88" s="64">
        <v>7</v>
      </c>
      <c r="IE88" s="64">
        <v>8</v>
      </c>
      <c r="IF88" s="64">
        <v>9</v>
      </c>
      <c r="IG88" s="64">
        <v>10</v>
      </c>
      <c r="IH88" s="64">
        <v>11</v>
      </c>
      <c r="II88" s="64">
        <v>12</v>
      </c>
      <c r="IJ88" s="64">
        <v>13</v>
      </c>
      <c r="IK88" s="64">
        <v>14</v>
      </c>
      <c r="IL88" s="64">
        <v>15</v>
      </c>
      <c r="IM88" s="64">
        <v>16</v>
      </c>
      <c r="IN88" s="64">
        <v>17</v>
      </c>
      <c r="IO88" s="64">
        <v>18</v>
      </c>
      <c r="IP88" s="64">
        <v>19</v>
      </c>
      <c r="IQ88" s="64">
        <v>20</v>
      </c>
      <c r="IT88" s="64">
        <f t="shared" si="101"/>
        <v>0</v>
      </c>
      <c r="IU88" s="64">
        <f t="shared" si="102"/>
        <v>2</v>
      </c>
      <c r="IV88" s="64">
        <f t="shared" si="103"/>
        <v>4</v>
      </c>
      <c r="IW88" s="64">
        <f t="shared" si="104"/>
        <v>6</v>
      </c>
      <c r="IX88" s="64">
        <f t="shared" si="105"/>
        <v>8</v>
      </c>
      <c r="IY88" s="64">
        <f t="shared" si="106"/>
        <v>10</v>
      </c>
      <c r="IZ88" s="64">
        <f t="shared" si="107"/>
        <v>12</v>
      </c>
      <c r="JA88" s="64">
        <f t="shared" si="108"/>
        <v>14</v>
      </c>
      <c r="JB88" s="64">
        <f t="shared" si="98"/>
        <v>16</v>
      </c>
      <c r="JC88" s="64">
        <f t="shared" si="109"/>
        <v>18</v>
      </c>
      <c r="JD88" s="64">
        <f t="shared" si="110"/>
        <v>20</v>
      </c>
      <c r="JE88" s="64">
        <f t="shared" si="111"/>
        <v>22</v>
      </c>
      <c r="JF88" s="64">
        <f t="shared" si="112"/>
        <v>24</v>
      </c>
      <c r="JG88" s="64">
        <f t="shared" si="113"/>
        <v>26</v>
      </c>
      <c r="JH88" s="64">
        <f t="shared" si="114"/>
        <v>28</v>
      </c>
      <c r="JI88" s="64">
        <f t="shared" si="115"/>
        <v>30</v>
      </c>
      <c r="JJ88" s="64">
        <f t="shared" si="116"/>
        <v>32</v>
      </c>
      <c r="JK88" s="64">
        <f t="shared" si="117"/>
        <v>34</v>
      </c>
      <c r="JL88" s="64">
        <f t="shared" si="118"/>
        <v>36</v>
      </c>
      <c r="JM88" s="64">
        <f t="shared" si="119"/>
        <v>38</v>
      </c>
      <c r="JN88" s="64">
        <f t="shared" si="120"/>
        <v>40</v>
      </c>
    </row>
    <row r="89" spans="1:274" x14ac:dyDescent="0.25">
      <c r="A89" s="8"/>
      <c r="B89" s="5" t="s">
        <v>61</v>
      </c>
      <c r="C89" s="8"/>
      <c r="D89" s="44" t="s">
        <v>520</v>
      </c>
      <c r="E89" s="9"/>
      <c r="F89" s="9"/>
      <c r="G89" s="9"/>
      <c r="H89" s="9"/>
      <c r="I89" s="9"/>
      <c r="J89" s="9"/>
      <c r="K89" s="9"/>
      <c r="L89" s="6" t="str">
        <f>INDEX(($AB$89:$AB$98,$AG$89:$AG$98),MATCH(I77,$Y$89:$Y$98,0),1,MATCH(E78,$Y$4:$Y$5,0))</f>
        <v>SAM8X25E</v>
      </c>
      <c r="M89" s="11">
        <f>INDEX(cenník!$C$2:$I$568,MATCH($L89,cenník!$B$2:$B$557,0),MATCH(M$2,cenník!$C$1:$I$1,0))</f>
        <v>898525</v>
      </c>
      <c r="N89" s="11" t="str">
        <f>INDEX(cenník!$C$2:$I$568,MATCH($L89,cenník!$B$2:$B$557,0),MATCH(N$2,cenník!$C$1:$I$1,0))</f>
        <v>ks</v>
      </c>
      <c r="O89" s="11">
        <f>IF(AF84="suma",SUM(O87:O88),IF(AF84="tylko buf",O87,IF(AF84=0,0,0)))</f>
        <v>0</v>
      </c>
      <c r="P89" s="36">
        <f>INDEX(cenník!$C$2:$I$568,MATCH($L89,cenník!$B$2:$B$557,0),MATCH(P$2,cenník!$C$1:$I$1,0))</f>
        <v>0.16</v>
      </c>
      <c r="Q89" s="36">
        <f t="shared" si="125"/>
        <v>0</v>
      </c>
      <c r="R89" s="37">
        <f t="shared" si="123"/>
        <v>0</v>
      </c>
      <c r="S89" s="36">
        <f t="shared" si="124"/>
        <v>0.16</v>
      </c>
      <c r="T89" s="36">
        <f t="shared" si="126"/>
        <v>0</v>
      </c>
      <c r="U89" s="36">
        <f>INDEX(cenník!$C$2:$I$568,MATCH($L89,cenník!$B$2:$B$557,0),MATCH(U$2,cenník!$C$1:$I$1,0))*O89</f>
        <v>0</v>
      </c>
      <c r="V89" s="72"/>
      <c r="W89" s="72"/>
      <c r="X89" s="72"/>
      <c r="Y89" s="88">
        <v>30</v>
      </c>
      <c r="Z89" s="72" t="s">
        <v>200</v>
      </c>
      <c r="AA89" s="72" t="s">
        <v>201</v>
      </c>
      <c r="AB89" s="72" t="s">
        <v>202</v>
      </c>
      <c r="AC89" s="72" t="s">
        <v>45</v>
      </c>
      <c r="AD89" s="72">
        <v>30</v>
      </c>
      <c r="AE89" s="72" t="s">
        <v>983</v>
      </c>
      <c r="AF89" s="72" t="s">
        <v>984</v>
      </c>
      <c r="AG89" s="86" t="s">
        <v>202</v>
      </c>
      <c r="AH89" s="86" t="s">
        <v>45</v>
      </c>
      <c r="AI89" s="72" t="s">
        <v>13</v>
      </c>
      <c r="AJ89" s="72"/>
      <c r="AK89" s="72"/>
      <c r="AL89" s="72" t="s">
        <v>14</v>
      </c>
      <c r="AM89" s="72">
        <v>0</v>
      </c>
      <c r="AN89" s="72">
        <v>0</v>
      </c>
      <c r="AO89" s="72">
        <v>2</v>
      </c>
      <c r="AP89" s="72">
        <v>2</v>
      </c>
      <c r="AQ89" s="72">
        <v>2</v>
      </c>
      <c r="AR89" s="72">
        <v>2</v>
      </c>
      <c r="AS89" s="72">
        <v>4</v>
      </c>
      <c r="AT89" s="72">
        <v>4</v>
      </c>
      <c r="AU89" s="72">
        <v>6</v>
      </c>
      <c r="AV89" s="72">
        <v>8</v>
      </c>
      <c r="AW89" s="72">
        <v>6</v>
      </c>
      <c r="AX89" s="72">
        <v>8</v>
      </c>
      <c r="AY89" s="72">
        <v>12</v>
      </c>
      <c r="AZ89" s="72">
        <v>10</v>
      </c>
      <c r="BA89" s="72">
        <v>8</v>
      </c>
      <c r="BB89" s="72">
        <v>12</v>
      </c>
      <c r="BC89" s="72">
        <v>12</v>
      </c>
      <c r="BD89" s="72">
        <v>0</v>
      </c>
      <c r="BE89" s="72">
        <v>14</v>
      </c>
      <c r="BF89" s="72">
        <v>14</v>
      </c>
      <c r="BG89" s="72">
        <v>2</v>
      </c>
      <c r="BH89" s="72">
        <v>16</v>
      </c>
      <c r="BI89" s="72">
        <v>8</v>
      </c>
      <c r="BJ89" s="72">
        <v>4</v>
      </c>
      <c r="BK89" s="72">
        <v>18</v>
      </c>
      <c r="BL89" s="72">
        <v>34</v>
      </c>
      <c r="BM89" s="72">
        <v>6</v>
      </c>
      <c r="BN89" s="72">
        <v>6</v>
      </c>
      <c r="BO89" s="72">
        <v>36</v>
      </c>
      <c r="BP89" s="72">
        <v>8</v>
      </c>
      <c r="BQ89" s="72">
        <v>8</v>
      </c>
      <c r="BR89" s="72">
        <v>0</v>
      </c>
      <c r="BS89" s="72">
        <v>4</v>
      </c>
      <c r="BT89" s="72">
        <v>26</v>
      </c>
      <c r="BU89" s="72">
        <v>0</v>
      </c>
      <c r="BV89" s="72">
        <v>12</v>
      </c>
      <c r="BW89" s="72">
        <v>28</v>
      </c>
      <c r="BX89" s="72">
        <v>0</v>
      </c>
      <c r="BY89" s="72">
        <v>0</v>
      </c>
      <c r="BZ89" s="72">
        <v>30</v>
      </c>
      <c r="CA89" s="72">
        <v>2</v>
      </c>
      <c r="CB89" s="72">
        <v>2</v>
      </c>
      <c r="CC89" s="72">
        <v>0</v>
      </c>
      <c r="CD89" s="72">
        <v>4</v>
      </c>
      <c r="CE89" s="72">
        <v>20</v>
      </c>
      <c r="CF89" s="72">
        <v>0</v>
      </c>
      <c r="CG89" s="72">
        <v>6</v>
      </c>
      <c r="CH89" s="72">
        <v>6</v>
      </c>
      <c r="CI89" s="72">
        <v>0</v>
      </c>
      <c r="CJ89" s="72">
        <v>10</v>
      </c>
      <c r="CK89" s="72">
        <v>24</v>
      </c>
      <c r="CL89" s="72"/>
      <c r="CM89" s="72"/>
      <c r="CN89" s="72"/>
      <c r="CO89" s="72"/>
      <c r="CP89" s="72"/>
      <c r="CQ89" s="72"/>
      <c r="CR89" s="72"/>
      <c r="CS89" s="72"/>
      <c r="CT89" s="72"/>
      <c r="CU89" s="72"/>
      <c r="CV89" s="72"/>
      <c r="CW89" s="72"/>
      <c r="CX89" s="72"/>
      <c r="CY89" s="72"/>
      <c r="CZ89" s="72"/>
      <c r="DA89" s="72"/>
      <c r="DB89" s="72"/>
      <c r="DC89" s="72"/>
      <c r="DD89" s="72"/>
      <c r="DE89" s="72"/>
      <c r="DF89" s="72"/>
      <c r="DG89" s="72"/>
      <c r="DH89" s="72"/>
      <c r="DI89" s="72"/>
      <c r="DJ89" s="72"/>
      <c r="DK89" s="72"/>
      <c r="DL89" s="72"/>
      <c r="DM89" s="72"/>
      <c r="DN89" s="72"/>
      <c r="DO89" s="72"/>
      <c r="DP89" s="72"/>
      <c r="DQ89" s="72"/>
      <c r="DR89" s="72"/>
      <c r="DS89" s="72"/>
      <c r="DT89" s="72"/>
      <c r="DU89" s="72"/>
      <c r="DV89" s="72"/>
      <c r="DW89" s="72"/>
      <c r="DX89" s="72"/>
      <c r="DY89" s="72"/>
      <c r="DZ89" s="81"/>
      <c r="EA89" s="81"/>
      <c r="EB89" s="81"/>
      <c r="EC89" s="72"/>
      <c r="ED89" s="72"/>
      <c r="EE89" s="72"/>
      <c r="EF89" s="72"/>
      <c r="EG89" s="72"/>
      <c r="EH89" s="72"/>
      <c r="EI89" s="72"/>
      <c r="EJ89" s="72"/>
      <c r="EK89" s="72"/>
      <c r="EL89" s="72"/>
      <c r="EM89" s="72"/>
      <c r="EN89" s="72"/>
      <c r="EO89" s="72"/>
      <c r="EP89" s="72"/>
      <c r="EQ89" s="72"/>
      <c r="ER89" s="72"/>
      <c r="ES89" s="72"/>
      <c r="ET89" s="72"/>
      <c r="EU89" s="72"/>
      <c r="EV89" s="72"/>
      <c r="EW89" s="72">
        <v>0</v>
      </c>
      <c r="EX89" s="72">
        <v>1</v>
      </c>
      <c r="EY89" s="72">
        <v>2</v>
      </c>
      <c r="EZ89" s="72">
        <v>3</v>
      </c>
      <c r="FA89" s="72">
        <v>4</v>
      </c>
      <c r="FB89" s="72">
        <v>5</v>
      </c>
      <c r="FC89" s="72">
        <v>6</v>
      </c>
      <c r="FD89" s="72">
        <v>7</v>
      </c>
      <c r="FE89" s="72">
        <v>8</v>
      </c>
      <c r="FF89" s="72">
        <v>9</v>
      </c>
      <c r="FG89" s="72">
        <v>10</v>
      </c>
      <c r="FH89" s="72"/>
      <c r="FI89" s="72" t="s">
        <v>58</v>
      </c>
      <c r="FJ89" s="72"/>
      <c r="FK89" s="72"/>
      <c r="FL89" s="72"/>
      <c r="FM89" s="72"/>
      <c r="FN89" s="72"/>
      <c r="FO89" s="72"/>
      <c r="FP89" s="72"/>
      <c r="FQ89" s="72"/>
      <c r="FR89" s="72"/>
      <c r="FS89" s="72"/>
      <c r="FT89" s="72"/>
      <c r="FU89" s="72"/>
      <c r="FV89" s="72"/>
      <c r="FW89" s="72"/>
      <c r="FX89" s="72"/>
      <c r="FY89" s="72"/>
      <c r="FZ89" s="72"/>
      <c r="GA89" s="125" t="s">
        <v>413</v>
      </c>
      <c r="GB89" s="64">
        <v>0</v>
      </c>
      <c r="GC89" s="64">
        <v>0</v>
      </c>
      <c r="GD89" s="64">
        <v>0</v>
      </c>
      <c r="GE89" s="64">
        <v>0</v>
      </c>
      <c r="GF89" s="64">
        <v>0</v>
      </c>
      <c r="GG89" s="64">
        <v>0</v>
      </c>
      <c r="GH89" s="64">
        <v>0</v>
      </c>
      <c r="GI89" s="64">
        <v>0</v>
      </c>
      <c r="GJ89" s="64">
        <v>0</v>
      </c>
      <c r="GK89" s="64">
        <v>0</v>
      </c>
      <c r="GL89" s="64">
        <v>0</v>
      </c>
      <c r="GM89" s="64">
        <v>0</v>
      </c>
      <c r="GN89" s="64">
        <v>0</v>
      </c>
      <c r="GO89" s="64">
        <v>0</v>
      </c>
      <c r="GP89" s="64">
        <v>0</v>
      </c>
      <c r="GQ89" s="64">
        <v>0</v>
      </c>
      <c r="GR89" s="64">
        <v>0</v>
      </c>
      <c r="GS89" s="64">
        <v>0</v>
      </c>
      <c r="GT89" s="64">
        <v>0</v>
      </c>
      <c r="GU89" s="64">
        <v>0</v>
      </c>
      <c r="GV89" s="64">
        <v>0</v>
      </c>
      <c r="GX89" s="125" t="s">
        <v>412</v>
      </c>
      <c r="GY89" s="64">
        <v>0</v>
      </c>
      <c r="GZ89" s="64">
        <v>0</v>
      </c>
      <c r="HA89" s="64">
        <v>0</v>
      </c>
      <c r="HB89" s="64">
        <v>2</v>
      </c>
      <c r="HC89" s="64">
        <v>4</v>
      </c>
      <c r="HD89" s="64">
        <v>6</v>
      </c>
      <c r="HE89" s="64">
        <v>3</v>
      </c>
      <c r="HF89" s="64">
        <v>5</v>
      </c>
      <c r="HG89" s="64">
        <v>7</v>
      </c>
      <c r="HH89" s="64">
        <v>9</v>
      </c>
      <c r="HI89" s="64">
        <v>11</v>
      </c>
      <c r="HJ89" s="64">
        <v>13</v>
      </c>
      <c r="HK89" s="64">
        <v>11</v>
      </c>
      <c r="HL89" s="64">
        <v>13</v>
      </c>
      <c r="HM89" s="64">
        <v>15</v>
      </c>
      <c r="HN89" s="64">
        <v>17</v>
      </c>
      <c r="HO89" s="64">
        <v>19</v>
      </c>
      <c r="HP89" s="64">
        <v>16</v>
      </c>
      <c r="HQ89" s="64">
        <v>18</v>
      </c>
      <c r="HR89" s="64">
        <v>21</v>
      </c>
      <c r="HS89" s="64">
        <v>23</v>
      </c>
      <c r="HV89" s="64" t="s">
        <v>380</v>
      </c>
      <c r="HW89" s="64">
        <v>0</v>
      </c>
      <c r="HX89" s="64">
        <v>2</v>
      </c>
      <c r="HY89" s="64">
        <v>4</v>
      </c>
      <c r="HZ89" s="64">
        <v>0</v>
      </c>
      <c r="IA89" s="64">
        <v>0</v>
      </c>
      <c r="IB89" s="64">
        <v>2</v>
      </c>
      <c r="IC89" s="64">
        <v>4</v>
      </c>
      <c r="ID89" s="64">
        <v>0</v>
      </c>
      <c r="IE89" s="64">
        <v>2</v>
      </c>
      <c r="IF89" s="64">
        <v>4</v>
      </c>
      <c r="IG89" s="64">
        <v>4</v>
      </c>
      <c r="IH89" s="64">
        <v>0</v>
      </c>
      <c r="II89" s="64">
        <v>2</v>
      </c>
      <c r="IJ89" s="64">
        <v>4</v>
      </c>
      <c r="IK89" s="64">
        <v>0</v>
      </c>
      <c r="IL89" s="64">
        <v>2</v>
      </c>
      <c r="IM89" s="64">
        <v>4</v>
      </c>
      <c r="IN89" s="64">
        <v>4</v>
      </c>
      <c r="IO89" s="64">
        <v>0</v>
      </c>
      <c r="IP89" s="64">
        <v>2</v>
      </c>
      <c r="IQ89" s="64">
        <v>4</v>
      </c>
      <c r="IS89" s="64" t="s">
        <v>380</v>
      </c>
      <c r="IT89" s="64">
        <f t="shared" si="101"/>
        <v>0</v>
      </c>
      <c r="IU89" s="64">
        <f t="shared" si="102"/>
        <v>4</v>
      </c>
      <c r="IV89" s="64">
        <f t="shared" si="103"/>
        <v>8</v>
      </c>
      <c r="IW89" s="64">
        <f t="shared" si="104"/>
        <v>0</v>
      </c>
      <c r="IX89" s="64">
        <f t="shared" si="105"/>
        <v>0</v>
      </c>
      <c r="IY89" s="64">
        <f t="shared" si="106"/>
        <v>4</v>
      </c>
      <c r="IZ89" s="64">
        <f t="shared" si="107"/>
        <v>8</v>
      </c>
      <c r="JA89" s="64">
        <f t="shared" si="108"/>
        <v>0</v>
      </c>
      <c r="JB89" s="64">
        <f t="shared" si="98"/>
        <v>4</v>
      </c>
      <c r="JC89" s="64">
        <f t="shared" si="109"/>
        <v>8</v>
      </c>
      <c r="JD89" s="64">
        <f t="shared" si="110"/>
        <v>8</v>
      </c>
      <c r="JE89" s="64">
        <f t="shared" si="111"/>
        <v>0</v>
      </c>
      <c r="JF89" s="64">
        <f t="shared" si="112"/>
        <v>4</v>
      </c>
      <c r="JG89" s="64">
        <f t="shared" si="113"/>
        <v>8</v>
      </c>
      <c r="JH89" s="64">
        <f t="shared" si="114"/>
        <v>0</v>
      </c>
      <c r="JI89" s="64">
        <f t="shared" si="115"/>
        <v>4</v>
      </c>
      <c r="JJ89" s="64">
        <f t="shared" si="116"/>
        <v>8</v>
      </c>
      <c r="JK89" s="64">
        <f t="shared" si="117"/>
        <v>8</v>
      </c>
      <c r="JL89" s="64">
        <f t="shared" si="118"/>
        <v>0</v>
      </c>
      <c r="JM89" s="64">
        <f t="shared" si="119"/>
        <v>4</v>
      </c>
      <c r="JN89" s="64">
        <f t="shared" si="120"/>
        <v>8</v>
      </c>
    </row>
    <row r="90" spans="1:274" x14ac:dyDescent="0.25">
      <c r="A90" s="8"/>
      <c r="B90" s="5" t="s">
        <v>61</v>
      </c>
      <c r="C90" s="8"/>
      <c r="D90" s="44"/>
      <c r="E90" s="9"/>
      <c r="F90" s="9"/>
      <c r="G90" s="9"/>
      <c r="H90" s="9"/>
      <c r="I90" s="9"/>
      <c r="J90" s="9"/>
      <c r="K90" s="9"/>
      <c r="L90" s="6" t="s">
        <v>13</v>
      </c>
      <c r="M90" s="11">
        <f>INDEX(cenník!$C$2:$I$568,MATCH($L90,cenník!$B$2:$B$557,0),MATCH(M$2,cenník!$C$1:$I$1,0))</f>
        <v>600909</v>
      </c>
      <c r="N90" s="11" t="str">
        <f>INDEX(cenník!$C$2:$I$568,MATCH($L90,cenník!$B$2:$B$557,0),MATCH(N$2,cenník!$C$1:$I$1,0))</f>
        <v>ks</v>
      </c>
      <c r="O90" s="11">
        <f>O89</f>
        <v>0</v>
      </c>
      <c r="P90" s="36">
        <f>INDEX(cenník!$C$2:$I$568,MATCH($L90,cenník!$B$2:$B$557,0),MATCH(P$2,cenník!$C$1:$I$1,0))</f>
        <v>0.21</v>
      </c>
      <c r="Q90" s="36">
        <f t="shared" si="125"/>
        <v>0</v>
      </c>
      <c r="R90" s="37">
        <f t="shared" si="123"/>
        <v>0</v>
      </c>
      <c r="S90" s="36">
        <f t="shared" si="124"/>
        <v>0.21</v>
      </c>
      <c r="T90" s="36">
        <f t="shared" si="126"/>
        <v>0</v>
      </c>
      <c r="U90" s="36">
        <f>INDEX(cenník!$C$2:$I$568,MATCH($L90,cenník!$B$2:$B$557,0),MATCH(U$2,cenník!$C$1:$I$1,0))*O90</f>
        <v>0</v>
      </c>
      <c r="V90" s="72"/>
      <c r="W90" s="72"/>
      <c r="X90" s="72"/>
      <c r="Y90" s="88">
        <v>32</v>
      </c>
      <c r="Z90" s="72" t="s">
        <v>20</v>
      </c>
      <c r="AA90" s="72" t="s">
        <v>21</v>
      </c>
      <c r="AB90" s="72" t="s">
        <v>55</v>
      </c>
      <c r="AC90" s="72" t="s">
        <v>45</v>
      </c>
      <c r="AD90" s="72">
        <v>32</v>
      </c>
      <c r="AE90" s="72" t="s">
        <v>32</v>
      </c>
      <c r="AF90" s="72" t="s">
        <v>33</v>
      </c>
      <c r="AG90" s="86" t="s">
        <v>84</v>
      </c>
      <c r="AH90" s="86" t="s">
        <v>84</v>
      </c>
      <c r="AI90" s="72" t="s">
        <v>13</v>
      </c>
      <c r="AJ90" s="72"/>
      <c r="AK90" s="72"/>
      <c r="AL90" s="72" t="s">
        <v>18</v>
      </c>
      <c r="AM90" s="72">
        <v>0</v>
      </c>
      <c r="AN90" s="72">
        <v>0</v>
      </c>
      <c r="AO90" s="72">
        <v>0</v>
      </c>
      <c r="AP90" s="72">
        <v>2</v>
      </c>
      <c r="AQ90" s="72">
        <v>2</v>
      </c>
      <c r="AR90" s="72">
        <v>2</v>
      </c>
      <c r="AS90" s="72">
        <v>4</v>
      </c>
      <c r="AT90" s="72">
        <v>4</v>
      </c>
      <c r="AU90" s="72">
        <v>2</v>
      </c>
      <c r="AV90" s="72">
        <v>4</v>
      </c>
      <c r="AW90" s="72">
        <v>6</v>
      </c>
      <c r="AX90" s="72">
        <v>4</v>
      </c>
      <c r="AY90" s="72">
        <v>4</v>
      </c>
      <c r="AZ90" s="72">
        <v>6</v>
      </c>
      <c r="BA90" s="72">
        <v>8</v>
      </c>
      <c r="BB90" s="72">
        <v>8</v>
      </c>
      <c r="BC90" s="72">
        <v>8</v>
      </c>
      <c r="BD90" s="72">
        <v>22</v>
      </c>
      <c r="BE90" s="72">
        <v>10</v>
      </c>
      <c r="BF90" s="72">
        <v>10</v>
      </c>
      <c r="BG90" s="72">
        <v>24</v>
      </c>
      <c r="BH90" s="72">
        <v>12</v>
      </c>
      <c r="BI90" s="72">
        <v>18</v>
      </c>
      <c r="BJ90" s="72">
        <v>26</v>
      </c>
      <c r="BK90" s="72">
        <v>14</v>
      </c>
      <c r="BL90" s="72">
        <v>0</v>
      </c>
      <c r="BM90" s="72">
        <v>28</v>
      </c>
      <c r="BN90" s="72">
        <v>28</v>
      </c>
      <c r="BO90" s="72">
        <v>2</v>
      </c>
      <c r="BP90" s="72">
        <v>30</v>
      </c>
      <c r="BQ90" s="72">
        <v>30</v>
      </c>
      <c r="BR90" s="72">
        <v>40</v>
      </c>
      <c r="BS90" s="72">
        <v>36</v>
      </c>
      <c r="BT90" s="72">
        <v>18</v>
      </c>
      <c r="BU90" s="72">
        <v>44</v>
      </c>
      <c r="BV90" s="72">
        <v>34</v>
      </c>
      <c r="BW90" s="72">
        <v>20</v>
      </c>
      <c r="BX90" s="72">
        <v>48</v>
      </c>
      <c r="BY90" s="72">
        <v>48</v>
      </c>
      <c r="BZ90" s="72">
        <v>22</v>
      </c>
      <c r="CA90" s="72">
        <v>50</v>
      </c>
      <c r="CB90" s="72">
        <v>50</v>
      </c>
      <c r="CC90" s="72">
        <v>54</v>
      </c>
      <c r="CD90" s="72">
        <v>52</v>
      </c>
      <c r="CE90" s="72">
        <v>38</v>
      </c>
      <c r="CF90" s="72">
        <v>58</v>
      </c>
      <c r="CG90" s="72">
        <v>54</v>
      </c>
      <c r="CH90" s="72">
        <v>54</v>
      </c>
      <c r="CI90" s="72">
        <v>62</v>
      </c>
      <c r="CJ90" s="72">
        <v>54</v>
      </c>
      <c r="CK90" s="72">
        <v>42</v>
      </c>
      <c r="CL90" s="72"/>
      <c r="CM90" s="72" t="s">
        <v>199</v>
      </c>
      <c r="CN90" s="72">
        <v>0</v>
      </c>
      <c r="CO90" s="72">
        <v>1</v>
      </c>
      <c r="CP90" s="72">
        <v>2</v>
      </c>
      <c r="CQ90" s="72">
        <v>3</v>
      </c>
      <c r="CR90" s="72">
        <v>4</v>
      </c>
      <c r="CS90" s="72">
        <v>5</v>
      </c>
      <c r="CT90" s="72">
        <v>6</v>
      </c>
      <c r="CU90" s="72">
        <v>7</v>
      </c>
      <c r="CV90" s="72">
        <v>8</v>
      </c>
      <c r="CW90" s="72">
        <v>9</v>
      </c>
      <c r="CX90" s="72">
        <v>10</v>
      </c>
      <c r="CY90" s="72">
        <v>11</v>
      </c>
      <c r="CZ90" s="72">
        <v>12</v>
      </c>
      <c r="DA90" s="72">
        <v>13</v>
      </c>
      <c r="DB90" s="72">
        <v>14</v>
      </c>
      <c r="DC90" s="72">
        <v>15</v>
      </c>
      <c r="DD90" s="72">
        <v>16</v>
      </c>
      <c r="DE90" s="72">
        <v>17</v>
      </c>
      <c r="DF90" s="72">
        <v>18</v>
      </c>
      <c r="DG90" s="72">
        <v>19</v>
      </c>
      <c r="DH90" s="72">
        <v>20</v>
      </c>
      <c r="DI90" s="72"/>
      <c r="DJ90" s="72"/>
      <c r="DK90" s="72"/>
      <c r="DL90" s="72"/>
      <c r="DM90" s="72"/>
      <c r="DN90" s="72"/>
      <c r="DO90" s="72"/>
      <c r="DP90" s="72"/>
      <c r="DQ90" s="72"/>
      <c r="DR90" s="72"/>
      <c r="DS90" s="72"/>
      <c r="DT90" s="72"/>
      <c r="DU90" s="72"/>
      <c r="DV90" s="72"/>
      <c r="DW90" s="72"/>
      <c r="DX90" s="72"/>
      <c r="DY90" s="72"/>
      <c r="DZ90" s="81"/>
      <c r="EA90" s="81"/>
      <c r="EB90" s="81"/>
      <c r="EC90" s="72"/>
      <c r="ED90" s="72"/>
      <c r="EE90" s="72"/>
      <c r="EF90" s="72"/>
      <c r="EG90" s="72"/>
      <c r="EH90" s="72"/>
      <c r="EI90" s="72"/>
      <c r="EJ90" s="72"/>
      <c r="EK90" s="72"/>
      <c r="EL90" s="72"/>
      <c r="EM90" s="72"/>
      <c r="EN90" s="72"/>
      <c r="EO90" s="72"/>
      <c r="EP90" s="72"/>
      <c r="EQ90" s="72"/>
      <c r="ER90" s="72"/>
      <c r="ES90" s="72"/>
      <c r="ET90" s="72"/>
      <c r="EU90" s="72"/>
      <c r="EV90" s="72" t="s">
        <v>99</v>
      </c>
      <c r="EW90" s="72">
        <v>0</v>
      </c>
      <c r="EX90" s="72">
        <v>0</v>
      </c>
      <c r="EY90" s="72">
        <v>0</v>
      </c>
      <c r="EZ90" s="72">
        <v>0</v>
      </c>
      <c r="FA90" s="72">
        <v>0</v>
      </c>
      <c r="FB90" s="72">
        <v>0</v>
      </c>
      <c r="FC90" s="72">
        <v>0</v>
      </c>
      <c r="FD90" s="72">
        <v>0</v>
      </c>
      <c r="FE90" s="72">
        <v>0</v>
      </c>
      <c r="FF90" s="72">
        <v>0</v>
      </c>
      <c r="FG90" s="72">
        <v>0</v>
      </c>
      <c r="FH90" s="72"/>
      <c r="FI90" s="72"/>
      <c r="FJ90" s="72">
        <v>0</v>
      </c>
      <c r="FK90" s="72">
        <v>1</v>
      </c>
      <c r="FL90" s="72">
        <v>2</v>
      </c>
      <c r="FM90" s="72">
        <v>3</v>
      </c>
      <c r="FN90" s="72">
        <v>4</v>
      </c>
      <c r="FO90" s="72">
        <v>5</v>
      </c>
      <c r="FP90" s="72">
        <v>6</v>
      </c>
      <c r="FQ90" s="72">
        <v>7</v>
      </c>
      <c r="FR90" s="72">
        <v>8</v>
      </c>
      <c r="FS90" s="72">
        <v>9</v>
      </c>
      <c r="FT90" s="72">
        <v>10</v>
      </c>
      <c r="FU90" s="72"/>
      <c r="FV90" s="72"/>
      <c r="FW90" s="72"/>
      <c r="FX90" s="72"/>
      <c r="FY90" s="72"/>
      <c r="FZ90" s="72"/>
      <c r="GX90" s="125" t="s">
        <v>413</v>
      </c>
      <c r="GY90" s="64">
        <v>0</v>
      </c>
      <c r="GZ90" s="64">
        <v>1</v>
      </c>
      <c r="HA90" s="64">
        <v>0</v>
      </c>
      <c r="HB90" s="64">
        <v>0</v>
      </c>
      <c r="HC90" s="64">
        <v>0</v>
      </c>
      <c r="HD90" s="64">
        <v>0</v>
      </c>
      <c r="HE90" s="64">
        <v>0</v>
      </c>
      <c r="HF90" s="64">
        <v>0</v>
      </c>
      <c r="HG90" s="64">
        <v>0</v>
      </c>
      <c r="HH90" s="64">
        <v>0</v>
      </c>
      <c r="HI90" s="64">
        <v>0</v>
      </c>
      <c r="HJ90" s="64">
        <v>0</v>
      </c>
      <c r="HK90" s="64">
        <v>0</v>
      </c>
      <c r="HL90" s="64">
        <v>0</v>
      </c>
      <c r="HM90" s="64">
        <v>0</v>
      </c>
      <c r="HN90" s="64">
        <v>0</v>
      </c>
      <c r="HO90" s="64">
        <v>0</v>
      </c>
      <c r="HP90" s="64">
        <v>0</v>
      </c>
      <c r="HQ90" s="64">
        <v>0</v>
      </c>
      <c r="HR90" s="64">
        <v>0</v>
      </c>
      <c r="HS90" s="64">
        <v>0</v>
      </c>
      <c r="HV90" s="64" t="s">
        <v>379</v>
      </c>
      <c r="HW90" s="64">
        <v>0</v>
      </c>
      <c r="HX90" s="64">
        <v>0</v>
      </c>
      <c r="HY90" s="64">
        <v>0</v>
      </c>
      <c r="HZ90" s="64">
        <v>4</v>
      </c>
      <c r="IA90" s="64">
        <v>6</v>
      </c>
      <c r="IB90" s="64">
        <v>6</v>
      </c>
      <c r="IC90" s="64">
        <v>6</v>
      </c>
      <c r="ID90" s="64">
        <v>10</v>
      </c>
      <c r="IE90" s="64">
        <v>10</v>
      </c>
      <c r="IF90" s="64">
        <v>10</v>
      </c>
      <c r="IG90" s="64">
        <v>12</v>
      </c>
      <c r="IH90" s="64">
        <v>16</v>
      </c>
      <c r="II90" s="64">
        <v>16</v>
      </c>
      <c r="IJ90" s="64">
        <v>16</v>
      </c>
      <c r="IK90" s="64">
        <v>20</v>
      </c>
      <c r="IL90" s="64">
        <v>20</v>
      </c>
      <c r="IM90" s="64">
        <v>20</v>
      </c>
      <c r="IN90" s="64">
        <v>22</v>
      </c>
      <c r="IO90" s="64">
        <v>26</v>
      </c>
      <c r="IP90" s="64">
        <v>26</v>
      </c>
      <c r="IQ90" s="64">
        <v>26</v>
      </c>
      <c r="IS90" s="64" t="s">
        <v>379</v>
      </c>
      <c r="IT90" s="64">
        <f t="shared" si="101"/>
        <v>0</v>
      </c>
      <c r="IU90" s="64">
        <f t="shared" si="102"/>
        <v>0</v>
      </c>
      <c r="IV90" s="64">
        <f t="shared" si="103"/>
        <v>0</v>
      </c>
      <c r="IW90" s="64">
        <f t="shared" si="104"/>
        <v>8</v>
      </c>
      <c r="IX90" s="64">
        <f t="shared" si="105"/>
        <v>12</v>
      </c>
      <c r="IY90" s="64">
        <f t="shared" si="106"/>
        <v>12</v>
      </c>
      <c r="IZ90" s="64">
        <f t="shared" si="107"/>
        <v>12</v>
      </c>
      <c r="JA90" s="64">
        <f t="shared" si="108"/>
        <v>20</v>
      </c>
      <c r="JB90" s="64">
        <f t="shared" si="98"/>
        <v>20</v>
      </c>
      <c r="JC90" s="64">
        <f t="shared" si="109"/>
        <v>20</v>
      </c>
      <c r="JD90" s="64">
        <f t="shared" si="110"/>
        <v>24</v>
      </c>
      <c r="JE90" s="64">
        <f t="shared" si="111"/>
        <v>32</v>
      </c>
      <c r="JF90" s="64">
        <f t="shared" si="112"/>
        <v>32</v>
      </c>
      <c r="JG90" s="64">
        <f t="shared" si="113"/>
        <v>32</v>
      </c>
      <c r="JH90" s="64">
        <f t="shared" si="114"/>
        <v>40</v>
      </c>
      <c r="JI90" s="64">
        <f t="shared" si="115"/>
        <v>40</v>
      </c>
      <c r="JJ90" s="64">
        <f t="shared" si="116"/>
        <v>40</v>
      </c>
      <c r="JK90" s="64">
        <f t="shared" si="117"/>
        <v>44</v>
      </c>
      <c r="JL90" s="64">
        <f t="shared" si="118"/>
        <v>52</v>
      </c>
      <c r="JM90" s="64">
        <f t="shared" si="119"/>
        <v>52</v>
      </c>
      <c r="JN90" s="64">
        <f t="shared" si="120"/>
        <v>52</v>
      </c>
    </row>
    <row r="91" spans="1:274" x14ac:dyDescent="0.25">
      <c r="A91" s="8"/>
      <c r="B91" s="5" t="s">
        <v>61</v>
      </c>
      <c r="C91" s="8"/>
      <c r="D91" s="44"/>
      <c r="E91" s="9"/>
      <c r="F91" s="9"/>
      <c r="G91" s="9"/>
      <c r="H91" s="9"/>
      <c r="I91" s="9"/>
      <c r="J91" s="9"/>
      <c r="K91" s="9"/>
      <c r="L91" s="6" t="str">
        <f>IF(E80="zaťažená","SBV250X350",IF(E80="kotvená","SBV50X500",0))</f>
        <v>SBV250X350</v>
      </c>
      <c r="M91" s="11">
        <f>INDEX(cenník!$C$2:$I$568,MATCH($L91,cenník!$B$2:$B$557,0),MATCH(M$2,cenník!$C$1:$I$1,0))</f>
        <v>895507</v>
      </c>
      <c r="N91" s="11" t="str">
        <f>INDEX(cenník!$C$2:$I$568,MATCH($L91,cenník!$B$2:$B$557,0),MATCH(N$2,cenník!$C$1:$I$1,0))</f>
        <v>ks</v>
      </c>
      <c r="O91" s="11">
        <f>IF(E80=Z2,O84*3,IF(E80=Z3,O84*4,0))</f>
        <v>0</v>
      </c>
      <c r="P91" s="36">
        <f>INDEX(cenník!$C$2:$I$568,MATCH($L91,cenník!$B$2:$B$557,0),MATCH(P$2,cenník!$C$1:$I$1,0))</f>
        <v>1.4</v>
      </c>
      <c r="Q91" s="36">
        <f t="shared" si="125"/>
        <v>0</v>
      </c>
      <c r="R91" s="37">
        <f t="shared" si="123"/>
        <v>0</v>
      </c>
      <c r="S91" s="36">
        <f t="shared" si="124"/>
        <v>1.4</v>
      </c>
      <c r="T91" s="36">
        <f t="shared" si="126"/>
        <v>0</v>
      </c>
      <c r="U91" s="36">
        <f>INDEX(cenník!$C$2:$I$568,MATCH($L91,cenník!$B$2:$B$557,0),MATCH(U$2,cenník!$C$1:$I$1,0))*O91</f>
        <v>0</v>
      </c>
      <c r="V91" s="72"/>
      <c r="W91" s="72"/>
      <c r="X91" s="72"/>
      <c r="Y91" s="88">
        <v>33</v>
      </c>
      <c r="Z91" s="72" t="s">
        <v>22</v>
      </c>
      <c r="AA91" s="72"/>
      <c r="AB91" s="72" t="s">
        <v>55</v>
      </c>
      <c r="AC91" s="72" t="s">
        <v>45</v>
      </c>
      <c r="AD91" s="72">
        <v>33</v>
      </c>
      <c r="AE91" s="72"/>
      <c r="AF91" s="72"/>
      <c r="AG91" s="86" t="s">
        <v>84</v>
      </c>
      <c r="AH91" s="86" t="s">
        <v>84</v>
      </c>
      <c r="AI91" s="72" t="s">
        <v>13</v>
      </c>
      <c r="AJ91" s="72"/>
      <c r="AK91" s="72"/>
      <c r="AL91" s="72" t="s">
        <v>179</v>
      </c>
      <c r="AM91" s="72">
        <v>0</v>
      </c>
      <c r="AN91" s="72">
        <f>((((SUM(AN86:AN90))/2)-1))*4</f>
        <v>0</v>
      </c>
      <c r="AO91" s="72">
        <f t="shared" ref="AO91:CK91" si="128">((((SUM(AO86:AO90))/2)-1))*4</f>
        <v>4</v>
      </c>
      <c r="AP91" s="72">
        <f t="shared" si="128"/>
        <v>4</v>
      </c>
      <c r="AQ91" s="72">
        <f t="shared" si="128"/>
        <v>8</v>
      </c>
      <c r="AR91" s="72">
        <f t="shared" si="128"/>
        <v>12</v>
      </c>
      <c r="AS91" s="72">
        <f t="shared" si="128"/>
        <v>12</v>
      </c>
      <c r="AT91" s="72">
        <f t="shared" si="128"/>
        <v>16</v>
      </c>
      <c r="AU91" s="72">
        <f t="shared" si="128"/>
        <v>20</v>
      </c>
      <c r="AV91" s="72">
        <f t="shared" si="128"/>
        <v>20</v>
      </c>
      <c r="AW91" s="72">
        <f t="shared" si="128"/>
        <v>24</v>
      </c>
      <c r="AX91" s="72">
        <f t="shared" si="128"/>
        <v>28</v>
      </c>
      <c r="AY91" s="72">
        <f t="shared" si="128"/>
        <v>28</v>
      </c>
      <c r="AZ91" s="72">
        <f t="shared" si="128"/>
        <v>32</v>
      </c>
      <c r="BA91" s="72">
        <f t="shared" si="128"/>
        <v>36</v>
      </c>
      <c r="BB91" s="72">
        <f t="shared" si="128"/>
        <v>36</v>
      </c>
      <c r="BC91" s="72">
        <f t="shared" si="128"/>
        <v>40</v>
      </c>
      <c r="BD91" s="72">
        <f t="shared" si="128"/>
        <v>40</v>
      </c>
      <c r="BE91" s="72">
        <f t="shared" si="128"/>
        <v>44</v>
      </c>
      <c r="BF91" s="72">
        <f t="shared" si="128"/>
        <v>48</v>
      </c>
      <c r="BG91" s="72">
        <f t="shared" si="128"/>
        <v>48</v>
      </c>
      <c r="BH91" s="72">
        <f t="shared" si="128"/>
        <v>52</v>
      </c>
      <c r="BI91" s="72">
        <f t="shared" si="128"/>
        <v>56</v>
      </c>
      <c r="BJ91" s="72">
        <f t="shared" si="128"/>
        <v>56</v>
      </c>
      <c r="BK91" s="72">
        <f t="shared" si="128"/>
        <v>60</v>
      </c>
      <c r="BL91" s="72">
        <f t="shared" si="128"/>
        <v>64</v>
      </c>
      <c r="BM91" s="72">
        <f t="shared" si="128"/>
        <v>64</v>
      </c>
      <c r="BN91" s="72">
        <f t="shared" si="128"/>
        <v>68</v>
      </c>
      <c r="BO91" s="72">
        <f t="shared" si="128"/>
        <v>72</v>
      </c>
      <c r="BP91" s="72">
        <f t="shared" si="128"/>
        <v>72</v>
      </c>
      <c r="BQ91" s="72">
        <f t="shared" si="128"/>
        <v>76</v>
      </c>
      <c r="BR91" s="72">
        <f t="shared" si="128"/>
        <v>76</v>
      </c>
      <c r="BS91" s="72">
        <f t="shared" si="128"/>
        <v>80</v>
      </c>
      <c r="BT91" s="72">
        <f t="shared" si="128"/>
        <v>84</v>
      </c>
      <c r="BU91" s="72">
        <f t="shared" si="128"/>
        <v>84</v>
      </c>
      <c r="BV91" s="72">
        <f t="shared" si="128"/>
        <v>88</v>
      </c>
      <c r="BW91" s="72">
        <f t="shared" si="128"/>
        <v>92</v>
      </c>
      <c r="BX91" s="72">
        <f t="shared" si="128"/>
        <v>92</v>
      </c>
      <c r="BY91" s="72">
        <f t="shared" si="128"/>
        <v>96</v>
      </c>
      <c r="BZ91" s="72">
        <f t="shared" si="128"/>
        <v>100</v>
      </c>
      <c r="CA91" s="72">
        <f t="shared" si="128"/>
        <v>100</v>
      </c>
      <c r="CB91" s="72">
        <f t="shared" si="128"/>
        <v>104</v>
      </c>
      <c r="CC91" s="72">
        <f t="shared" si="128"/>
        <v>104</v>
      </c>
      <c r="CD91" s="72">
        <f t="shared" si="128"/>
        <v>108</v>
      </c>
      <c r="CE91" s="72">
        <f t="shared" si="128"/>
        <v>112</v>
      </c>
      <c r="CF91" s="72">
        <f t="shared" si="128"/>
        <v>112</v>
      </c>
      <c r="CG91" s="72">
        <f t="shared" si="128"/>
        <v>116</v>
      </c>
      <c r="CH91" s="72">
        <f t="shared" si="128"/>
        <v>120</v>
      </c>
      <c r="CI91" s="72">
        <f t="shared" si="128"/>
        <v>120</v>
      </c>
      <c r="CJ91" s="72">
        <f t="shared" si="128"/>
        <v>124</v>
      </c>
      <c r="CK91" s="72">
        <f t="shared" si="128"/>
        <v>128</v>
      </c>
      <c r="CL91" s="72"/>
      <c r="CM91" s="72" t="s">
        <v>64</v>
      </c>
      <c r="CN91" s="72">
        <v>0</v>
      </c>
      <c r="CO91" s="72">
        <v>2</v>
      </c>
      <c r="CP91" s="72">
        <v>0</v>
      </c>
      <c r="CQ91" s="72">
        <v>4</v>
      </c>
      <c r="CR91" s="72">
        <v>2</v>
      </c>
      <c r="CS91" s="72">
        <v>0</v>
      </c>
      <c r="CT91" s="72">
        <v>4</v>
      </c>
      <c r="CU91" s="72">
        <v>2</v>
      </c>
      <c r="CV91" s="72">
        <v>0</v>
      </c>
      <c r="CW91" s="72">
        <v>4</v>
      </c>
      <c r="CX91" s="72">
        <v>2</v>
      </c>
      <c r="CY91" s="72">
        <v>0</v>
      </c>
      <c r="CZ91" s="72">
        <v>4</v>
      </c>
      <c r="DA91" s="72">
        <v>2</v>
      </c>
      <c r="DB91" s="72">
        <v>0</v>
      </c>
      <c r="DC91" s="72">
        <v>4</v>
      </c>
      <c r="DD91" s="72">
        <v>2</v>
      </c>
      <c r="DE91" s="72">
        <v>0</v>
      </c>
      <c r="DF91" s="72">
        <v>4</v>
      </c>
      <c r="DG91" s="72">
        <v>2</v>
      </c>
      <c r="DH91" s="72">
        <v>0</v>
      </c>
      <c r="DI91" s="72"/>
      <c r="DJ91" s="72"/>
      <c r="DK91" s="72"/>
      <c r="DL91" s="72"/>
      <c r="DM91" s="72"/>
      <c r="DN91" s="72"/>
      <c r="DO91" s="72"/>
      <c r="DP91" s="72"/>
      <c r="DQ91" s="72"/>
      <c r="DR91" s="72"/>
      <c r="DS91" s="72"/>
      <c r="DT91" s="72"/>
      <c r="DU91" s="72"/>
      <c r="DV91" s="72"/>
      <c r="DW91" s="72"/>
      <c r="DX91" s="72"/>
      <c r="DY91" s="72"/>
      <c r="DZ91" s="81"/>
      <c r="EA91" s="81"/>
      <c r="EB91" s="81"/>
      <c r="EC91" s="72"/>
      <c r="ED91" s="72"/>
      <c r="EE91" s="72"/>
      <c r="EF91" s="72"/>
      <c r="EG91" s="72"/>
      <c r="EH91" s="72"/>
      <c r="EI91" s="72"/>
      <c r="EJ91" s="72"/>
      <c r="EK91" s="72"/>
      <c r="EL91" s="72"/>
      <c r="EM91" s="72"/>
      <c r="EN91" s="72"/>
      <c r="EO91" s="72"/>
      <c r="EP91" s="72"/>
      <c r="EQ91" s="72"/>
      <c r="ER91" s="72"/>
      <c r="ES91" s="72"/>
      <c r="ET91" s="72"/>
      <c r="EU91" s="72"/>
      <c r="EV91" s="72" t="s">
        <v>8</v>
      </c>
      <c r="EW91" s="72">
        <v>0</v>
      </c>
      <c r="EX91" s="72">
        <v>0</v>
      </c>
      <c r="EY91" s="72">
        <v>0</v>
      </c>
      <c r="EZ91" s="72">
        <v>0</v>
      </c>
      <c r="FA91" s="72">
        <v>0</v>
      </c>
      <c r="FB91" s="72">
        <v>0</v>
      </c>
      <c r="FC91" s="72">
        <v>0</v>
      </c>
      <c r="FD91" s="72">
        <v>0</v>
      </c>
      <c r="FE91" s="72">
        <v>0</v>
      </c>
      <c r="FF91" s="72">
        <v>0</v>
      </c>
      <c r="FG91" s="72">
        <v>0</v>
      </c>
      <c r="FH91" s="72"/>
      <c r="FI91" s="72" t="s">
        <v>99</v>
      </c>
      <c r="FJ91" s="72">
        <v>0</v>
      </c>
      <c r="FK91" s="72">
        <v>0</v>
      </c>
      <c r="FL91" s="72">
        <f t="shared" ref="FL91:FL99" si="129">2*AK230</f>
        <v>0</v>
      </c>
      <c r="FM91" s="72">
        <v>0</v>
      </c>
      <c r="FN91" s="72">
        <v>0</v>
      </c>
      <c r="FO91" s="72">
        <v>0</v>
      </c>
      <c r="FP91" s="72">
        <v>0</v>
      </c>
      <c r="FQ91" s="72">
        <v>0</v>
      </c>
      <c r="FR91" s="72">
        <v>0</v>
      </c>
      <c r="FS91" s="72">
        <v>0</v>
      </c>
      <c r="FT91" s="72">
        <v>0</v>
      </c>
      <c r="FU91" s="72"/>
      <c r="FV91" s="72"/>
      <c r="FW91" s="72"/>
      <c r="FX91" s="72"/>
      <c r="FY91" s="72"/>
      <c r="FZ91" s="72"/>
      <c r="GA91" s="64" t="s">
        <v>67</v>
      </c>
      <c r="HV91" s="64" t="s">
        <v>406</v>
      </c>
      <c r="HW91" s="64">
        <v>0</v>
      </c>
      <c r="HX91" s="64">
        <v>0</v>
      </c>
      <c r="HY91" s="64">
        <v>2</v>
      </c>
      <c r="HZ91" s="64">
        <v>2</v>
      </c>
      <c r="IA91" s="64">
        <v>4</v>
      </c>
      <c r="IB91" s="64">
        <v>6</v>
      </c>
      <c r="IC91" s="64">
        <v>8</v>
      </c>
      <c r="ID91" s="64">
        <v>8</v>
      </c>
      <c r="IE91" s="64">
        <v>10</v>
      </c>
      <c r="IF91" s="64">
        <v>12</v>
      </c>
      <c r="IG91" s="64">
        <v>14</v>
      </c>
      <c r="IH91" s="64">
        <v>14</v>
      </c>
      <c r="II91" s="64">
        <v>16</v>
      </c>
      <c r="IJ91" s="64">
        <v>18</v>
      </c>
      <c r="IK91" s="64">
        <v>18</v>
      </c>
      <c r="IL91" s="64">
        <v>20</v>
      </c>
      <c r="IM91" s="64">
        <v>22</v>
      </c>
      <c r="IN91" s="64">
        <v>24</v>
      </c>
      <c r="IO91" s="64">
        <v>24</v>
      </c>
      <c r="IP91" s="64">
        <v>26</v>
      </c>
      <c r="IQ91" s="64">
        <v>28</v>
      </c>
      <c r="IS91" s="64" t="s">
        <v>406</v>
      </c>
      <c r="IT91" s="64">
        <f t="shared" si="101"/>
        <v>0</v>
      </c>
      <c r="IU91" s="64">
        <f t="shared" si="102"/>
        <v>0</v>
      </c>
      <c r="IV91" s="64">
        <f t="shared" si="103"/>
        <v>4</v>
      </c>
      <c r="IW91" s="64">
        <f t="shared" si="104"/>
        <v>4</v>
      </c>
      <c r="IX91" s="64">
        <f t="shared" si="105"/>
        <v>8</v>
      </c>
      <c r="IY91" s="64">
        <f t="shared" si="106"/>
        <v>12</v>
      </c>
      <c r="IZ91" s="64">
        <f t="shared" si="107"/>
        <v>16</v>
      </c>
      <c r="JA91" s="64">
        <f t="shared" si="108"/>
        <v>16</v>
      </c>
      <c r="JB91" s="64">
        <f t="shared" si="98"/>
        <v>20</v>
      </c>
      <c r="JC91" s="64">
        <f t="shared" si="109"/>
        <v>24</v>
      </c>
      <c r="JD91" s="64">
        <f t="shared" si="110"/>
        <v>28</v>
      </c>
      <c r="JE91" s="64">
        <f t="shared" si="111"/>
        <v>28</v>
      </c>
      <c r="JF91" s="64">
        <f t="shared" si="112"/>
        <v>32</v>
      </c>
      <c r="JG91" s="64">
        <f t="shared" si="113"/>
        <v>36</v>
      </c>
      <c r="JH91" s="64">
        <f t="shared" si="114"/>
        <v>36</v>
      </c>
      <c r="JI91" s="64">
        <f t="shared" si="115"/>
        <v>40</v>
      </c>
      <c r="JJ91" s="64">
        <f t="shared" si="116"/>
        <v>44</v>
      </c>
      <c r="JK91" s="64">
        <f t="shared" si="117"/>
        <v>48</v>
      </c>
      <c r="JL91" s="64">
        <f t="shared" si="118"/>
        <v>48</v>
      </c>
      <c r="JM91" s="64">
        <f t="shared" si="119"/>
        <v>52</v>
      </c>
      <c r="JN91" s="64">
        <f t="shared" si="120"/>
        <v>56</v>
      </c>
    </row>
    <row r="92" spans="1:274" x14ac:dyDescent="0.25">
      <c r="A92" s="9"/>
      <c r="B92" s="6"/>
      <c r="C92" s="9"/>
      <c r="D92" s="9"/>
      <c r="E92" s="9"/>
      <c r="F92" s="9"/>
      <c r="G92" s="9"/>
      <c r="H92" s="9"/>
      <c r="I92" s="9"/>
      <c r="J92" s="9"/>
      <c r="K92" s="9"/>
      <c r="L92" s="6" t="str">
        <f>IF(E80="zaťažená","PDOPD300MC",IF(E80="kotvená","-------",0))</f>
        <v>PDOPD300MC</v>
      </c>
      <c r="M92" s="11" t="e">
        <f>INDEX(cenník!$C$2:$I$568,MATCH($L92,cenník!$B$2:$B$557,0),MATCH(M$2,cenník!$C$1:$I$1,0))</f>
        <v>#N/A</v>
      </c>
      <c r="N92" s="11" t="e">
        <f>INDEX(cenník!$C$2:$I$568,MATCH($L92,cenník!$B$2:$B$557,0),MATCH(N$2,cenník!$C$1:$I$1,0))</f>
        <v>#N/A</v>
      </c>
      <c r="O92" s="11">
        <f>IF(E80=Z2,O84*3,IF(E80=Z3,0,0))</f>
        <v>0</v>
      </c>
      <c r="P92" s="36" t="e">
        <f>INDEX(cenník!$C$2:$I$568,MATCH($L92,cenník!$B$2:$B$557,0),MATCH(P$2,cenník!$C$1:$I$1,0))</f>
        <v>#N/A</v>
      </c>
      <c r="Q92" s="36" t="e">
        <f t="shared" si="125"/>
        <v>#N/A</v>
      </c>
      <c r="R92" s="37">
        <f t="shared" si="123"/>
        <v>0</v>
      </c>
      <c r="S92" s="36" t="e">
        <f t="shared" si="124"/>
        <v>#N/A</v>
      </c>
      <c r="T92" s="36" t="e">
        <f t="shared" si="126"/>
        <v>#N/A</v>
      </c>
      <c r="U92" s="36" t="e">
        <f>INDEX(cenník!$C$2:$I$568,MATCH($L92,cenník!$B$2:$B$557,0),MATCH(U$2,cenník!$C$1:$I$1,0))*O92</f>
        <v>#N/A</v>
      </c>
      <c r="V92" s="72"/>
      <c r="W92" s="72"/>
      <c r="X92" s="72"/>
      <c r="Y92" s="88">
        <v>34</v>
      </c>
      <c r="Z92" s="72"/>
      <c r="AA92" s="72"/>
      <c r="AB92" s="72" t="s">
        <v>55</v>
      </c>
      <c r="AC92" s="72" t="s">
        <v>45</v>
      </c>
      <c r="AD92" s="72">
        <v>34</v>
      </c>
      <c r="AE92" s="72" t="s">
        <v>34</v>
      </c>
      <c r="AF92" s="72"/>
      <c r="AG92" s="86" t="s">
        <v>84</v>
      </c>
      <c r="AH92" s="86" t="s">
        <v>84</v>
      </c>
      <c r="AI92" s="72" t="s">
        <v>13</v>
      </c>
      <c r="AJ92" s="72"/>
      <c r="AK92" s="72"/>
      <c r="AL92" s="72"/>
      <c r="AM92" s="72"/>
      <c r="AN92" s="72"/>
      <c r="AO92" s="72"/>
      <c r="AP92" s="72"/>
      <c r="AQ92" s="72"/>
      <c r="AR92" s="72"/>
      <c r="AS92" s="72"/>
      <c r="AT92" s="72"/>
      <c r="AU92" s="72"/>
      <c r="AV92" s="72"/>
      <c r="AW92" s="72"/>
      <c r="AX92" s="72"/>
      <c r="AY92" s="72"/>
      <c r="AZ92" s="72"/>
      <c r="BA92" s="72"/>
      <c r="BB92" s="72"/>
      <c r="BC92" s="72"/>
      <c r="BD92" s="72"/>
      <c r="BE92" s="72"/>
      <c r="BF92" s="72"/>
      <c r="BG92" s="72"/>
      <c r="BH92" s="72"/>
      <c r="BI92" s="72"/>
      <c r="BJ92" s="72"/>
      <c r="BK92" s="72"/>
      <c r="BL92" s="72"/>
      <c r="BM92" s="72"/>
      <c r="BN92" s="72"/>
      <c r="BO92" s="72"/>
      <c r="BP92" s="72"/>
      <c r="BQ92" s="72"/>
      <c r="BR92" s="72"/>
      <c r="BS92" s="72"/>
      <c r="BT92" s="72"/>
      <c r="BU92" s="72"/>
      <c r="BV92" s="72"/>
      <c r="BW92" s="72"/>
      <c r="BX92" s="72"/>
      <c r="BY92" s="72"/>
      <c r="BZ92" s="72"/>
      <c r="CA92" s="72"/>
      <c r="CB92" s="72"/>
      <c r="CC92" s="72"/>
      <c r="CD92" s="72"/>
      <c r="CE92" s="72"/>
      <c r="CF92" s="72"/>
      <c r="CG92" s="72"/>
      <c r="CH92" s="72"/>
      <c r="CI92" s="72"/>
      <c r="CJ92" s="72"/>
      <c r="CK92" s="72"/>
      <c r="CL92" s="72"/>
      <c r="CM92" s="72" t="s">
        <v>18</v>
      </c>
      <c r="CN92" s="72">
        <v>0</v>
      </c>
      <c r="CO92" s="72">
        <v>0</v>
      </c>
      <c r="CP92" s="72">
        <v>2</v>
      </c>
      <c r="CQ92" s="72">
        <v>0</v>
      </c>
      <c r="CR92" s="72">
        <v>2</v>
      </c>
      <c r="CS92" s="72">
        <v>4</v>
      </c>
      <c r="CT92" s="72">
        <v>2</v>
      </c>
      <c r="CU92" s="72">
        <v>4</v>
      </c>
      <c r="CV92" s="72">
        <v>6</v>
      </c>
      <c r="CW92" s="72">
        <v>4</v>
      </c>
      <c r="CX92" s="72">
        <v>6</v>
      </c>
      <c r="CY92" s="72">
        <v>8</v>
      </c>
      <c r="CZ92" s="72">
        <v>6</v>
      </c>
      <c r="DA92" s="72">
        <v>8</v>
      </c>
      <c r="DB92" s="72">
        <v>10</v>
      </c>
      <c r="DC92" s="72">
        <v>8</v>
      </c>
      <c r="DD92" s="72">
        <v>10</v>
      </c>
      <c r="DE92" s="72">
        <v>12</v>
      </c>
      <c r="DF92" s="72">
        <v>10</v>
      </c>
      <c r="DG92" s="72">
        <v>12</v>
      </c>
      <c r="DH92" s="72">
        <v>14</v>
      </c>
      <c r="DI92" s="72"/>
      <c r="DJ92" s="72"/>
      <c r="DK92" s="72"/>
      <c r="DL92" s="72"/>
      <c r="DM92" s="72"/>
      <c r="DN92" s="72"/>
      <c r="DO92" s="72"/>
      <c r="DP92" s="72"/>
      <c r="DQ92" s="72"/>
      <c r="DR92" s="72"/>
      <c r="DS92" s="72"/>
      <c r="DT92" s="72"/>
      <c r="DU92" s="72"/>
      <c r="DV92" s="72"/>
      <c r="DW92" s="72"/>
      <c r="DX92" s="72"/>
      <c r="DY92" s="72"/>
      <c r="DZ92" s="81"/>
      <c r="EA92" s="81"/>
      <c r="EB92" s="81"/>
      <c r="EC92" s="72"/>
      <c r="ED92" s="72"/>
      <c r="EE92" s="72"/>
      <c r="EF92" s="72"/>
      <c r="EG92" s="72"/>
      <c r="EH92" s="72"/>
      <c r="EI92" s="72"/>
      <c r="EJ92" s="72"/>
      <c r="EK92" s="72"/>
      <c r="EL92" s="72"/>
      <c r="EM92" s="72"/>
      <c r="EN92" s="72"/>
      <c r="EO92" s="72"/>
      <c r="EP92" s="72"/>
      <c r="EQ92" s="72"/>
      <c r="ER92" s="72"/>
      <c r="ES92" s="72"/>
      <c r="ET92" s="72"/>
      <c r="EU92" s="72"/>
      <c r="EV92" s="72" t="s">
        <v>98</v>
      </c>
      <c r="EW92" s="72">
        <v>0</v>
      </c>
      <c r="EX92" s="72">
        <v>0</v>
      </c>
      <c r="EY92" s="72">
        <v>0</v>
      </c>
      <c r="EZ92" s="72">
        <v>0</v>
      </c>
      <c r="FA92" s="72">
        <v>0</v>
      </c>
      <c r="FB92" s="72">
        <v>0</v>
      </c>
      <c r="FC92" s="72">
        <v>0</v>
      </c>
      <c r="FD92" s="72">
        <v>2</v>
      </c>
      <c r="FE92" s="72">
        <v>0</v>
      </c>
      <c r="FF92" s="72">
        <v>0</v>
      </c>
      <c r="FG92" s="72">
        <v>0</v>
      </c>
      <c r="FH92" s="72"/>
      <c r="FI92" s="72" t="s">
        <v>8</v>
      </c>
      <c r="FJ92" s="72">
        <v>0</v>
      </c>
      <c r="FK92" s="72">
        <v>0</v>
      </c>
      <c r="FL92" s="72">
        <f t="shared" si="129"/>
        <v>0</v>
      </c>
      <c r="FM92" s="72">
        <v>0</v>
      </c>
      <c r="FN92" s="72">
        <v>2</v>
      </c>
      <c r="FO92" s="72">
        <v>0</v>
      </c>
      <c r="FP92" s="72">
        <v>2</v>
      </c>
      <c r="FQ92" s="72">
        <v>0</v>
      </c>
      <c r="FR92" s="72">
        <v>0</v>
      </c>
      <c r="FS92" s="72">
        <v>0</v>
      </c>
      <c r="FT92" s="72">
        <v>0</v>
      </c>
      <c r="FU92" s="72"/>
      <c r="FV92" s="72"/>
      <c r="FW92" s="72"/>
      <c r="FX92" s="72"/>
      <c r="FY92" s="72"/>
      <c r="FZ92" s="72"/>
      <c r="GB92" s="64">
        <v>0</v>
      </c>
      <c r="GC92" s="64">
        <v>1</v>
      </c>
      <c r="GD92" s="64">
        <v>2</v>
      </c>
      <c r="GE92" s="64">
        <v>3</v>
      </c>
      <c r="GF92" s="64">
        <v>4</v>
      </c>
      <c r="GG92" s="64">
        <v>5</v>
      </c>
      <c r="GH92" s="64">
        <v>6</v>
      </c>
      <c r="GI92" s="64">
        <v>7</v>
      </c>
      <c r="GJ92" s="64">
        <v>8</v>
      </c>
      <c r="GK92" s="64">
        <v>9</v>
      </c>
      <c r="GL92" s="64">
        <v>10</v>
      </c>
      <c r="GM92" s="64">
        <v>11</v>
      </c>
      <c r="GN92" s="64">
        <v>12</v>
      </c>
      <c r="GO92" s="64">
        <v>13</v>
      </c>
      <c r="GP92" s="64">
        <v>14</v>
      </c>
      <c r="GQ92" s="64">
        <v>15</v>
      </c>
      <c r="GR92" s="64">
        <v>16</v>
      </c>
      <c r="GS92" s="64">
        <v>17</v>
      </c>
      <c r="GT92" s="64">
        <v>18</v>
      </c>
      <c r="GU92" s="64">
        <v>19</v>
      </c>
      <c r="GV92" s="64">
        <v>20</v>
      </c>
      <c r="GX92" s="64" t="s">
        <v>231</v>
      </c>
    </row>
    <row r="93" spans="1:274" x14ac:dyDescent="0.25">
      <c r="A93" s="9"/>
      <c r="B93" s="9"/>
      <c r="C93" s="9"/>
      <c r="D93" s="9"/>
      <c r="E93" s="9"/>
      <c r="F93" s="9"/>
      <c r="G93" s="9"/>
      <c r="H93" s="9"/>
      <c r="I93" s="9"/>
      <c r="J93" s="9"/>
      <c r="K93" s="9"/>
      <c r="L93" s="6" t="s">
        <v>177</v>
      </c>
      <c r="M93" s="11">
        <f>INDEX(cenník!$C$2:$I$568,MATCH($L93,cenník!$B$2:$B$557,0),MATCH(M$2,cenník!$C$1:$I$1,0))</f>
        <v>991020</v>
      </c>
      <c r="N93" s="11" t="str">
        <f>INDEX(cenník!$C$2:$I$568,MATCH($L93,cenník!$B$2:$B$557,0),MATCH(N$2,cenník!$C$1:$I$1,0))</f>
        <v>100ks</v>
      </c>
      <c r="O93" s="11">
        <f>ROUNDUP((IF(E80=Z2,((O86*5)+(SUM(X65:X80)*2)+(O92*2)),IF(E80=Z3,((O86*5)+(SUM(X65:X80)*2)),0)))/100,0)</f>
        <v>0</v>
      </c>
      <c r="P93" s="36">
        <f>INDEX(cenník!$C$2:$I$568,MATCH($L93,cenník!$B$2:$B$557,0),MATCH(P$2,cenník!$C$1:$I$1,0))</f>
        <v>24.13</v>
      </c>
      <c r="Q93" s="36">
        <f t="shared" si="125"/>
        <v>0</v>
      </c>
      <c r="R93" s="37">
        <f t="shared" si="123"/>
        <v>0</v>
      </c>
      <c r="S93" s="36">
        <f t="shared" si="124"/>
        <v>24.13</v>
      </c>
      <c r="T93" s="36">
        <f t="shared" si="126"/>
        <v>0</v>
      </c>
      <c r="U93" s="36">
        <f>INDEX(cenník!$C$2:$I$568,MATCH($L93,cenník!$B$2:$B$557,0),MATCH(U$2,cenník!$C$1:$I$1,0))*O93</f>
        <v>0</v>
      </c>
      <c r="V93" s="72"/>
      <c r="W93" s="72"/>
      <c r="X93" s="72"/>
      <c r="Y93" s="88">
        <v>35</v>
      </c>
      <c r="Z93" s="72" t="s">
        <v>23</v>
      </c>
      <c r="AA93" s="72" t="s">
        <v>24</v>
      </c>
      <c r="AB93" s="72" t="s">
        <v>55</v>
      </c>
      <c r="AC93" s="72" t="s">
        <v>45</v>
      </c>
      <c r="AD93" s="72">
        <v>35</v>
      </c>
      <c r="AE93" s="72" t="s">
        <v>35</v>
      </c>
      <c r="AF93" s="72" t="s">
        <v>36</v>
      </c>
      <c r="AG93" s="86" t="s">
        <v>84</v>
      </c>
      <c r="AH93" s="86" t="s">
        <v>84</v>
      </c>
      <c r="AI93" s="72" t="s">
        <v>13</v>
      </c>
      <c r="AJ93" s="72"/>
      <c r="AK93" s="72"/>
      <c r="AL93" s="72"/>
      <c r="AM93" s="72">
        <v>0</v>
      </c>
      <c r="AN93" s="72">
        <v>2</v>
      </c>
      <c r="AO93" s="72">
        <v>4</v>
      </c>
      <c r="AP93" s="72">
        <v>6</v>
      </c>
      <c r="AQ93" s="72">
        <v>8</v>
      </c>
      <c r="AR93" s="72">
        <v>10</v>
      </c>
      <c r="AS93" s="72">
        <v>12</v>
      </c>
      <c r="AT93" s="72">
        <v>14</v>
      </c>
      <c r="AU93" s="72">
        <v>16</v>
      </c>
      <c r="AV93" s="72">
        <v>18</v>
      </c>
      <c r="AW93" s="72">
        <v>20</v>
      </c>
      <c r="AX93" s="72">
        <v>22</v>
      </c>
      <c r="AY93" s="72">
        <v>24</v>
      </c>
      <c r="AZ93" s="72">
        <v>26</v>
      </c>
      <c r="BA93" s="72">
        <v>28</v>
      </c>
      <c r="BB93" s="72">
        <v>30</v>
      </c>
      <c r="BC93" s="72">
        <v>32</v>
      </c>
      <c r="BD93" s="72">
        <v>34</v>
      </c>
      <c r="BE93" s="72">
        <v>36</v>
      </c>
      <c r="BF93" s="72">
        <v>38</v>
      </c>
      <c r="BG93" s="72">
        <v>40</v>
      </c>
      <c r="BH93" s="72">
        <v>42</v>
      </c>
      <c r="BI93" s="72">
        <v>44</v>
      </c>
      <c r="BJ93" s="72">
        <v>46</v>
      </c>
      <c r="BK93" s="72">
        <v>48</v>
      </c>
      <c r="BL93" s="72">
        <v>50</v>
      </c>
      <c r="BM93" s="72"/>
      <c r="BN93" s="72"/>
      <c r="BO93" s="72"/>
      <c r="BP93" s="72"/>
      <c r="BQ93" s="72"/>
      <c r="BR93" s="72"/>
      <c r="BS93" s="72"/>
      <c r="BT93" s="72"/>
      <c r="BU93" s="72"/>
      <c r="BV93" s="72"/>
      <c r="BW93" s="72"/>
      <c r="BX93" s="72"/>
      <c r="BY93" s="72"/>
      <c r="BZ93" s="72"/>
      <c r="CA93" s="72"/>
      <c r="CB93" s="72"/>
      <c r="CC93" s="72"/>
      <c r="CD93" s="72"/>
      <c r="CE93" s="72"/>
      <c r="CF93" s="72"/>
      <c r="CG93" s="72"/>
      <c r="CH93" s="72"/>
      <c r="CI93" s="72"/>
      <c r="CJ93" s="72"/>
      <c r="CK93" s="72"/>
      <c r="CL93" s="72"/>
      <c r="CM93" s="72" t="s">
        <v>179</v>
      </c>
      <c r="CN93" s="72">
        <v>0</v>
      </c>
      <c r="CO93" s="72">
        <v>0</v>
      </c>
      <c r="CP93" s="72">
        <v>0</v>
      </c>
      <c r="CQ93" s="72">
        <v>4</v>
      </c>
      <c r="CR93" s="72">
        <v>4</v>
      </c>
      <c r="CS93" s="72">
        <v>4</v>
      </c>
      <c r="CT93" s="72">
        <v>8</v>
      </c>
      <c r="CU93" s="72">
        <v>8</v>
      </c>
      <c r="CV93" s="72">
        <v>8</v>
      </c>
      <c r="CW93" s="72">
        <v>12</v>
      </c>
      <c r="CX93" s="72">
        <v>12</v>
      </c>
      <c r="CY93" s="72">
        <v>12</v>
      </c>
      <c r="CZ93" s="72">
        <v>16</v>
      </c>
      <c r="DA93" s="72">
        <v>16</v>
      </c>
      <c r="DB93" s="72">
        <v>16</v>
      </c>
      <c r="DC93" s="72">
        <v>20</v>
      </c>
      <c r="DD93" s="72">
        <v>20</v>
      </c>
      <c r="DE93" s="72">
        <v>20</v>
      </c>
      <c r="DF93" s="72">
        <v>24</v>
      </c>
      <c r="DG93" s="72">
        <v>24</v>
      </c>
      <c r="DH93" s="72">
        <v>24</v>
      </c>
      <c r="DI93" s="72"/>
      <c r="DJ93" s="72"/>
      <c r="DK93" s="72"/>
      <c r="DL93" s="72"/>
      <c r="DM93" s="72"/>
      <c r="DN93" s="72"/>
      <c r="DO93" s="72"/>
      <c r="DP93" s="72"/>
      <c r="DQ93" s="72"/>
      <c r="DR93" s="72"/>
      <c r="DS93" s="72"/>
      <c r="DT93" s="72"/>
      <c r="DU93" s="72"/>
      <c r="DV93" s="72"/>
      <c r="DW93" s="72"/>
      <c r="DX93" s="72"/>
      <c r="DY93" s="72"/>
      <c r="DZ93" s="81"/>
      <c r="EA93" s="81"/>
      <c r="EB93" s="81"/>
      <c r="EC93" s="72"/>
      <c r="ED93" s="72"/>
      <c r="EE93" s="72"/>
      <c r="EF93" s="72"/>
      <c r="EG93" s="72"/>
      <c r="EH93" s="72"/>
      <c r="EI93" s="72"/>
      <c r="EJ93" s="72"/>
      <c r="EK93" s="72"/>
      <c r="EL93" s="72"/>
      <c r="EM93" s="72"/>
      <c r="EN93" s="72"/>
      <c r="EO93" s="72"/>
      <c r="EP93" s="72"/>
      <c r="EQ93" s="72"/>
      <c r="ER93" s="72"/>
      <c r="ES93" s="72"/>
      <c r="ET93" s="72"/>
      <c r="EU93" s="72"/>
      <c r="EV93" s="72" t="s">
        <v>100</v>
      </c>
      <c r="EW93" s="72">
        <v>0</v>
      </c>
      <c r="EX93" s="72">
        <v>2</v>
      </c>
      <c r="EY93" s="72">
        <v>0</v>
      </c>
      <c r="EZ93" s="72">
        <v>2</v>
      </c>
      <c r="FA93" s="72">
        <v>0</v>
      </c>
      <c r="FB93" s="72">
        <v>2</v>
      </c>
      <c r="FC93" s="72">
        <v>0</v>
      </c>
      <c r="FD93" s="72">
        <v>0</v>
      </c>
      <c r="FE93" s="72">
        <v>0</v>
      </c>
      <c r="FF93" s="72">
        <v>0</v>
      </c>
      <c r="FG93" s="72">
        <v>0</v>
      </c>
      <c r="FH93" s="72"/>
      <c r="FI93" s="72" t="s">
        <v>98</v>
      </c>
      <c r="FJ93" s="72">
        <v>0</v>
      </c>
      <c r="FK93" s="72">
        <v>0</v>
      </c>
      <c r="FL93" s="72">
        <f t="shared" si="129"/>
        <v>0</v>
      </c>
      <c r="FM93" s="72">
        <v>0</v>
      </c>
      <c r="FN93" s="72">
        <v>0</v>
      </c>
      <c r="FO93" s="72">
        <v>0</v>
      </c>
      <c r="FP93" s="72">
        <v>0</v>
      </c>
      <c r="FQ93" s="72">
        <v>0</v>
      </c>
      <c r="FR93" s="72">
        <v>0</v>
      </c>
      <c r="FS93" s="72">
        <v>0</v>
      </c>
      <c r="FT93" s="72">
        <v>0</v>
      </c>
      <c r="FU93" s="72"/>
      <c r="FV93" s="72"/>
      <c r="FW93" s="72"/>
      <c r="FX93" s="72"/>
      <c r="FY93" s="72"/>
      <c r="FZ93" s="72"/>
      <c r="GA93" s="125" t="s">
        <v>411</v>
      </c>
      <c r="GB93" s="64">
        <v>0</v>
      </c>
      <c r="GC93" s="64">
        <v>1</v>
      </c>
      <c r="GD93" s="64">
        <v>1</v>
      </c>
      <c r="GE93" s="64">
        <v>1</v>
      </c>
      <c r="GF93" s="64">
        <v>1</v>
      </c>
      <c r="GG93" s="64">
        <v>2</v>
      </c>
      <c r="GH93" s="64">
        <v>2</v>
      </c>
      <c r="GI93" s="64">
        <v>3</v>
      </c>
      <c r="GJ93" s="64">
        <v>3</v>
      </c>
      <c r="GK93" s="64">
        <v>4</v>
      </c>
      <c r="GL93" s="64">
        <v>4</v>
      </c>
      <c r="GM93" s="64">
        <v>5</v>
      </c>
      <c r="GN93" s="64">
        <v>5</v>
      </c>
      <c r="GO93" s="64">
        <v>0</v>
      </c>
      <c r="GP93" s="64">
        <v>0</v>
      </c>
      <c r="GQ93" s="64">
        <v>1</v>
      </c>
      <c r="GR93" s="64">
        <v>1</v>
      </c>
      <c r="GS93" s="64">
        <v>2</v>
      </c>
      <c r="GT93" s="64">
        <v>2</v>
      </c>
      <c r="GU93" s="64">
        <v>2</v>
      </c>
      <c r="GV93" s="64">
        <v>3</v>
      </c>
      <c r="GY93" s="64">
        <v>0</v>
      </c>
      <c r="GZ93" s="64">
        <v>1</v>
      </c>
      <c r="HA93" s="64">
        <v>2</v>
      </c>
      <c r="HB93" s="64">
        <v>3</v>
      </c>
      <c r="HC93" s="64">
        <v>4</v>
      </c>
      <c r="HD93" s="64">
        <v>5</v>
      </c>
      <c r="HE93" s="64">
        <v>6</v>
      </c>
      <c r="HF93" s="64">
        <v>7</v>
      </c>
      <c r="HG93" s="64">
        <v>8</v>
      </c>
      <c r="HH93" s="64">
        <v>9</v>
      </c>
      <c r="HI93" s="64">
        <v>10</v>
      </c>
      <c r="HJ93" s="64">
        <v>11</v>
      </c>
      <c r="HK93" s="64">
        <v>12</v>
      </c>
      <c r="HL93" s="64">
        <v>13</v>
      </c>
      <c r="HM93" s="64">
        <v>14</v>
      </c>
      <c r="HN93" s="64">
        <v>15</v>
      </c>
      <c r="HO93" s="64">
        <v>16</v>
      </c>
      <c r="HP93" s="64">
        <v>17</v>
      </c>
      <c r="HQ93" s="64">
        <v>18</v>
      </c>
      <c r="HR93" s="64">
        <v>19</v>
      </c>
      <c r="HS93" s="64">
        <v>20</v>
      </c>
      <c r="HV93" s="83" t="s">
        <v>352</v>
      </c>
      <c r="IS93" s="64" t="s">
        <v>352</v>
      </c>
    </row>
    <row r="94" spans="1:274" x14ac:dyDescent="0.25">
      <c r="A94" s="9"/>
      <c r="B94" s="9"/>
      <c r="C94" s="9"/>
      <c r="D94" s="9"/>
      <c r="E94" s="9"/>
      <c r="F94" s="9"/>
      <c r="G94" s="9"/>
      <c r="H94" s="9"/>
      <c r="I94" s="9"/>
      <c r="J94" s="9"/>
      <c r="K94" s="9"/>
      <c r="L94" s="6" t="s">
        <v>44</v>
      </c>
      <c r="M94" s="11">
        <f>INDEX(cenník!$C$2:$I$568,MATCH($L94,cenník!$B$2:$B$557,0),MATCH(M$2,cenník!$C$1:$I$1,0))</f>
        <v>890009</v>
      </c>
      <c r="N94" s="11" t="str">
        <f>INDEX(cenník!$C$2:$I$568,MATCH($L94,cenník!$B$2:$B$557,0),MATCH(N$2,cenník!$C$1:$I$1,0))</f>
        <v>100ks</v>
      </c>
      <c r="O94" s="11">
        <f>O93</f>
        <v>0</v>
      </c>
      <c r="P94" s="36">
        <f>INDEX(cenník!$C$2:$I$568,MATCH($L94,cenník!$B$2:$B$557,0),MATCH(P$2,cenník!$C$1:$I$1,0))</f>
        <v>15.96</v>
      </c>
      <c r="Q94" s="36">
        <f t="shared" si="125"/>
        <v>0</v>
      </c>
      <c r="R94" s="37">
        <f t="shared" si="123"/>
        <v>0</v>
      </c>
      <c r="S94" s="36">
        <f t="shared" si="124"/>
        <v>15.96</v>
      </c>
      <c r="T94" s="36">
        <f t="shared" si="126"/>
        <v>0</v>
      </c>
      <c r="U94" s="36">
        <f>INDEX(cenník!$C$2:$I$568,MATCH($L94,cenník!$B$2:$B$557,0),MATCH(U$2,cenník!$C$1:$I$1,0))*O94</f>
        <v>0</v>
      </c>
      <c r="V94" s="72"/>
      <c r="W94" s="72"/>
      <c r="X94" s="72"/>
      <c r="Y94" s="88">
        <v>38</v>
      </c>
      <c r="Z94" s="72" t="s">
        <v>25</v>
      </c>
      <c r="AA94" s="72"/>
      <c r="AB94" s="72" t="s">
        <v>55</v>
      </c>
      <c r="AC94" s="72" t="s">
        <v>45</v>
      </c>
      <c r="AD94" s="72">
        <v>38</v>
      </c>
      <c r="AE94" s="72" t="s">
        <v>37</v>
      </c>
      <c r="AF94" s="72"/>
      <c r="AG94" s="86" t="s">
        <v>84</v>
      </c>
      <c r="AH94" s="86" t="s">
        <v>84</v>
      </c>
      <c r="AI94" s="72" t="s">
        <v>13</v>
      </c>
      <c r="AJ94" s="72"/>
      <c r="AK94" s="72"/>
      <c r="AL94" s="72"/>
      <c r="AM94" s="72"/>
      <c r="AN94" s="72"/>
      <c r="AO94" s="72"/>
      <c r="AP94" s="72"/>
      <c r="AQ94" s="72"/>
      <c r="AR94" s="72"/>
      <c r="AS94" s="72"/>
      <c r="AT94" s="72"/>
      <c r="AU94" s="72"/>
      <c r="AV94" s="72"/>
      <c r="AW94" s="72"/>
      <c r="AX94" s="72"/>
      <c r="AY94" s="72"/>
      <c r="AZ94" s="72"/>
      <c r="BA94" s="72"/>
      <c r="BB94" s="72"/>
      <c r="BC94" s="72"/>
      <c r="BD94" s="72"/>
      <c r="BE94" s="72"/>
      <c r="BF94" s="72"/>
      <c r="BG94" s="72"/>
      <c r="BH94" s="72"/>
      <c r="BI94" s="72"/>
      <c r="BJ94" s="72"/>
      <c r="BK94" s="72"/>
      <c r="BL94" s="72"/>
      <c r="BM94" s="72"/>
      <c r="BN94" s="72"/>
      <c r="BO94" s="72"/>
      <c r="BP94" s="72"/>
      <c r="BQ94" s="72"/>
      <c r="BR94" s="72"/>
      <c r="BS94" s="72"/>
      <c r="BT94" s="72"/>
      <c r="BU94" s="72"/>
      <c r="BV94" s="72"/>
      <c r="BW94" s="72"/>
      <c r="BX94" s="72"/>
      <c r="BY94" s="72"/>
      <c r="BZ94" s="72"/>
      <c r="CA94" s="72"/>
      <c r="CB94" s="72"/>
      <c r="CC94" s="72"/>
      <c r="CD94" s="72"/>
      <c r="CE94" s="72"/>
      <c r="CF94" s="72"/>
      <c r="CG94" s="72"/>
      <c r="CH94" s="72"/>
      <c r="CI94" s="72"/>
      <c r="CJ94" s="72"/>
      <c r="CK94" s="72"/>
      <c r="CL94" s="72"/>
      <c r="CM94" s="72" t="s">
        <v>236</v>
      </c>
      <c r="CN94" s="72">
        <v>0</v>
      </c>
      <c r="CO94" s="72">
        <v>2</v>
      </c>
      <c r="CP94" s="72">
        <v>0</v>
      </c>
      <c r="CQ94" s="72">
        <v>4</v>
      </c>
      <c r="CR94" s="72">
        <v>2</v>
      </c>
      <c r="CS94" s="72">
        <v>0</v>
      </c>
      <c r="CT94" s="72">
        <v>4</v>
      </c>
      <c r="CU94" s="72">
        <v>2</v>
      </c>
      <c r="CV94" s="72">
        <v>0</v>
      </c>
      <c r="CW94" s="72">
        <v>4</v>
      </c>
      <c r="CX94" s="72">
        <v>2</v>
      </c>
      <c r="CY94" s="72">
        <v>0</v>
      </c>
      <c r="CZ94" s="72">
        <v>4</v>
      </c>
      <c r="DA94" s="72">
        <v>2</v>
      </c>
      <c r="DB94" s="72">
        <v>0</v>
      </c>
      <c r="DC94" s="72">
        <v>4</v>
      </c>
      <c r="DD94" s="72">
        <v>2</v>
      </c>
      <c r="DE94" s="72">
        <v>0</v>
      </c>
      <c r="DF94" s="72">
        <v>4</v>
      </c>
      <c r="DG94" s="72">
        <v>2</v>
      </c>
      <c r="DH94" s="72">
        <v>0</v>
      </c>
      <c r="DI94" s="72"/>
      <c r="DJ94" s="72"/>
      <c r="DK94" s="72"/>
      <c r="DL94" s="72"/>
      <c r="DM94" s="72"/>
      <c r="DN94" s="72"/>
      <c r="DO94" s="72"/>
      <c r="DP94" s="72"/>
      <c r="DQ94" s="72"/>
      <c r="DR94" s="72"/>
      <c r="DS94" s="72"/>
      <c r="DT94" s="72"/>
      <c r="DU94" s="72"/>
      <c r="DV94" s="72"/>
      <c r="DW94" s="72"/>
      <c r="DX94" s="72"/>
      <c r="DY94" s="72"/>
      <c r="DZ94" s="81"/>
      <c r="EA94" s="81"/>
      <c r="EB94" s="81"/>
      <c r="EC94" s="72"/>
      <c r="ED94" s="72"/>
      <c r="EE94" s="72"/>
      <c r="EF94" s="72"/>
      <c r="EG94" s="72"/>
      <c r="EH94" s="72"/>
      <c r="EI94" s="72"/>
      <c r="EJ94" s="72"/>
      <c r="EK94" s="72"/>
      <c r="EL94" s="72"/>
      <c r="EM94" s="72"/>
      <c r="EN94" s="72"/>
      <c r="EO94" s="72"/>
      <c r="EP94" s="72"/>
      <c r="EQ94" s="72"/>
      <c r="ER94" s="72"/>
      <c r="ES94" s="72"/>
      <c r="ET94" s="72"/>
      <c r="EU94" s="72"/>
      <c r="EV94" s="72" t="s">
        <v>114</v>
      </c>
      <c r="EW94" s="72">
        <v>0</v>
      </c>
      <c r="EX94" s="72">
        <v>0</v>
      </c>
      <c r="EY94" s="72">
        <v>0</v>
      </c>
      <c r="EZ94" s="72">
        <v>0</v>
      </c>
      <c r="FA94" s="72">
        <v>0</v>
      </c>
      <c r="FB94" s="72">
        <v>0</v>
      </c>
      <c r="FC94" s="72">
        <v>0</v>
      </c>
      <c r="FD94" s="72">
        <v>0</v>
      </c>
      <c r="FE94" s="72">
        <v>0</v>
      </c>
      <c r="FF94" s="72">
        <v>0</v>
      </c>
      <c r="FG94" s="72">
        <v>0</v>
      </c>
      <c r="FH94" s="72"/>
      <c r="FI94" s="72" t="s">
        <v>100</v>
      </c>
      <c r="FJ94" s="72">
        <v>0</v>
      </c>
      <c r="FK94" s="72">
        <v>0</v>
      </c>
      <c r="FL94" s="72">
        <f t="shared" si="129"/>
        <v>0</v>
      </c>
      <c r="FM94" s="72">
        <v>0</v>
      </c>
      <c r="FN94" s="72">
        <v>0</v>
      </c>
      <c r="FO94" s="72">
        <v>0</v>
      </c>
      <c r="FP94" s="72">
        <v>0</v>
      </c>
      <c r="FQ94" s="72">
        <v>0</v>
      </c>
      <c r="FR94" s="72">
        <v>0</v>
      </c>
      <c r="FS94" s="72">
        <v>0</v>
      </c>
      <c r="FT94" s="72">
        <v>0</v>
      </c>
      <c r="FU94" s="72"/>
      <c r="FV94" s="72"/>
      <c r="FW94" s="72"/>
      <c r="FX94" s="72"/>
      <c r="FY94" s="72"/>
      <c r="FZ94" s="72"/>
      <c r="GA94" s="125" t="s">
        <v>412</v>
      </c>
      <c r="GB94" s="64">
        <v>0</v>
      </c>
      <c r="GC94" s="64">
        <v>0</v>
      </c>
      <c r="GD94" s="64">
        <v>1</v>
      </c>
      <c r="GE94" s="64">
        <v>2</v>
      </c>
      <c r="GF94" s="64">
        <v>3</v>
      </c>
      <c r="GG94" s="64">
        <v>3</v>
      </c>
      <c r="GH94" s="64">
        <v>4</v>
      </c>
      <c r="GI94" s="64">
        <v>4</v>
      </c>
      <c r="GJ94" s="64">
        <v>5</v>
      </c>
      <c r="GK94" s="64">
        <v>5</v>
      </c>
      <c r="GL94" s="64">
        <v>6</v>
      </c>
      <c r="GM94" s="64">
        <v>6</v>
      </c>
      <c r="GN94" s="64">
        <v>7</v>
      </c>
      <c r="GO94" s="64">
        <v>12</v>
      </c>
      <c r="GP94" s="64">
        <v>13</v>
      </c>
      <c r="GQ94" s="64">
        <v>13</v>
      </c>
      <c r="GR94" s="64">
        <v>14</v>
      </c>
      <c r="GS94" s="64">
        <v>14</v>
      </c>
      <c r="GT94" s="64">
        <v>15</v>
      </c>
      <c r="GU94" s="64">
        <v>16</v>
      </c>
      <c r="GV94" s="64">
        <v>16</v>
      </c>
      <c r="GX94" s="125" t="s">
        <v>411</v>
      </c>
      <c r="GY94" s="64">
        <v>0</v>
      </c>
      <c r="GZ94" s="64">
        <v>0</v>
      </c>
      <c r="HA94" s="64">
        <v>3</v>
      </c>
      <c r="HB94" s="64">
        <v>2</v>
      </c>
      <c r="HC94" s="64">
        <v>1</v>
      </c>
      <c r="HD94" s="64">
        <v>5</v>
      </c>
      <c r="HE94" s="64">
        <v>4</v>
      </c>
      <c r="HF94" s="64">
        <v>3</v>
      </c>
      <c r="HG94" s="64">
        <v>2</v>
      </c>
      <c r="HH94" s="64">
        <v>0</v>
      </c>
      <c r="HI94" s="64">
        <v>5</v>
      </c>
      <c r="HJ94" s="64">
        <v>4</v>
      </c>
      <c r="HK94" s="64">
        <v>3</v>
      </c>
      <c r="HL94" s="64">
        <v>1</v>
      </c>
      <c r="HM94" s="64">
        <v>0</v>
      </c>
      <c r="HN94" s="64">
        <v>5</v>
      </c>
      <c r="HO94" s="64">
        <v>3</v>
      </c>
      <c r="HP94" s="64">
        <v>2</v>
      </c>
      <c r="HQ94" s="64">
        <v>1</v>
      </c>
      <c r="HR94" s="64">
        <v>0</v>
      </c>
      <c r="HS94" s="64">
        <v>4</v>
      </c>
      <c r="HW94" s="64">
        <v>0</v>
      </c>
      <c r="HX94" s="64">
        <v>1</v>
      </c>
      <c r="HY94" s="64">
        <v>2</v>
      </c>
      <c r="HZ94" s="64">
        <v>3</v>
      </c>
      <c r="IA94" s="64">
        <v>4</v>
      </c>
      <c r="IB94" s="64">
        <v>5</v>
      </c>
      <c r="IC94" s="64">
        <v>6</v>
      </c>
      <c r="ID94" s="64">
        <v>7</v>
      </c>
      <c r="IE94" s="64">
        <v>8</v>
      </c>
      <c r="IF94" s="64">
        <v>9</v>
      </c>
      <c r="IG94" s="64">
        <v>10</v>
      </c>
      <c r="IH94" s="64">
        <v>11</v>
      </c>
      <c r="II94" s="64">
        <v>12</v>
      </c>
      <c r="IJ94" s="64">
        <v>13</v>
      </c>
      <c r="IK94" s="64">
        <v>14</v>
      </c>
      <c r="IL94" s="64">
        <v>15</v>
      </c>
      <c r="IM94" s="64">
        <v>16</v>
      </c>
      <c r="IN94" s="64">
        <v>17</v>
      </c>
      <c r="IO94" s="64">
        <v>18</v>
      </c>
      <c r="IP94" s="64">
        <v>19</v>
      </c>
      <c r="IQ94" s="64">
        <v>20</v>
      </c>
      <c r="IT94" s="64">
        <f t="shared" si="101"/>
        <v>0</v>
      </c>
      <c r="IU94" s="64">
        <f t="shared" si="102"/>
        <v>2</v>
      </c>
      <c r="IV94" s="64">
        <f t="shared" si="103"/>
        <v>4</v>
      </c>
      <c r="IW94" s="64">
        <f t="shared" si="104"/>
        <v>6</v>
      </c>
      <c r="IX94" s="64">
        <f t="shared" si="105"/>
        <v>8</v>
      </c>
      <c r="IY94" s="64">
        <f t="shared" si="106"/>
        <v>10</v>
      </c>
      <c r="IZ94" s="64">
        <f t="shared" si="107"/>
        <v>12</v>
      </c>
      <c r="JA94" s="64">
        <f t="shared" si="108"/>
        <v>14</v>
      </c>
      <c r="JB94" s="64">
        <f t="shared" si="98"/>
        <v>16</v>
      </c>
      <c r="JC94" s="64">
        <f t="shared" si="109"/>
        <v>18</v>
      </c>
      <c r="JD94" s="64">
        <f t="shared" si="110"/>
        <v>20</v>
      </c>
      <c r="JE94" s="64">
        <f t="shared" si="111"/>
        <v>22</v>
      </c>
      <c r="JF94" s="64">
        <f t="shared" si="112"/>
        <v>24</v>
      </c>
      <c r="JG94" s="64">
        <f t="shared" si="113"/>
        <v>26</v>
      </c>
      <c r="JH94" s="64">
        <f t="shared" si="114"/>
        <v>28</v>
      </c>
      <c r="JI94" s="64">
        <f t="shared" si="115"/>
        <v>30</v>
      </c>
      <c r="JJ94" s="64">
        <f t="shared" si="116"/>
        <v>32</v>
      </c>
      <c r="JK94" s="64">
        <f t="shared" si="117"/>
        <v>34</v>
      </c>
      <c r="JL94" s="64">
        <f t="shared" si="118"/>
        <v>36</v>
      </c>
      <c r="JM94" s="64">
        <f t="shared" si="119"/>
        <v>38</v>
      </c>
      <c r="JN94" s="64">
        <f t="shared" si="120"/>
        <v>40</v>
      </c>
    </row>
    <row r="95" spans="1:274" x14ac:dyDescent="0.25">
      <c r="A95" s="9"/>
      <c r="B95" s="9"/>
      <c r="C95" s="9"/>
      <c r="D95" s="9"/>
      <c r="E95" s="9"/>
      <c r="F95" s="9"/>
      <c r="G95" s="9"/>
      <c r="H95" s="9"/>
      <c r="I95" s="9"/>
      <c r="J95" s="9"/>
      <c r="K95" s="9"/>
      <c r="L95" s="6" t="str">
        <f>IF(E78="štandardné","PUP",IF(E78="klik","PUPK",0))</f>
        <v>PUPK</v>
      </c>
      <c r="M95" s="11">
        <f>INDEX(cenník!$C$2:$I$568,MATCH($L95,cenník!$B$2:$B$557,0),MATCH(M$2,cenník!$C$1:$I$1,0))</f>
        <v>897304</v>
      </c>
      <c r="N95" s="11" t="str">
        <f>INDEX(cenník!$C$2:$I$568,MATCH($L95,cenník!$B$2:$B$557,0),MATCH(N$2,cenník!$C$1:$I$1,0))</f>
        <v>ks</v>
      </c>
      <c r="O95" s="11">
        <f>SUM((IF(MOD(A76,2)=0,A76/2,IF(MOD(A76,2)=1,FLOOR(A76/2,1)+1,0))*C76),(IF(MOD(A77,2)=0,A77/2,IF(MOD(A77,2)=1,FLOOR(A77/2,1)+1,0))*C77),(IF(MOD(A78,2)=0,A78/2,IF(MOD(A78,2)=1,FLOOR(A78/2,1)+1,0))*C78),(IF(MOD(A79,2)=0,A79/2,IF(MOD(A79,2)=1,FLOOR(A79/2,1)+1,0))*C79),(IF(MOD(A80,2)=0,A80/2,IF(MOD(A80,2)=1,FLOOR(A80/2,1)+1,0))*C80),(IF(MOD(A81,2)=0,A81/2,IF(MOD(A81,2)=1,FLOOR(A81/2,1)+1,0))*C81),(IF(MOD(A82,2)=0,A82/2,IF(MOD(A82,2)=1,FLOOR(A82/2,1)+1,0))*C82),(IF(MOD(A83,2)=0,A83/2,IF(MOD(A83,2)=1,FLOOR(A83/2,1)+1,0))*C83),(IF(MOD(A84,2)=0,A84/2,IF(MOD(A84,2)=1,FLOOR(A84/2,1)+1,0))*C84),(IF(MOD(A85,2)=0,A85/2,IF(MOD(A85,2)=1,FLOOR(A85/2,1)+1,0))*C85),(IF(MOD(A86,2)=0,A86/2,IF(MOD(A86,2)=1,FLOOR(A86/2,1)+1,0))*C86),(IF(MOD(A87,2)=0,A87/2,IF(MOD(A87,2)=1,FLOOR(A87/2,1)+1,0))*C87),(IF(MOD(A88,2)=0,A88/2,IF(MOD(A88,2)=1,FLOOR(A88/2,1)+1,0))*C88),(IF(MOD(A89,2)=0,A89/2,IF(MOD(A89,2)=1,FLOOR(A89/2,1)+1,0))*C89),(IF(MOD(A90,2)=0,A90/2,IF(MOD(A90,2)=1,FLOOR(A90/2,1)+1,0))*C90),(IF(MOD(A91,2)=0,A91/2,IF(MOD(A91,2)=1,FLOOR(A91/2,1)+1,0))*C91))</f>
        <v>0</v>
      </c>
      <c r="P95" s="36">
        <f>INDEX(cenník!$C$2:$I$568,MATCH($L95,cenník!$B$2:$B$557,0),MATCH(P$2,cenník!$C$1:$I$1,0))</f>
        <v>0.83</v>
      </c>
      <c r="Q95" s="36">
        <f t="shared" ref="Q95:Q100" si="130">O95*P95</f>
        <v>0</v>
      </c>
      <c r="R95" s="37">
        <f t="shared" si="123"/>
        <v>0</v>
      </c>
      <c r="S95" s="36">
        <f t="shared" si="124"/>
        <v>0.83</v>
      </c>
      <c r="T95" s="36">
        <f t="shared" ref="T95:T100" si="131">O95*S95</f>
        <v>0</v>
      </c>
      <c r="U95" s="36">
        <f>INDEX(cenník!$C$2:$I$568,MATCH($L95,cenník!$B$2:$B$557,0),MATCH(U$2,cenník!$C$1:$I$1,0))*O95</f>
        <v>0</v>
      </c>
      <c r="V95" s="72"/>
      <c r="W95" s="72"/>
      <c r="X95" s="72"/>
      <c r="Y95" s="88">
        <v>40</v>
      </c>
      <c r="Z95" s="72" t="s">
        <v>26</v>
      </c>
      <c r="AA95" s="72" t="s">
        <v>27</v>
      </c>
      <c r="AB95" s="72" t="s">
        <v>54</v>
      </c>
      <c r="AC95" s="72" t="s">
        <v>45</v>
      </c>
      <c r="AD95" s="72">
        <v>40</v>
      </c>
      <c r="AE95" s="72" t="s">
        <v>38</v>
      </c>
      <c r="AF95" s="72" t="s">
        <v>39</v>
      </c>
      <c r="AG95" s="86" t="s">
        <v>84</v>
      </c>
      <c r="AH95" s="86" t="s">
        <v>84</v>
      </c>
      <c r="AI95" s="72" t="s">
        <v>13</v>
      </c>
      <c r="AJ95" s="72"/>
      <c r="AK95" s="72"/>
      <c r="AL95" s="72"/>
      <c r="AM95" s="72"/>
      <c r="AN95" s="72"/>
      <c r="AO95" s="72"/>
      <c r="AP95" s="72"/>
      <c r="AQ95" s="72"/>
      <c r="AR95" s="72"/>
      <c r="AS95" s="72"/>
      <c r="AT95" s="72"/>
      <c r="AU95" s="72"/>
      <c r="AV95" s="72"/>
      <c r="AW95" s="72"/>
      <c r="AX95" s="72"/>
      <c r="AY95" s="72"/>
      <c r="AZ95" s="72"/>
      <c r="BA95" s="72"/>
      <c r="BB95" s="72"/>
      <c r="BC95" s="72"/>
      <c r="BD95" s="72"/>
      <c r="BE95" s="72"/>
      <c r="BF95" s="72"/>
      <c r="BG95" s="72"/>
      <c r="BH95" s="72"/>
      <c r="BI95" s="72"/>
      <c r="BJ95" s="72"/>
      <c r="BK95" s="72"/>
      <c r="BL95" s="72"/>
      <c r="BM95" s="72"/>
      <c r="BN95" s="72"/>
      <c r="BO95" s="72"/>
      <c r="BP95" s="72"/>
      <c r="BQ95" s="72"/>
      <c r="BR95" s="72"/>
      <c r="BS95" s="72"/>
      <c r="BT95" s="72"/>
      <c r="BU95" s="72"/>
      <c r="BV95" s="72"/>
      <c r="BW95" s="72"/>
      <c r="BX95" s="72"/>
      <c r="BY95" s="72"/>
      <c r="BZ95" s="72"/>
      <c r="CA95" s="72"/>
      <c r="CB95" s="72"/>
      <c r="CC95" s="72"/>
      <c r="CD95" s="72"/>
      <c r="CE95" s="72"/>
      <c r="CF95" s="72"/>
      <c r="CG95" s="72"/>
      <c r="CH95" s="72"/>
      <c r="CI95" s="72"/>
      <c r="CJ95" s="72"/>
      <c r="CK95" s="72"/>
      <c r="CL95" s="72"/>
      <c r="CM95" s="72" t="s">
        <v>238</v>
      </c>
      <c r="CN95" s="72">
        <v>0</v>
      </c>
      <c r="CO95" s="72">
        <v>0</v>
      </c>
      <c r="CP95" s="72">
        <v>2</v>
      </c>
      <c r="CQ95" s="72">
        <v>0</v>
      </c>
      <c r="CR95" s="72">
        <v>2</v>
      </c>
      <c r="CS95" s="72">
        <v>4</v>
      </c>
      <c r="CT95" s="72">
        <v>2</v>
      </c>
      <c r="CU95" s="72">
        <v>4</v>
      </c>
      <c r="CV95" s="72">
        <v>6</v>
      </c>
      <c r="CW95" s="72">
        <v>4</v>
      </c>
      <c r="CX95" s="72">
        <v>6</v>
      </c>
      <c r="CY95" s="72">
        <v>8</v>
      </c>
      <c r="CZ95" s="72">
        <v>6</v>
      </c>
      <c r="DA95" s="72">
        <v>8</v>
      </c>
      <c r="DB95" s="72">
        <v>10</v>
      </c>
      <c r="DC95" s="72">
        <v>8</v>
      </c>
      <c r="DD95" s="72">
        <v>10</v>
      </c>
      <c r="DE95" s="72">
        <v>12</v>
      </c>
      <c r="DF95" s="72">
        <v>10</v>
      </c>
      <c r="DG95" s="72">
        <v>12</v>
      </c>
      <c r="DH95" s="72">
        <v>14</v>
      </c>
      <c r="DI95" s="72"/>
      <c r="DJ95" s="72"/>
      <c r="DK95" s="72"/>
      <c r="DL95" s="72"/>
      <c r="DM95" s="72"/>
      <c r="DN95" s="72"/>
      <c r="DO95" s="72"/>
      <c r="DP95" s="72"/>
      <c r="DQ95" s="72"/>
      <c r="DR95" s="72"/>
      <c r="DS95" s="72"/>
      <c r="DT95" s="72"/>
      <c r="DU95" s="72"/>
      <c r="DV95" s="72"/>
      <c r="DW95" s="72"/>
      <c r="DX95" s="72"/>
      <c r="DY95" s="72"/>
      <c r="DZ95" s="81"/>
      <c r="EA95" s="81"/>
      <c r="EB95" s="81"/>
      <c r="EC95" s="72"/>
      <c r="ED95" s="72"/>
      <c r="EE95" s="72"/>
      <c r="EF95" s="72"/>
      <c r="EG95" s="72"/>
      <c r="EH95" s="72"/>
      <c r="EI95" s="72"/>
      <c r="EJ95" s="72"/>
      <c r="EK95" s="72"/>
      <c r="EL95" s="72"/>
      <c r="EM95" s="72"/>
      <c r="EN95" s="72"/>
      <c r="EO95" s="72"/>
      <c r="EP95" s="72"/>
      <c r="EQ95" s="72"/>
      <c r="ER95" s="72"/>
      <c r="ES95" s="72"/>
      <c r="ET95" s="72"/>
      <c r="EU95" s="72"/>
      <c r="EV95" s="72" t="s">
        <v>9</v>
      </c>
      <c r="EW95" s="72">
        <v>0</v>
      </c>
      <c r="EX95" s="72">
        <v>0</v>
      </c>
      <c r="EY95" s="72">
        <v>0</v>
      </c>
      <c r="EZ95" s="72">
        <v>0</v>
      </c>
      <c r="FA95" s="72">
        <v>0</v>
      </c>
      <c r="FB95" s="72">
        <v>0</v>
      </c>
      <c r="FC95" s="72">
        <v>0</v>
      </c>
      <c r="FD95" s="72">
        <v>0</v>
      </c>
      <c r="FE95" s="72">
        <v>0</v>
      </c>
      <c r="FF95" s="72">
        <v>4</v>
      </c>
      <c r="FG95" s="72">
        <v>0</v>
      </c>
      <c r="FH95" s="72"/>
      <c r="FI95" s="72" t="s">
        <v>114</v>
      </c>
      <c r="FJ95" s="72">
        <v>0</v>
      </c>
      <c r="FK95" s="72">
        <v>2</v>
      </c>
      <c r="FL95" s="72">
        <f t="shared" si="129"/>
        <v>0</v>
      </c>
      <c r="FM95" s="72">
        <v>0</v>
      </c>
      <c r="FN95" s="72">
        <v>0</v>
      </c>
      <c r="FO95" s="72">
        <v>0</v>
      </c>
      <c r="FP95" s="72">
        <v>0</v>
      </c>
      <c r="FQ95" s="72">
        <v>0</v>
      </c>
      <c r="FR95" s="72">
        <v>0</v>
      </c>
      <c r="FS95" s="72">
        <v>0</v>
      </c>
      <c r="FT95" s="72">
        <v>0</v>
      </c>
      <c r="FU95" s="72"/>
      <c r="FV95" s="72"/>
      <c r="FW95" s="72"/>
      <c r="FX95" s="72"/>
      <c r="FY95" s="72"/>
      <c r="FZ95" s="72"/>
      <c r="GA95" s="125" t="s">
        <v>413</v>
      </c>
      <c r="GB95" s="64">
        <v>0</v>
      </c>
      <c r="GC95" s="64">
        <v>0</v>
      </c>
      <c r="GD95" s="64">
        <v>0</v>
      </c>
      <c r="GE95" s="64">
        <v>0</v>
      </c>
      <c r="GF95" s="64">
        <v>0</v>
      </c>
      <c r="GG95" s="64">
        <v>0</v>
      </c>
      <c r="GH95" s="64">
        <v>0</v>
      </c>
      <c r="GI95" s="64">
        <v>0</v>
      </c>
      <c r="GJ95" s="64">
        <v>0</v>
      </c>
      <c r="GK95" s="64">
        <v>0</v>
      </c>
      <c r="GL95" s="64">
        <v>0</v>
      </c>
      <c r="GM95" s="64">
        <v>0</v>
      </c>
      <c r="GN95" s="64">
        <v>0</v>
      </c>
      <c r="GO95" s="64">
        <v>0</v>
      </c>
      <c r="GP95" s="64">
        <v>0</v>
      </c>
      <c r="GQ95" s="64">
        <v>0</v>
      </c>
      <c r="GR95" s="64">
        <v>0</v>
      </c>
      <c r="GS95" s="64">
        <v>0</v>
      </c>
      <c r="GT95" s="64">
        <v>0</v>
      </c>
      <c r="GU95" s="64">
        <v>0</v>
      </c>
      <c r="GV95" s="64">
        <v>0</v>
      </c>
      <c r="GX95" s="125" t="s">
        <v>412</v>
      </c>
      <c r="GY95" s="64">
        <v>0</v>
      </c>
      <c r="GZ95" s="64">
        <v>0</v>
      </c>
      <c r="HA95" s="64">
        <v>0</v>
      </c>
      <c r="HB95" s="64">
        <v>2</v>
      </c>
      <c r="HC95" s="64">
        <v>4</v>
      </c>
      <c r="HD95" s="64">
        <v>2</v>
      </c>
      <c r="HE95" s="64">
        <v>4</v>
      </c>
      <c r="HF95" s="64">
        <v>6</v>
      </c>
      <c r="HG95" s="64">
        <v>8</v>
      </c>
      <c r="HH95" s="64">
        <v>11</v>
      </c>
      <c r="HI95" s="64">
        <v>8</v>
      </c>
      <c r="HJ95" s="64">
        <v>10</v>
      </c>
      <c r="HK95" s="64">
        <v>12</v>
      </c>
      <c r="HL95" s="64">
        <v>15</v>
      </c>
      <c r="HM95" s="64">
        <v>17</v>
      </c>
      <c r="HN95" s="64">
        <v>14</v>
      </c>
      <c r="HO95" s="64">
        <v>17</v>
      </c>
      <c r="HP95" s="64">
        <v>19</v>
      </c>
      <c r="HQ95" s="64">
        <v>21</v>
      </c>
      <c r="HR95" s="64">
        <v>23</v>
      </c>
      <c r="HS95" s="64">
        <v>21</v>
      </c>
      <c r="HV95" s="64" t="s">
        <v>380</v>
      </c>
      <c r="HW95" s="64">
        <v>0</v>
      </c>
      <c r="HX95" s="64">
        <v>2</v>
      </c>
      <c r="HY95" s="64">
        <v>4</v>
      </c>
      <c r="HZ95" s="64">
        <v>4</v>
      </c>
      <c r="IA95" s="64">
        <v>0</v>
      </c>
      <c r="IB95" s="64">
        <v>2</v>
      </c>
      <c r="IC95" s="64">
        <v>4</v>
      </c>
      <c r="ID95" s="64">
        <v>0</v>
      </c>
      <c r="IE95" s="64">
        <v>0</v>
      </c>
      <c r="IF95" s="64">
        <v>2</v>
      </c>
      <c r="IG95" s="64">
        <v>4</v>
      </c>
      <c r="IH95" s="64">
        <v>0</v>
      </c>
      <c r="II95" s="64">
        <v>2</v>
      </c>
      <c r="IJ95" s="64">
        <v>2</v>
      </c>
      <c r="IK95" s="64">
        <v>4</v>
      </c>
      <c r="IL95" s="64">
        <v>0</v>
      </c>
      <c r="IM95" s="64">
        <v>2</v>
      </c>
      <c r="IN95" s="64">
        <v>4</v>
      </c>
      <c r="IO95" s="64">
        <v>4</v>
      </c>
      <c r="IP95" s="64">
        <v>0</v>
      </c>
      <c r="IQ95" s="64">
        <v>2</v>
      </c>
      <c r="IS95" s="64" t="s">
        <v>380</v>
      </c>
      <c r="IT95" s="64">
        <f t="shared" si="101"/>
        <v>0</v>
      </c>
      <c r="IU95" s="64">
        <f t="shared" si="102"/>
        <v>4</v>
      </c>
      <c r="IV95" s="64">
        <f t="shared" si="103"/>
        <v>8</v>
      </c>
      <c r="IW95" s="64">
        <f t="shared" si="104"/>
        <v>8</v>
      </c>
      <c r="IX95" s="64">
        <f t="shared" si="105"/>
        <v>0</v>
      </c>
      <c r="IY95" s="64">
        <f t="shared" si="106"/>
        <v>4</v>
      </c>
      <c r="IZ95" s="64">
        <f t="shared" si="107"/>
        <v>8</v>
      </c>
      <c r="JA95" s="64">
        <f t="shared" si="108"/>
        <v>0</v>
      </c>
      <c r="JB95" s="64">
        <f t="shared" si="98"/>
        <v>0</v>
      </c>
      <c r="JC95" s="64">
        <f t="shared" si="109"/>
        <v>4</v>
      </c>
      <c r="JD95" s="64">
        <f t="shared" si="110"/>
        <v>8</v>
      </c>
      <c r="JE95" s="64">
        <f t="shared" si="111"/>
        <v>0</v>
      </c>
      <c r="JF95" s="64">
        <f t="shared" si="112"/>
        <v>4</v>
      </c>
      <c r="JG95" s="64">
        <f t="shared" si="113"/>
        <v>4</v>
      </c>
      <c r="JH95" s="64">
        <f t="shared" si="114"/>
        <v>8</v>
      </c>
      <c r="JI95" s="64">
        <f t="shared" si="115"/>
        <v>0</v>
      </c>
      <c r="JJ95" s="64">
        <f t="shared" si="116"/>
        <v>4</v>
      </c>
      <c r="JK95" s="64">
        <f t="shared" si="117"/>
        <v>8</v>
      </c>
      <c r="JL95" s="64">
        <f t="shared" si="118"/>
        <v>8</v>
      </c>
      <c r="JM95" s="64">
        <f t="shared" si="119"/>
        <v>0</v>
      </c>
      <c r="JN95" s="64">
        <f t="shared" si="120"/>
        <v>4</v>
      </c>
    </row>
    <row r="96" spans="1:274" x14ac:dyDescent="0.25">
      <c r="A96" s="9"/>
      <c r="B96" s="9"/>
      <c r="C96" s="9"/>
      <c r="D96" s="9"/>
      <c r="E96" s="9"/>
      <c r="F96" s="9"/>
      <c r="G96" s="9"/>
      <c r="H96" s="9"/>
      <c r="I96" s="9"/>
      <c r="J96" s="9"/>
      <c r="K96" s="9"/>
      <c r="L96" s="6" t="s">
        <v>233</v>
      </c>
      <c r="M96" s="11">
        <f>INDEX(cenník!$C$2:$I$568,MATCH($L96,cenník!$B$2:$B$557,0),MATCH(M$2,cenník!$C$1:$I$1,0))</f>
        <v>808251</v>
      </c>
      <c r="N96" s="11" t="str">
        <f>INDEX(cenník!$C$2:$I$568,MATCH($L96,cenník!$B$2:$B$557,0),MATCH(N$2,cenník!$C$1:$I$1,0))</f>
        <v>ks</v>
      </c>
      <c r="O96" s="11">
        <f>E83</f>
        <v>0</v>
      </c>
      <c r="P96" s="36">
        <f>INDEX(cenník!$C$2:$I$568,MATCH($L96,cenník!$B$2:$B$557,0),MATCH(P$2,cenník!$C$1:$I$1,0))</f>
        <v>0.21</v>
      </c>
      <c r="Q96" s="36">
        <f t="shared" si="130"/>
        <v>0</v>
      </c>
      <c r="R96" s="37">
        <f t="shared" si="123"/>
        <v>0</v>
      </c>
      <c r="S96" s="36">
        <f t="shared" si="124"/>
        <v>0.21</v>
      </c>
      <c r="T96" s="36">
        <f t="shared" si="131"/>
        <v>0</v>
      </c>
      <c r="U96" s="36">
        <f>INDEX(cenník!$C$2:$I$568,MATCH($L96,cenník!$B$2:$B$557,0),MATCH(U$2,cenník!$C$1:$I$1,0))*O96</f>
        <v>0</v>
      </c>
      <c r="V96" s="72"/>
      <c r="W96" s="72"/>
      <c r="X96" s="72"/>
      <c r="Y96" s="88">
        <v>42</v>
      </c>
      <c r="Z96" s="72" t="s">
        <v>28</v>
      </c>
      <c r="AA96" s="72"/>
      <c r="AB96" s="72" t="s">
        <v>54</v>
      </c>
      <c r="AC96" s="72" t="s">
        <v>45</v>
      </c>
      <c r="AD96" s="72">
        <v>42</v>
      </c>
      <c r="AE96" s="72" t="s">
        <v>40</v>
      </c>
      <c r="AF96" s="72"/>
      <c r="AG96" s="86" t="s">
        <v>84</v>
      </c>
      <c r="AH96" s="86" t="s">
        <v>84</v>
      </c>
      <c r="AI96" s="72" t="s">
        <v>13</v>
      </c>
      <c r="AJ96" s="72"/>
      <c r="AK96" s="72"/>
      <c r="AL96" s="72"/>
      <c r="AM96" s="72"/>
      <c r="AN96" s="72"/>
      <c r="AO96" s="72"/>
      <c r="AP96" s="72"/>
      <c r="AQ96" s="72"/>
      <c r="AR96" s="72"/>
      <c r="AS96" s="72"/>
      <c r="AT96" s="72"/>
      <c r="AU96" s="72"/>
      <c r="AV96" s="72"/>
      <c r="AW96" s="72"/>
      <c r="AX96" s="72"/>
      <c r="AY96" s="72"/>
      <c r="AZ96" s="72"/>
      <c r="BA96" s="72"/>
      <c r="BB96" s="72"/>
      <c r="BC96" s="72"/>
      <c r="BD96" s="72"/>
      <c r="BE96" s="72"/>
      <c r="BF96" s="72"/>
      <c r="BG96" s="72"/>
      <c r="BH96" s="72"/>
      <c r="BI96" s="72"/>
      <c r="BJ96" s="72"/>
      <c r="BK96" s="72"/>
      <c r="BL96" s="72"/>
      <c r="BM96" s="72"/>
      <c r="BN96" s="72"/>
      <c r="BO96" s="72"/>
      <c r="BP96" s="72"/>
      <c r="BQ96" s="72"/>
      <c r="BR96" s="72"/>
      <c r="BS96" s="72"/>
      <c r="BT96" s="72"/>
      <c r="BU96" s="72"/>
      <c r="BV96" s="72"/>
      <c r="BW96" s="72"/>
      <c r="BX96" s="72"/>
      <c r="BY96" s="72"/>
      <c r="BZ96" s="72"/>
      <c r="CA96" s="72"/>
      <c r="CB96" s="72"/>
      <c r="CC96" s="72"/>
      <c r="CD96" s="72"/>
      <c r="CE96" s="72"/>
      <c r="CF96" s="72"/>
      <c r="CG96" s="72"/>
      <c r="CH96" s="72"/>
      <c r="CI96" s="72"/>
      <c r="CJ96" s="72"/>
      <c r="CK96" s="72"/>
      <c r="CL96" s="72"/>
      <c r="CM96" s="72" t="s">
        <v>239</v>
      </c>
      <c r="CN96" s="72">
        <v>0</v>
      </c>
      <c r="CO96" s="72">
        <v>0</v>
      </c>
      <c r="CP96" s="72">
        <v>0</v>
      </c>
      <c r="CQ96" s="72">
        <v>4</v>
      </c>
      <c r="CR96" s="72">
        <v>4</v>
      </c>
      <c r="CS96" s="72">
        <v>4</v>
      </c>
      <c r="CT96" s="72">
        <v>8</v>
      </c>
      <c r="CU96" s="72">
        <v>8</v>
      </c>
      <c r="CV96" s="72">
        <v>8</v>
      </c>
      <c r="CW96" s="72">
        <v>12</v>
      </c>
      <c r="CX96" s="72">
        <v>12</v>
      </c>
      <c r="CY96" s="72">
        <v>12</v>
      </c>
      <c r="CZ96" s="72">
        <v>16</v>
      </c>
      <c r="DA96" s="72">
        <v>16</v>
      </c>
      <c r="DB96" s="72">
        <v>16</v>
      </c>
      <c r="DC96" s="72">
        <v>20</v>
      </c>
      <c r="DD96" s="72">
        <v>20</v>
      </c>
      <c r="DE96" s="72">
        <v>20</v>
      </c>
      <c r="DF96" s="72">
        <v>24</v>
      </c>
      <c r="DG96" s="72">
        <v>24</v>
      </c>
      <c r="DH96" s="72">
        <v>24</v>
      </c>
      <c r="DI96" s="72"/>
      <c r="DJ96" s="72"/>
      <c r="DK96" s="72"/>
      <c r="DL96" s="72"/>
      <c r="DM96" s="72"/>
      <c r="DN96" s="72"/>
      <c r="DO96" s="72"/>
      <c r="DP96" s="72"/>
      <c r="DQ96" s="72"/>
      <c r="DR96" s="72"/>
      <c r="DS96" s="72"/>
      <c r="DT96" s="72"/>
      <c r="DU96" s="72"/>
      <c r="DV96" s="72"/>
      <c r="DW96" s="72"/>
      <c r="DX96" s="72"/>
      <c r="DY96" s="72"/>
      <c r="DZ96" s="81"/>
      <c r="EA96" s="81"/>
      <c r="EB96" s="81"/>
      <c r="EC96" s="72"/>
      <c r="ED96" s="72"/>
      <c r="EE96" s="72"/>
      <c r="EF96" s="72"/>
      <c r="EG96" s="72"/>
      <c r="EH96" s="72"/>
      <c r="EI96" s="72"/>
      <c r="EJ96" s="72"/>
      <c r="EK96" s="72"/>
      <c r="EL96" s="72"/>
      <c r="EM96" s="72"/>
      <c r="EN96" s="72"/>
      <c r="EO96" s="72"/>
      <c r="EP96" s="72"/>
      <c r="EQ96" s="72"/>
      <c r="ER96" s="72"/>
      <c r="ES96" s="72"/>
      <c r="ET96" s="72"/>
      <c r="EU96" s="72"/>
      <c r="EV96" s="72" t="s">
        <v>101</v>
      </c>
      <c r="EW96" s="72">
        <v>0</v>
      </c>
      <c r="EX96" s="72">
        <v>0</v>
      </c>
      <c r="EY96" s="72">
        <v>0</v>
      </c>
      <c r="EZ96" s="72">
        <v>0</v>
      </c>
      <c r="FA96" s="72">
        <v>0</v>
      </c>
      <c r="FB96" s="72">
        <v>2</v>
      </c>
      <c r="FC96" s="72">
        <v>0</v>
      </c>
      <c r="FD96" s="72">
        <v>0</v>
      </c>
      <c r="FE96" s="72">
        <v>0</v>
      </c>
      <c r="FF96" s="72">
        <v>6</v>
      </c>
      <c r="FG96" s="72">
        <v>2</v>
      </c>
      <c r="FH96" s="72"/>
      <c r="FI96" s="72" t="s">
        <v>9</v>
      </c>
      <c r="FJ96" s="72">
        <v>0</v>
      </c>
      <c r="FK96" s="72">
        <v>0</v>
      </c>
      <c r="FL96" s="72">
        <f t="shared" si="129"/>
        <v>0</v>
      </c>
      <c r="FM96" s="72">
        <v>2</v>
      </c>
      <c r="FN96" s="72">
        <v>0</v>
      </c>
      <c r="FO96" s="72">
        <v>2</v>
      </c>
      <c r="FP96" s="72">
        <v>0</v>
      </c>
      <c r="FQ96" s="72">
        <v>0</v>
      </c>
      <c r="FR96" s="72">
        <v>6</v>
      </c>
      <c r="FS96" s="72">
        <v>0</v>
      </c>
      <c r="FT96" s="72">
        <v>4</v>
      </c>
      <c r="FU96" s="72"/>
      <c r="FV96" s="72"/>
      <c r="FW96" s="72"/>
      <c r="FX96" s="72"/>
      <c r="FY96" s="72"/>
      <c r="FZ96" s="72"/>
      <c r="GX96" s="125" t="s">
        <v>413</v>
      </c>
      <c r="GY96" s="64">
        <v>0</v>
      </c>
      <c r="GZ96" s="64">
        <v>1</v>
      </c>
      <c r="HA96" s="64">
        <v>0</v>
      </c>
      <c r="HB96" s="64">
        <v>0</v>
      </c>
      <c r="HC96" s="64">
        <v>0</v>
      </c>
      <c r="HD96" s="64">
        <v>0</v>
      </c>
      <c r="HE96" s="64">
        <v>0</v>
      </c>
      <c r="HF96" s="64">
        <v>0</v>
      </c>
      <c r="HG96" s="64">
        <v>0</v>
      </c>
      <c r="HH96" s="64">
        <v>0</v>
      </c>
      <c r="HI96" s="64">
        <v>0</v>
      </c>
      <c r="HJ96" s="64">
        <v>0</v>
      </c>
      <c r="HK96" s="64">
        <v>0</v>
      </c>
      <c r="HL96" s="64">
        <v>0</v>
      </c>
      <c r="HM96" s="64">
        <v>0</v>
      </c>
      <c r="HN96" s="64">
        <v>0</v>
      </c>
      <c r="HO96" s="64">
        <v>0</v>
      </c>
      <c r="HP96" s="64">
        <v>0</v>
      </c>
      <c r="HQ96" s="64">
        <v>0</v>
      </c>
      <c r="HR96" s="64">
        <v>0</v>
      </c>
      <c r="HS96" s="64">
        <v>0</v>
      </c>
      <c r="HV96" s="64" t="s">
        <v>379</v>
      </c>
      <c r="HW96" s="64">
        <v>0</v>
      </c>
      <c r="HX96" s="64">
        <v>0</v>
      </c>
      <c r="HY96" s="64">
        <v>0</v>
      </c>
      <c r="HZ96" s="64">
        <v>2</v>
      </c>
      <c r="IA96" s="64">
        <v>6</v>
      </c>
      <c r="IB96" s="64">
        <v>6</v>
      </c>
      <c r="IC96" s="64">
        <v>6</v>
      </c>
      <c r="ID96" s="64">
        <v>10</v>
      </c>
      <c r="IE96" s="64">
        <v>12</v>
      </c>
      <c r="IF96" s="64">
        <v>12</v>
      </c>
      <c r="IG96" s="64">
        <v>12</v>
      </c>
      <c r="IH96" s="64">
        <v>16</v>
      </c>
      <c r="II96" s="64">
        <v>16</v>
      </c>
      <c r="IJ96" s="64">
        <v>18</v>
      </c>
      <c r="IK96" s="64">
        <v>18</v>
      </c>
      <c r="IL96" s="64">
        <v>22</v>
      </c>
      <c r="IM96" s="64">
        <v>22</v>
      </c>
      <c r="IN96" s="64">
        <v>22</v>
      </c>
      <c r="IO96" s="64">
        <v>24</v>
      </c>
      <c r="IP96" s="64">
        <v>28</v>
      </c>
      <c r="IQ96" s="64">
        <v>28</v>
      </c>
      <c r="IS96" s="64" t="s">
        <v>379</v>
      </c>
      <c r="IT96" s="64">
        <f t="shared" si="101"/>
        <v>0</v>
      </c>
      <c r="IU96" s="64">
        <f t="shared" si="102"/>
        <v>0</v>
      </c>
      <c r="IV96" s="64">
        <f t="shared" si="103"/>
        <v>0</v>
      </c>
      <c r="IW96" s="64">
        <f t="shared" si="104"/>
        <v>4</v>
      </c>
      <c r="IX96" s="64">
        <f t="shared" si="105"/>
        <v>12</v>
      </c>
      <c r="IY96" s="64">
        <f t="shared" si="106"/>
        <v>12</v>
      </c>
      <c r="IZ96" s="64">
        <f t="shared" si="107"/>
        <v>12</v>
      </c>
      <c r="JA96" s="64">
        <f t="shared" si="108"/>
        <v>20</v>
      </c>
      <c r="JB96" s="64">
        <f t="shared" si="98"/>
        <v>24</v>
      </c>
      <c r="JC96" s="64">
        <f t="shared" si="109"/>
        <v>24</v>
      </c>
      <c r="JD96" s="64">
        <f t="shared" si="110"/>
        <v>24</v>
      </c>
      <c r="JE96" s="64">
        <f t="shared" si="111"/>
        <v>32</v>
      </c>
      <c r="JF96" s="64">
        <f t="shared" si="112"/>
        <v>32</v>
      </c>
      <c r="JG96" s="64">
        <f t="shared" si="113"/>
        <v>36</v>
      </c>
      <c r="JH96" s="64">
        <f t="shared" si="114"/>
        <v>36</v>
      </c>
      <c r="JI96" s="64">
        <f t="shared" si="115"/>
        <v>44</v>
      </c>
      <c r="JJ96" s="64">
        <f t="shared" si="116"/>
        <v>44</v>
      </c>
      <c r="JK96" s="64">
        <f t="shared" si="117"/>
        <v>44</v>
      </c>
      <c r="JL96" s="64">
        <f t="shared" si="118"/>
        <v>48</v>
      </c>
      <c r="JM96" s="64">
        <f t="shared" si="119"/>
        <v>56</v>
      </c>
      <c r="JN96" s="64">
        <f t="shared" si="120"/>
        <v>56</v>
      </c>
    </row>
    <row r="97" spans="1:274" x14ac:dyDescent="0.25">
      <c r="A97" s="9"/>
      <c r="B97" s="9"/>
      <c r="C97" s="9"/>
      <c r="D97" s="9"/>
      <c r="E97" s="9"/>
      <c r="F97" s="16" t="str">
        <f>IF(L97="PSRM10X90F","POTREBNÉ OVERIŤ VHODNOSŤ KOTIEV",IF(L97="-------","",""))</f>
        <v/>
      </c>
      <c r="G97" s="9"/>
      <c r="H97" s="9"/>
      <c r="I97" s="9"/>
      <c r="J97" s="9"/>
      <c r="K97" s="9"/>
      <c r="L97" s="6" t="str">
        <f>IF(E80=$Z$2,"-------",IF(E80=$Z$3,"PSRM10X90F",IF(E80=$Z$4,"-------",IF(E80=$Z$5,"SSZ8X25E A2",0))))</f>
        <v>-------</v>
      </c>
      <c r="M97" s="11" t="str">
        <f>INDEX(cenník!$C$2:$I$568,MATCH($L97,cenník!$B$2:$B$557,0),MATCH(M$2,cenník!$C$1:$I$1,0))</f>
        <v>-------</v>
      </c>
      <c r="N97" s="11">
        <f>INDEX(cenník!$C$2:$I$568,MATCH($L97,cenník!$B$2:$B$557,0),MATCH(N$2,cenník!$C$1:$I$1,0))</f>
        <v>0</v>
      </c>
      <c r="O97" s="11">
        <f>IF(L97="-------",0,IF(L97="PSRM10X90F",O86*6,IF(L97="SSZ8X25E A2",O86*6)))</f>
        <v>0</v>
      </c>
      <c r="P97" s="36">
        <f>INDEX(cenník!$C$2:$I$568,MATCH($L97,cenník!$B$2:$B$557,0),MATCH(P$2,cenník!$C$1:$I$1,0))</f>
        <v>0</v>
      </c>
      <c r="Q97" s="36">
        <f t="shared" si="130"/>
        <v>0</v>
      </c>
      <c r="R97" s="37">
        <f t="shared" si="123"/>
        <v>0</v>
      </c>
      <c r="S97" s="36">
        <f t="shared" si="124"/>
        <v>0</v>
      </c>
      <c r="T97" s="36">
        <f t="shared" si="131"/>
        <v>0</v>
      </c>
      <c r="U97" s="36">
        <f>INDEX(cenník!$C$2:$I$568,MATCH($L97,cenník!$B$2:$B$557,0),MATCH(U$2,cenník!$C$1:$I$1,0))*O97</f>
        <v>0</v>
      </c>
      <c r="V97" s="72"/>
      <c r="W97" s="72"/>
      <c r="X97" s="72"/>
      <c r="Y97" s="88">
        <v>45</v>
      </c>
      <c r="Z97" s="72" t="s">
        <v>29</v>
      </c>
      <c r="AA97" s="72"/>
      <c r="AB97" s="72" t="s">
        <v>82</v>
      </c>
      <c r="AC97" s="72" t="s">
        <v>45</v>
      </c>
      <c r="AD97" s="72">
        <v>45</v>
      </c>
      <c r="AE97" s="72" t="s">
        <v>41</v>
      </c>
      <c r="AF97" s="72"/>
      <c r="AG97" s="86" t="s">
        <v>84</v>
      </c>
      <c r="AH97" s="86" t="s">
        <v>84</v>
      </c>
      <c r="AI97" s="72" t="s">
        <v>13</v>
      </c>
      <c r="AJ97" s="72"/>
      <c r="AK97" s="72"/>
      <c r="AL97" s="72"/>
      <c r="AM97" s="72"/>
      <c r="AN97" s="72"/>
      <c r="AO97" s="72"/>
      <c r="AP97" s="72"/>
      <c r="AQ97" s="72"/>
      <c r="AR97" s="72"/>
      <c r="AS97" s="72"/>
      <c r="AT97" s="72"/>
      <c r="AU97" s="72"/>
      <c r="AV97" s="72"/>
      <c r="AW97" s="72"/>
      <c r="AX97" s="72"/>
      <c r="AY97" s="72"/>
      <c r="AZ97" s="72"/>
      <c r="BA97" s="72"/>
      <c r="BB97" s="72"/>
      <c r="BC97" s="72"/>
      <c r="BD97" s="72"/>
      <c r="BE97" s="72"/>
      <c r="BF97" s="72"/>
      <c r="BG97" s="72"/>
      <c r="BH97" s="72"/>
      <c r="BI97" s="72"/>
      <c r="BJ97" s="72"/>
      <c r="BK97" s="72"/>
      <c r="BL97" s="72"/>
      <c r="BM97" s="72"/>
      <c r="BN97" s="72"/>
      <c r="BO97" s="72"/>
      <c r="BP97" s="72"/>
      <c r="BQ97" s="72"/>
      <c r="BR97" s="72"/>
      <c r="BS97" s="72"/>
      <c r="BT97" s="72"/>
      <c r="BU97" s="72"/>
      <c r="BV97" s="72"/>
      <c r="BW97" s="72"/>
      <c r="BX97" s="72"/>
      <c r="BY97" s="72"/>
      <c r="BZ97" s="72"/>
      <c r="CA97" s="72"/>
      <c r="CB97" s="72"/>
      <c r="CC97" s="72"/>
      <c r="CD97" s="72"/>
      <c r="CE97" s="72"/>
      <c r="CF97" s="72"/>
      <c r="CG97" s="72"/>
      <c r="CH97" s="72"/>
      <c r="CI97" s="72"/>
      <c r="CJ97" s="72"/>
      <c r="CK97" s="72"/>
      <c r="CL97" s="72"/>
      <c r="CM97" s="72"/>
      <c r="CN97" s="72"/>
      <c r="CO97" s="72"/>
      <c r="CP97" s="72"/>
      <c r="CQ97" s="72"/>
      <c r="CR97" s="72"/>
      <c r="CS97" s="72"/>
      <c r="CT97" s="72"/>
      <c r="CU97" s="72"/>
      <c r="CV97" s="72"/>
      <c r="CW97" s="72"/>
      <c r="CX97" s="72"/>
      <c r="CY97" s="72"/>
      <c r="CZ97" s="72"/>
      <c r="DA97" s="72"/>
      <c r="DB97" s="72"/>
      <c r="DC97" s="72"/>
      <c r="DD97" s="72"/>
      <c r="DE97" s="72"/>
      <c r="DF97" s="72"/>
      <c r="DG97" s="72"/>
      <c r="DH97" s="72"/>
      <c r="DI97" s="72"/>
      <c r="DJ97" s="72"/>
      <c r="DK97" s="72"/>
      <c r="DL97" s="72"/>
      <c r="DM97" s="72"/>
      <c r="DN97" s="72"/>
      <c r="DO97" s="72"/>
      <c r="DP97" s="72"/>
      <c r="DQ97" s="72"/>
      <c r="DR97" s="72"/>
      <c r="DS97" s="72"/>
      <c r="DT97" s="72"/>
      <c r="DU97" s="72"/>
      <c r="DV97" s="72"/>
      <c r="DW97" s="72"/>
      <c r="DX97" s="72"/>
      <c r="DY97" s="72"/>
      <c r="DZ97" s="81"/>
      <c r="EA97" s="81"/>
      <c r="EB97" s="81"/>
      <c r="EC97" s="72"/>
      <c r="ED97" s="72"/>
      <c r="EE97" s="72"/>
      <c r="EF97" s="72"/>
      <c r="EG97" s="72"/>
      <c r="EH97" s="72"/>
      <c r="EI97" s="72"/>
      <c r="EJ97" s="72"/>
      <c r="EK97" s="72"/>
      <c r="EL97" s="72"/>
      <c r="EM97" s="72"/>
      <c r="EN97" s="72"/>
      <c r="EO97" s="72"/>
      <c r="EP97" s="72"/>
      <c r="EQ97" s="72"/>
      <c r="ER97" s="72"/>
      <c r="ES97" s="72"/>
      <c r="ET97" s="72"/>
      <c r="EU97" s="72"/>
      <c r="EV97" s="72" t="s">
        <v>102</v>
      </c>
      <c r="EW97" s="72">
        <v>0</v>
      </c>
      <c r="EX97" s="72">
        <v>0</v>
      </c>
      <c r="EY97" s="72">
        <v>2</v>
      </c>
      <c r="EZ97" s="72">
        <v>2</v>
      </c>
      <c r="FA97" s="72">
        <v>4</v>
      </c>
      <c r="FB97" s="72">
        <v>2</v>
      </c>
      <c r="FC97" s="72">
        <v>6</v>
      </c>
      <c r="FD97" s="72">
        <v>6</v>
      </c>
      <c r="FE97" s="72">
        <v>8</v>
      </c>
      <c r="FF97" s="72">
        <v>0</v>
      </c>
      <c r="FG97" s="72">
        <v>8</v>
      </c>
      <c r="FH97" s="72"/>
      <c r="FI97" s="72" t="s">
        <v>101</v>
      </c>
      <c r="FJ97" s="72">
        <v>0</v>
      </c>
      <c r="FK97" s="72">
        <v>0</v>
      </c>
      <c r="FL97" s="72">
        <f t="shared" si="129"/>
        <v>0</v>
      </c>
      <c r="FM97" s="72">
        <v>2</v>
      </c>
      <c r="FN97" s="72">
        <v>4</v>
      </c>
      <c r="FO97" s="72">
        <v>2</v>
      </c>
      <c r="FP97" s="72">
        <v>0</v>
      </c>
      <c r="FQ97" s="72">
        <v>6</v>
      </c>
      <c r="FR97" s="72">
        <v>0</v>
      </c>
      <c r="FS97" s="72">
        <v>2</v>
      </c>
      <c r="FT97" s="72">
        <v>4</v>
      </c>
      <c r="FU97" s="72"/>
      <c r="FV97" s="72"/>
      <c r="FW97" s="72"/>
      <c r="FX97" s="72"/>
      <c r="FY97" s="72"/>
      <c r="FZ97" s="72"/>
      <c r="GA97" s="64" t="s">
        <v>195</v>
      </c>
      <c r="HV97" s="64" t="s">
        <v>406</v>
      </c>
      <c r="HW97" s="64">
        <v>0</v>
      </c>
      <c r="HX97" s="64">
        <v>0</v>
      </c>
      <c r="HY97" s="64">
        <v>2</v>
      </c>
      <c r="HZ97" s="64">
        <v>4</v>
      </c>
      <c r="IA97" s="64">
        <v>4</v>
      </c>
      <c r="IB97" s="64">
        <v>6</v>
      </c>
      <c r="IC97" s="64">
        <v>8</v>
      </c>
      <c r="ID97" s="64">
        <v>8</v>
      </c>
      <c r="IE97" s="64">
        <v>10</v>
      </c>
      <c r="IF97" s="64">
        <v>12</v>
      </c>
      <c r="IG97" s="64">
        <v>14</v>
      </c>
      <c r="IH97" s="64">
        <v>14</v>
      </c>
      <c r="II97" s="64">
        <v>16</v>
      </c>
      <c r="IJ97" s="64">
        <v>18</v>
      </c>
      <c r="IK97" s="64">
        <v>20</v>
      </c>
      <c r="IL97" s="64">
        <v>20</v>
      </c>
      <c r="IM97" s="64">
        <v>22</v>
      </c>
      <c r="IN97" s="64">
        <v>24</v>
      </c>
      <c r="IO97" s="64">
        <v>26</v>
      </c>
      <c r="IP97" s="64">
        <v>26</v>
      </c>
      <c r="IQ97" s="64">
        <v>28</v>
      </c>
      <c r="IS97" s="64" t="s">
        <v>406</v>
      </c>
      <c r="IT97" s="64">
        <f t="shared" si="101"/>
        <v>0</v>
      </c>
      <c r="IU97" s="64">
        <f t="shared" si="102"/>
        <v>0</v>
      </c>
      <c r="IV97" s="64">
        <f t="shared" si="103"/>
        <v>4</v>
      </c>
      <c r="IW97" s="64">
        <f t="shared" si="104"/>
        <v>8</v>
      </c>
      <c r="IX97" s="64">
        <f t="shared" si="105"/>
        <v>8</v>
      </c>
      <c r="IY97" s="64">
        <f t="shared" si="106"/>
        <v>12</v>
      </c>
      <c r="IZ97" s="64">
        <f t="shared" si="107"/>
        <v>16</v>
      </c>
      <c r="JA97" s="64">
        <f t="shared" si="108"/>
        <v>16</v>
      </c>
      <c r="JB97" s="64">
        <f t="shared" si="98"/>
        <v>20</v>
      </c>
      <c r="JC97" s="64">
        <f t="shared" si="109"/>
        <v>24</v>
      </c>
      <c r="JD97" s="64">
        <f t="shared" si="110"/>
        <v>28</v>
      </c>
      <c r="JE97" s="64">
        <f t="shared" si="111"/>
        <v>28</v>
      </c>
      <c r="JF97" s="64">
        <f t="shared" si="112"/>
        <v>32</v>
      </c>
      <c r="JG97" s="64">
        <f t="shared" si="113"/>
        <v>36</v>
      </c>
      <c r="JH97" s="64">
        <f t="shared" si="114"/>
        <v>40</v>
      </c>
      <c r="JI97" s="64">
        <f t="shared" si="115"/>
        <v>40</v>
      </c>
      <c r="JJ97" s="64">
        <f t="shared" si="116"/>
        <v>44</v>
      </c>
      <c r="JK97" s="64">
        <f t="shared" si="117"/>
        <v>48</v>
      </c>
      <c r="JL97" s="64">
        <f t="shared" si="118"/>
        <v>52</v>
      </c>
      <c r="JM97" s="64">
        <f t="shared" si="119"/>
        <v>52</v>
      </c>
      <c r="JN97" s="64">
        <f t="shared" si="120"/>
        <v>56</v>
      </c>
    </row>
    <row r="98" spans="1:274" x14ac:dyDescent="0.25">
      <c r="A98" s="9"/>
      <c r="B98" s="9"/>
      <c r="C98" s="9"/>
      <c r="D98" s="9"/>
      <c r="E98" s="9"/>
      <c r="F98" s="9"/>
      <c r="G98" s="9"/>
      <c r="H98" s="9"/>
      <c r="I98" s="9"/>
      <c r="J98" s="9"/>
      <c r="K98" s="9"/>
      <c r="L98" s="6" t="s">
        <v>45</v>
      </c>
      <c r="M98" s="11">
        <f>INDEX(cenník!$C$2:$I$568,MATCH($L98,cenník!$B$2:$B$557,0),MATCH(M$2,cenník!$C$1:$I$1,0))</f>
        <v>890008</v>
      </c>
      <c r="N98" s="11" t="str">
        <f>INDEX(cenník!$C$2:$I$568,MATCH($L98,cenník!$B$2:$B$557,0),MATCH(N$2,cenník!$C$1:$I$1,0))</f>
        <v>100ks</v>
      </c>
      <c r="O98" s="11">
        <f>ROUNDUP(O96/100,0)</f>
        <v>0</v>
      </c>
      <c r="P98" s="36">
        <f>INDEX(cenník!$C$2:$I$568,MATCH($L98,cenník!$B$2:$B$557,0),MATCH(P$2,cenník!$C$1:$I$1,0))</f>
        <v>9.75</v>
      </c>
      <c r="Q98" s="36">
        <f t="shared" si="130"/>
        <v>0</v>
      </c>
      <c r="R98" s="37">
        <f t="shared" si="123"/>
        <v>0</v>
      </c>
      <c r="S98" s="36">
        <f t="shared" si="124"/>
        <v>9.75</v>
      </c>
      <c r="T98" s="36">
        <f t="shared" si="131"/>
        <v>0</v>
      </c>
      <c r="U98" s="36">
        <f>INDEX(cenník!$C$2:$I$568,MATCH($L98,cenník!$B$2:$B$557,0),MATCH(U$2,cenník!$C$1:$I$1,0))*O98</f>
        <v>0</v>
      </c>
      <c r="V98" s="72"/>
      <c r="W98" s="72">
        <v>2000</v>
      </c>
      <c r="X98" s="72">
        <f t="shared" ref="X98:X113" si="132">(IF(((INT((((A103)*(IF($E$104=$X$7,$Y$7,IF($E$104=$X$8,$Y$8,IF($E$104=$X$9,$Y$9,IF($E$104=$X$10,$Y$10,IF($E$104=$X$11,$Y$11,IF($E$104=$X$12,$Y$12,IF($E$104=$X$13,$Y$13,IF($E$104=$X$14,$Y$14,IF($E$104=$X$15,$Y$15,IF($E$104=$X$16,$Y$16,IF($E$104=$X$17,$Y$17,IF($E$104=$X$18,$Y$18,IF($E$104=$X$19,$Y$19,IF($E$104=$X$20,$Y$20,IF($E$104=$X$21,$Y$21,IF($E$104=$X$22,$Y$22,IF($E$104=$X$23,$Y$23,IF($E$104=$X$24,$Y$24,0))))))))))))))))))))+(((A103)-1)*20))/$E$110))*$E$110)+600&gt;((A103)*(IF($E$104=$X$7,$Y$7,IF($E$104=$X$8,$Y$8,IF($E$104=$X$9,$Y$9,IF($E$104=$X$10,$Y$10,IF($E$104=$X$11,$Y$11,IF($E$104=$X$12,$Y$12,IF($E$104=$X$13,$Y$13,IF($E$104=$X$14,$Y$14,IF($E$104=$X$15,$Y$15,IF($E$104=$X$16,$Y$16,IF($E$104=$X$17,$Y$17,IF($E$104=$X$18,$Y$18,IF($E$104=$X$19,$Y$19,IF($E$104=$X$20,$Y$20,IF($E$104=$X$21,$Y$21,IF($E$104=$X$22,$Y$22,IF($E$104=$X$23,$Y$23,IF($E$104=$X$24,$Y$24,0))))))))))))))))))))+(((A103)-1)*20),(INT((((A103)*(IF($E$104=$X$7,$Y$7,IF($E$104=$X$8,$Y$8,IF($E$104=$X$9,$Y$9,IF($E$104=$X$10,$Y$10,IF($E$104=$X$11,$Y$11,IF($E$104=$X$12,$Y$12,IF($E$104=$X$13,$Y$13,IF($E$104=$X$14,$Y$14,IF($E$104=$X$15,$Y$15,IF($E$104=$X$16,$Y$16,IF($E$104=$X$17,$Y$17,IF($E$104=$X$18,$Y$18,IF($E$104=$X$19,$Y$19,IF($E$104=$X$20,$Y$20,IF($E$104=$X$21,$Y$21,IF($E$104=$X$22,$Y$22,IF($E$104=$X$23,$Y$23,IF($E$104=$X$24,$Y$24,0))))))))))))))))))))+(((A103)-1)*20))/$E$110))+1,IF(((INT((((A103)*(IF($E$104=$X$7,$Y$7,IF($E$104=$X$8,$Y$8,IF($E$104=$X$9,$Y$9,IF($E$104=$X$10,$Y$10,IF($E$104=$X$11,$Y$11,IF($E$104=$X$12,$Y$12,IF($E$104=$X$13,$Y$13,IF($E$104=$X$14,$Y$14,IF($E$104=$X$15,$Y$15,IF($E$104=$X$16,$Y$16,IF($E$104=$X$17,$Y$17,IF($E$104=$X$18,$Y$18,IF($E$104=$X$19,$Y$19,IF($E$104=$X$20,$Y$20,IF($E$104=$X$21,$Y$21,IF($E$104=$X$22,$Y$22,IF($E$104=$X$23,$Y$23,IF($E$104=$X$24,$Y$24,0))))))))))))))))))))+(((A103)-1)*20))/$E$110))*$E$110)+600&lt;((A103)*(IF($E$104=$X$7,$Y$7,IF($E$104=$X$8,$Y$8,IF($E$104=$X$9,$Y$9,IF($E$104=$X$10,$Y$10,IF($E$104=$X$11,$Y$11,IF($E$104=$X$12,$Y$12,IF($E$104=$X$13,$Y$13,IF($E$104=$X$14,$Y$14,IF($E$104=$X$15,$Y$15,IF($E$104=$X$16,$Y$16,IF($E$104=$X$17,$Y$17,IF($E$104=$X$18,$Y$18,IF($E$104=$X$19,$Y$19,IF($E$104=$X$20,$Y$20,IF($E$104=$X$21,$Y$21,IF($E$104=$X$22,$Y$22,IF($E$104=$X$23,$Y$23,IF($E$104=$X$24,$Y$24,0))))))))))))))))))))+(((A103)-1)*20),(INT((((A103)*(IF($E$104=$X$7,$Y$7,IF($E$104=$X$8,$Y$8,IF($E$104=$X$9,$Y$9,IF($E$104=$X$10,$Y$10,IF($E$104=$X$11,$Y$11,IF($E$104=$X$12,$Y$12,IF($E$104=$X$13,$Y$13,IF($E$104=$X$14,$Y$14,IF($E$104=$X$15,$Y$15,IF($E$104=$X$16,$Y$16,IF($E$104=$X$17,$Y$17,IF($E$104=$X$18,$Y$18,IF($E$104=$X$19,$Y$19,IF($E$104=$X$20,$Y$20,IF($E$104=$X$21,$Y$21,IF($E$104=$X$22,$Y$22,IF($E$104=$X$23,$Y$23,IF($E$104=$X$24,$Y$24,0))))))))))))))))))))+(((A103)-1)*20))/$E$110))+2,0)))*C103</f>
        <v>0</v>
      </c>
      <c r="Y98" s="88">
        <v>50</v>
      </c>
      <c r="Z98" s="72" t="s">
        <v>30</v>
      </c>
      <c r="AA98" s="72" t="s">
        <v>31</v>
      </c>
      <c r="AB98" s="72" t="s">
        <v>83</v>
      </c>
      <c r="AC98" s="72" t="s">
        <v>45</v>
      </c>
      <c r="AD98" s="72">
        <v>50</v>
      </c>
      <c r="AE98" s="72" t="s">
        <v>42</v>
      </c>
      <c r="AF98" s="72"/>
      <c r="AG98" s="86" t="s">
        <v>84</v>
      </c>
      <c r="AH98" s="86" t="s">
        <v>84</v>
      </c>
      <c r="AI98" s="72" t="s">
        <v>13</v>
      </c>
      <c r="AJ98" s="72"/>
      <c r="AK98" s="72"/>
      <c r="AL98" s="72"/>
      <c r="AM98" s="72"/>
      <c r="AN98" s="72"/>
      <c r="AO98" s="72"/>
      <c r="AP98" s="72"/>
      <c r="AQ98" s="72"/>
      <c r="AR98" s="72"/>
      <c r="AS98" s="72"/>
      <c r="AT98" s="72"/>
      <c r="AU98" s="72"/>
      <c r="AV98" s="72"/>
      <c r="AW98" s="85"/>
      <c r="AX98" s="72"/>
      <c r="AY98" s="72"/>
      <c r="AZ98" s="72"/>
      <c r="BA98" s="72"/>
      <c r="BB98" s="72"/>
      <c r="BC98" s="72"/>
      <c r="BD98" s="72"/>
      <c r="BE98" s="72"/>
      <c r="BF98" s="72"/>
      <c r="BG98" s="72"/>
      <c r="BH98" s="72"/>
      <c r="BI98" s="72"/>
      <c r="BJ98" s="72"/>
      <c r="BK98" s="72"/>
      <c r="BL98" s="72"/>
      <c r="BM98" s="72"/>
      <c r="BN98" s="72"/>
      <c r="BO98" s="72"/>
      <c r="BP98" s="72"/>
      <c r="BQ98" s="72"/>
      <c r="BR98" s="72"/>
      <c r="BS98" s="72"/>
      <c r="BT98" s="72"/>
      <c r="BU98" s="72"/>
      <c r="BV98" s="72"/>
      <c r="BW98" s="72"/>
      <c r="BX98" s="72"/>
      <c r="BY98" s="72"/>
      <c r="BZ98" s="72"/>
      <c r="CA98" s="72"/>
      <c r="CB98" s="72"/>
      <c r="CC98" s="72"/>
      <c r="CD98" s="72"/>
      <c r="CE98" s="72"/>
      <c r="CF98" s="72"/>
      <c r="CG98" s="72"/>
      <c r="CH98" s="72"/>
      <c r="CI98" s="72"/>
      <c r="CJ98" s="72"/>
      <c r="CK98" s="72"/>
      <c r="CL98" s="72"/>
      <c r="CM98" s="72" t="s">
        <v>205</v>
      </c>
      <c r="CN98" s="72">
        <v>0</v>
      </c>
      <c r="CO98" s="72">
        <v>1</v>
      </c>
      <c r="CP98" s="72">
        <v>2</v>
      </c>
      <c r="CQ98" s="72">
        <v>3</v>
      </c>
      <c r="CR98" s="72">
        <v>4</v>
      </c>
      <c r="CS98" s="72">
        <v>5</v>
      </c>
      <c r="CT98" s="72">
        <v>6</v>
      </c>
      <c r="CU98" s="72">
        <v>7</v>
      </c>
      <c r="CV98" s="72">
        <v>8</v>
      </c>
      <c r="CW98" s="72">
        <v>9</v>
      </c>
      <c r="CX98" s="72">
        <v>10</v>
      </c>
      <c r="CY98" s="72">
        <v>11</v>
      </c>
      <c r="CZ98" s="72">
        <v>12</v>
      </c>
      <c r="DA98" s="72">
        <v>13</v>
      </c>
      <c r="DB98" s="72">
        <v>14</v>
      </c>
      <c r="DC98" s="72">
        <v>15</v>
      </c>
      <c r="DD98" s="72">
        <v>16</v>
      </c>
      <c r="DE98" s="72">
        <v>17</v>
      </c>
      <c r="DF98" s="72">
        <v>18</v>
      </c>
      <c r="DG98" s="72">
        <v>19</v>
      </c>
      <c r="DH98" s="72">
        <v>20</v>
      </c>
      <c r="DI98" s="72"/>
      <c r="DJ98" s="72"/>
      <c r="DK98" s="72"/>
      <c r="DL98" s="72"/>
      <c r="DM98" s="72"/>
      <c r="DN98" s="72"/>
      <c r="DO98" s="72"/>
      <c r="DP98" s="72"/>
      <c r="DQ98" s="72"/>
      <c r="DR98" s="72"/>
      <c r="DS98" s="72"/>
      <c r="DT98" s="72"/>
      <c r="DU98" s="72"/>
      <c r="DV98" s="72"/>
      <c r="DW98" s="72"/>
      <c r="DX98" s="72"/>
      <c r="DY98" s="72"/>
      <c r="DZ98" s="81"/>
      <c r="EA98" s="81"/>
      <c r="EB98" s="81"/>
      <c r="EC98" s="72"/>
      <c r="ED98" s="72"/>
      <c r="EE98" s="72"/>
      <c r="EF98" s="72"/>
      <c r="EG98" s="72"/>
      <c r="EH98" s="72"/>
      <c r="EI98" s="72"/>
      <c r="EJ98" s="72"/>
      <c r="EK98" s="72"/>
      <c r="EL98" s="72"/>
      <c r="EM98" s="72"/>
      <c r="EN98" s="72"/>
      <c r="EO98" s="72"/>
      <c r="EP98" s="72"/>
      <c r="EQ98" s="72"/>
      <c r="ER98" s="72"/>
      <c r="ES98" s="72"/>
      <c r="ET98" s="72"/>
      <c r="EU98" s="72"/>
      <c r="EV98" s="72" t="s">
        <v>10</v>
      </c>
      <c r="EW98" s="72">
        <v>0</v>
      </c>
      <c r="EX98" s="72">
        <v>0</v>
      </c>
      <c r="EY98" s="72">
        <v>0</v>
      </c>
      <c r="EZ98" s="72">
        <v>2</v>
      </c>
      <c r="FA98" s="72">
        <v>2</v>
      </c>
      <c r="FB98" s="72">
        <v>4</v>
      </c>
      <c r="FC98" s="72">
        <v>4</v>
      </c>
      <c r="FD98" s="72">
        <v>6</v>
      </c>
      <c r="FE98" s="72">
        <v>6</v>
      </c>
      <c r="FF98" s="72">
        <v>8</v>
      </c>
      <c r="FG98" s="72">
        <v>8</v>
      </c>
      <c r="FH98" s="72"/>
      <c r="FI98" s="72" t="s">
        <v>102</v>
      </c>
      <c r="FJ98" s="72">
        <v>0</v>
      </c>
      <c r="FK98" s="72">
        <v>0</v>
      </c>
      <c r="FL98" s="72">
        <f t="shared" si="129"/>
        <v>0</v>
      </c>
      <c r="FM98" s="72">
        <v>0</v>
      </c>
      <c r="FN98" s="72">
        <v>0</v>
      </c>
      <c r="FO98" s="72">
        <v>2</v>
      </c>
      <c r="FP98" s="72">
        <v>6</v>
      </c>
      <c r="FQ98" s="72">
        <v>2</v>
      </c>
      <c r="FR98" s="72">
        <v>4</v>
      </c>
      <c r="FS98" s="72">
        <v>8</v>
      </c>
      <c r="FT98" s="72">
        <v>4</v>
      </c>
      <c r="FU98" s="72"/>
      <c r="FV98" s="72"/>
      <c r="FW98" s="72"/>
      <c r="FX98" s="72"/>
      <c r="FY98" s="72"/>
      <c r="FZ98" s="72"/>
      <c r="GB98" s="64">
        <v>0</v>
      </c>
      <c r="GC98" s="64">
        <v>1</v>
      </c>
      <c r="GD98" s="64">
        <v>2</v>
      </c>
      <c r="GE98" s="64">
        <v>3</v>
      </c>
      <c r="GF98" s="64">
        <v>4</v>
      </c>
      <c r="GG98" s="64">
        <v>5</v>
      </c>
      <c r="GH98" s="64">
        <v>6</v>
      </c>
      <c r="GI98" s="64">
        <v>7</v>
      </c>
      <c r="GJ98" s="64">
        <v>8</v>
      </c>
      <c r="GK98" s="64">
        <v>9</v>
      </c>
      <c r="GL98" s="64">
        <v>10</v>
      </c>
      <c r="GM98" s="64">
        <v>11</v>
      </c>
      <c r="GN98" s="64">
        <v>12</v>
      </c>
      <c r="GO98" s="64">
        <v>13</v>
      </c>
      <c r="GP98" s="64">
        <v>14</v>
      </c>
      <c r="GQ98" s="64">
        <v>15</v>
      </c>
      <c r="GR98" s="64">
        <v>16</v>
      </c>
      <c r="GS98" s="64">
        <v>17</v>
      </c>
      <c r="GT98" s="64">
        <v>18</v>
      </c>
      <c r="GU98" s="64">
        <v>19</v>
      </c>
      <c r="GV98" s="64">
        <v>20</v>
      </c>
      <c r="GX98" s="64" t="s">
        <v>351</v>
      </c>
    </row>
    <row r="99" spans="1:274" x14ac:dyDescent="0.25">
      <c r="A99" s="9"/>
      <c r="B99" s="9"/>
      <c r="C99" s="9"/>
      <c r="D99" s="9"/>
      <c r="E99" s="9"/>
      <c r="F99" s="9"/>
      <c r="G99" s="9"/>
      <c r="H99" s="9"/>
      <c r="I99" s="9"/>
      <c r="J99" s="9"/>
      <c r="K99" s="9"/>
      <c r="L99" s="6" t="s">
        <v>164</v>
      </c>
      <c r="M99" s="11">
        <f>INDEX(cenník!$C$2:$I$568,MATCH($L99,cenník!$B$2:$B$557,0),MATCH(M$2,cenník!$C$1:$I$1,0))</f>
        <v>890404</v>
      </c>
      <c r="N99" s="11" t="str">
        <f>INDEX(cenník!$C$2:$I$568,MATCH($L99,cenník!$B$2:$B$557,0),MATCH(N$2,cenník!$C$1:$I$1,0))</f>
        <v>ks</v>
      </c>
      <c r="O99" s="11">
        <f>SUM(C76:C91)*4</f>
        <v>0</v>
      </c>
      <c r="P99" s="36">
        <f>INDEX(cenník!$C$2:$I$568,MATCH($L99,cenník!$B$2:$B$557,0),MATCH(P$2,cenník!$C$1:$I$1,0))</f>
        <v>0.26</v>
      </c>
      <c r="Q99" s="36">
        <f t="shared" si="130"/>
        <v>0</v>
      </c>
      <c r="R99" s="37">
        <f t="shared" si="123"/>
        <v>0</v>
      </c>
      <c r="S99" s="36">
        <f t="shared" si="124"/>
        <v>0.26</v>
      </c>
      <c r="T99" s="36">
        <f t="shared" si="131"/>
        <v>0</v>
      </c>
      <c r="U99" s="36">
        <f>INDEX(cenník!$C$2:$I$568,MATCH($L99,cenník!$B$2:$B$557,0),MATCH(U$2,cenník!$C$1:$I$1,0))*O99</f>
        <v>0</v>
      </c>
      <c r="W99" s="72"/>
      <c r="X99" s="72">
        <f t="shared" si="132"/>
        <v>0</v>
      </c>
      <c r="Y99" s="88"/>
      <c r="Z99" s="72" t="s">
        <v>12</v>
      </c>
      <c r="AA99" s="72" t="s">
        <v>47</v>
      </c>
      <c r="AB99" s="72"/>
      <c r="AC99" s="72"/>
      <c r="AD99" s="72"/>
      <c r="AE99" s="72" t="s">
        <v>6</v>
      </c>
      <c r="AF99" s="72" t="s">
        <v>48</v>
      </c>
      <c r="AG99" s="72"/>
      <c r="AH99" s="72"/>
      <c r="AI99" s="72"/>
      <c r="AJ99" s="72"/>
      <c r="AK99" s="72"/>
      <c r="AL99" s="72"/>
      <c r="AM99" s="72"/>
      <c r="AN99" s="72"/>
      <c r="AP99" s="72"/>
      <c r="AQ99" s="72"/>
      <c r="AR99" s="72"/>
      <c r="AS99" s="72"/>
      <c r="AT99" s="72"/>
      <c r="AU99" s="72"/>
      <c r="AV99" s="72"/>
      <c r="AW99" s="72"/>
      <c r="AX99" s="72"/>
      <c r="AY99" s="72"/>
      <c r="AZ99" s="72"/>
      <c r="BA99" s="72"/>
      <c r="BB99" s="72"/>
      <c r="BC99" s="72"/>
      <c r="BD99" s="72"/>
      <c r="BE99" s="72"/>
      <c r="BF99" s="72"/>
      <c r="BG99" s="72"/>
      <c r="BH99" s="72"/>
      <c r="BI99" s="72"/>
      <c r="BJ99" s="72"/>
      <c r="BK99" s="72"/>
      <c r="BL99" s="72"/>
      <c r="BM99" s="72"/>
      <c r="BN99" s="72"/>
      <c r="BO99" s="72"/>
      <c r="BP99" s="72"/>
      <c r="BQ99" s="72"/>
      <c r="BR99" s="72"/>
      <c r="BS99" s="72"/>
      <c r="BT99" s="72"/>
      <c r="BU99" s="72"/>
      <c r="BV99" s="72"/>
      <c r="BW99" s="72"/>
      <c r="BX99" s="72"/>
      <c r="BY99" s="72"/>
      <c r="BZ99" s="72"/>
      <c r="CA99" s="72"/>
      <c r="CB99" s="72"/>
      <c r="CC99" s="72"/>
      <c r="CD99" s="72"/>
      <c r="CE99" s="72"/>
      <c r="CF99" s="72"/>
      <c r="CG99" s="72"/>
      <c r="CH99" s="72"/>
      <c r="CI99" s="72"/>
      <c r="CJ99" s="72"/>
      <c r="CK99" s="72"/>
      <c r="CL99" s="72"/>
      <c r="CM99" s="72" t="s">
        <v>64</v>
      </c>
      <c r="CN99" s="72">
        <v>0</v>
      </c>
      <c r="CO99" s="72">
        <v>2</v>
      </c>
      <c r="CP99" s="72">
        <v>0</v>
      </c>
      <c r="CQ99" s="72">
        <v>4</v>
      </c>
      <c r="CR99" s="72">
        <v>2</v>
      </c>
      <c r="CS99" s="72">
        <v>0</v>
      </c>
      <c r="CT99" s="72">
        <v>4</v>
      </c>
      <c r="CU99" s="72">
        <v>2</v>
      </c>
      <c r="CV99" s="72">
        <v>0</v>
      </c>
      <c r="CW99" s="72">
        <v>4</v>
      </c>
      <c r="CX99" s="72">
        <v>2</v>
      </c>
      <c r="CY99" s="72">
        <v>0</v>
      </c>
      <c r="CZ99" s="72">
        <v>4</v>
      </c>
      <c r="DA99" s="72">
        <v>2</v>
      </c>
      <c r="DB99" s="72">
        <v>0</v>
      </c>
      <c r="DC99" s="72">
        <v>2</v>
      </c>
      <c r="DD99" s="72">
        <v>0</v>
      </c>
      <c r="DE99" s="72">
        <v>4</v>
      </c>
      <c r="DF99" s="72">
        <v>2</v>
      </c>
      <c r="DG99" s="72">
        <v>0</v>
      </c>
      <c r="DH99" s="72">
        <v>4</v>
      </c>
      <c r="DI99" s="72"/>
      <c r="DJ99" s="72"/>
      <c r="DK99" s="72"/>
      <c r="DL99" s="72"/>
      <c r="DM99" s="72"/>
      <c r="DN99" s="72"/>
      <c r="DO99" s="72"/>
      <c r="DP99" s="72"/>
      <c r="DQ99" s="72"/>
      <c r="DR99" s="72"/>
      <c r="DS99" s="72"/>
      <c r="DT99" s="72"/>
      <c r="DU99" s="72"/>
      <c r="DV99" s="72"/>
      <c r="DW99" s="72"/>
      <c r="DX99" s="72"/>
      <c r="DY99" s="72"/>
      <c r="DZ99" s="81"/>
      <c r="EA99" s="81"/>
      <c r="EB99" s="81"/>
      <c r="EC99" s="72"/>
      <c r="ED99" s="72"/>
      <c r="EE99" s="72"/>
      <c r="EF99" s="72"/>
      <c r="EG99" s="72"/>
      <c r="EH99" s="72"/>
      <c r="EI99" s="72"/>
      <c r="EJ99" s="72"/>
      <c r="EK99" s="72"/>
      <c r="EL99" s="72"/>
      <c r="EM99" s="72"/>
      <c r="EN99" s="72"/>
      <c r="EO99" s="72"/>
      <c r="EP99" s="72"/>
      <c r="EQ99" s="72"/>
      <c r="ER99" s="72"/>
      <c r="ES99" s="72"/>
      <c r="ET99" s="72"/>
      <c r="EU99" s="72"/>
      <c r="FH99" s="72"/>
      <c r="FI99" s="72" t="s">
        <v>10</v>
      </c>
      <c r="FJ99" s="72">
        <v>0</v>
      </c>
      <c r="FK99" s="72">
        <v>0</v>
      </c>
      <c r="FL99" s="72">
        <f t="shared" si="129"/>
        <v>0</v>
      </c>
      <c r="FM99" s="72">
        <v>2</v>
      </c>
      <c r="FN99" s="72">
        <v>4</v>
      </c>
      <c r="FO99" s="72">
        <v>4</v>
      </c>
      <c r="FP99" s="72">
        <v>6</v>
      </c>
      <c r="FQ99" s="72">
        <v>6</v>
      </c>
      <c r="FR99" s="72">
        <v>8</v>
      </c>
      <c r="FS99" s="72">
        <v>8</v>
      </c>
      <c r="FT99" s="72">
        <v>10</v>
      </c>
      <c r="FU99" s="72"/>
      <c r="FV99" s="72"/>
      <c r="FW99" s="72"/>
      <c r="FX99" s="72"/>
      <c r="FY99" s="72"/>
      <c r="FZ99" s="72"/>
      <c r="GA99" s="125" t="s">
        <v>411</v>
      </c>
      <c r="GB99" s="64">
        <v>0</v>
      </c>
      <c r="GC99" s="64">
        <v>1</v>
      </c>
      <c r="GD99" s="64">
        <v>0</v>
      </c>
      <c r="GE99" s="64">
        <v>1</v>
      </c>
      <c r="GF99" s="64">
        <v>1</v>
      </c>
      <c r="GG99" s="64">
        <v>1</v>
      </c>
      <c r="GH99" s="64">
        <v>7</v>
      </c>
      <c r="GI99" s="64">
        <v>8</v>
      </c>
      <c r="GJ99" s="64">
        <v>8</v>
      </c>
      <c r="GK99" s="64">
        <v>8</v>
      </c>
      <c r="GL99" s="64">
        <v>3</v>
      </c>
      <c r="GM99" s="64">
        <v>3</v>
      </c>
      <c r="GN99" s="64">
        <v>3</v>
      </c>
      <c r="GO99" s="64">
        <v>4</v>
      </c>
      <c r="GP99" s="64">
        <v>4</v>
      </c>
      <c r="GQ99" s="64">
        <v>4</v>
      </c>
      <c r="GR99" s="64">
        <v>5</v>
      </c>
      <c r="GS99" s="64">
        <v>5</v>
      </c>
      <c r="GT99" s="64">
        <v>5</v>
      </c>
      <c r="GU99" s="64">
        <v>0</v>
      </c>
      <c r="GV99" s="64">
        <v>0</v>
      </c>
      <c r="GY99" s="64">
        <v>0</v>
      </c>
      <c r="GZ99" s="64">
        <v>1</v>
      </c>
      <c r="HA99" s="64">
        <v>2</v>
      </c>
      <c r="HB99" s="64">
        <v>3</v>
      </c>
      <c r="HC99" s="64">
        <v>4</v>
      </c>
      <c r="HD99" s="64">
        <v>5</v>
      </c>
      <c r="HE99" s="64">
        <v>6</v>
      </c>
      <c r="HF99" s="64">
        <v>7</v>
      </c>
      <c r="HG99" s="64">
        <v>8</v>
      </c>
      <c r="HH99" s="64">
        <v>9</v>
      </c>
      <c r="HI99" s="64">
        <v>10</v>
      </c>
      <c r="HJ99" s="64">
        <v>11</v>
      </c>
      <c r="HK99" s="64">
        <v>12</v>
      </c>
      <c r="HL99" s="64">
        <v>13</v>
      </c>
      <c r="HM99" s="64">
        <v>14</v>
      </c>
      <c r="HN99" s="64">
        <v>15</v>
      </c>
      <c r="HO99" s="64">
        <v>16</v>
      </c>
      <c r="HP99" s="64">
        <v>17</v>
      </c>
      <c r="HQ99" s="64">
        <v>18</v>
      </c>
      <c r="HR99" s="64">
        <v>19</v>
      </c>
      <c r="HS99" s="64">
        <v>20</v>
      </c>
      <c r="HU99" s="124"/>
      <c r="HV99" s="83" t="s">
        <v>386</v>
      </c>
      <c r="IS99" s="64" t="s">
        <v>386</v>
      </c>
    </row>
    <row r="100" spans="1:274" x14ac:dyDescent="0.25">
      <c r="A100" s="9"/>
      <c r="B100" s="9"/>
      <c r="C100" s="9"/>
      <c r="D100" s="9"/>
      <c r="E100" s="9"/>
      <c r="F100" s="9"/>
      <c r="G100" s="9"/>
      <c r="H100" s="9"/>
      <c r="I100" s="9"/>
      <c r="J100" s="9"/>
      <c r="K100" s="9"/>
      <c r="L100" s="6" t="s">
        <v>244</v>
      </c>
      <c r="M100" s="11">
        <f>INDEX(cenník!$C$2:$I$568,MATCH($L100,cenník!$B$2:$B$557,0),MATCH(M$2,cenník!$C$1:$I$1,0))</f>
        <v>166794</v>
      </c>
      <c r="N100" s="11" t="str">
        <f>INDEX(cenník!$C$2:$I$568,MATCH($L100,cenník!$B$2:$B$557,0),MATCH(N$2,cenník!$C$1:$I$1,0))</f>
        <v>100ks</v>
      </c>
      <c r="O100" s="11">
        <f>ROUNDUP((O89/100),0)</f>
        <v>0</v>
      </c>
      <c r="P100" s="36">
        <f>INDEX(cenník!$C$2:$I$568,MATCH($L100,cenník!$B$2:$B$557,0),MATCH(P$2,cenník!$C$1:$I$1,0))</f>
        <v>1.38</v>
      </c>
      <c r="Q100" s="36">
        <f t="shared" si="130"/>
        <v>0</v>
      </c>
      <c r="R100" s="37">
        <f t="shared" si="123"/>
        <v>0</v>
      </c>
      <c r="S100" s="36">
        <f t="shared" si="124"/>
        <v>1.38</v>
      </c>
      <c r="T100" s="36">
        <f t="shared" si="131"/>
        <v>0</v>
      </c>
      <c r="U100" s="36">
        <f>INDEX(cenník!$C$2:$I$568,MATCH($L100,cenník!$B$2:$B$557,0),MATCH(U$2,cenník!$C$1:$I$1,0))*O100</f>
        <v>0</v>
      </c>
      <c r="V100" s="72" t="s">
        <v>392</v>
      </c>
      <c r="W100" s="72" t="s">
        <v>391</v>
      </c>
      <c r="X100" s="72">
        <f t="shared" si="132"/>
        <v>0</v>
      </c>
      <c r="Y100" s="72"/>
      <c r="Z100" s="72"/>
      <c r="AA100" s="72"/>
      <c r="AB100" s="72"/>
      <c r="AC100" s="72"/>
      <c r="AD100" s="72" t="s">
        <v>392</v>
      </c>
      <c r="AE100" s="72" t="s">
        <v>391</v>
      </c>
      <c r="AF100" s="72" t="s">
        <v>391</v>
      </c>
      <c r="AG100" s="72" t="s">
        <v>429</v>
      </c>
      <c r="AH100" s="72"/>
      <c r="AI100" s="72"/>
      <c r="AJ100" s="72"/>
      <c r="AK100" s="72"/>
      <c r="AL100" s="72"/>
      <c r="AM100" s="72"/>
      <c r="AN100" s="72"/>
      <c r="AO100" s="72"/>
      <c r="AP100" s="72"/>
      <c r="AQ100" s="72"/>
      <c r="AR100" s="72"/>
      <c r="AS100" s="72" t="s">
        <v>429</v>
      </c>
      <c r="AT100" s="72"/>
      <c r="AV100" s="72"/>
      <c r="AW100" s="72"/>
      <c r="AX100" s="72"/>
      <c r="AY100" s="72"/>
      <c r="AZ100" s="72"/>
      <c r="BA100" s="72"/>
      <c r="BB100" s="72"/>
      <c r="BC100" s="72"/>
      <c r="BD100" s="72"/>
      <c r="BE100" s="72"/>
      <c r="BF100" s="72"/>
      <c r="BG100" s="72"/>
      <c r="BH100" s="72"/>
      <c r="BI100" s="72"/>
      <c r="BJ100" s="72"/>
      <c r="BK100" s="72"/>
      <c r="BL100" s="72"/>
      <c r="BM100" s="72"/>
      <c r="BN100" s="72"/>
      <c r="BO100" s="72"/>
      <c r="BP100" s="72"/>
      <c r="BQ100" s="72"/>
      <c r="BR100" s="72"/>
      <c r="BS100" s="72"/>
      <c r="BT100" s="72"/>
      <c r="BU100" s="72"/>
      <c r="BV100" s="72"/>
      <c r="BW100" s="72"/>
      <c r="BX100" s="72"/>
      <c r="BY100" s="72"/>
      <c r="BZ100" s="72"/>
      <c r="CA100" s="72"/>
      <c r="CB100" s="72"/>
      <c r="CC100" s="72"/>
      <c r="CD100" s="72"/>
      <c r="CE100" s="72"/>
      <c r="CF100" s="72"/>
      <c r="CG100" s="72"/>
      <c r="CH100" s="72"/>
      <c r="CI100" s="72"/>
      <c r="CJ100" s="72"/>
      <c r="CK100" s="72"/>
      <c r="CL100" s="72"/>
      <c r="CM100" s="72" t="s">
        <v>18</v>
      </c>
      <c r="CN100" s="72">
        <v>0</v>
      </c>
      <c r="CO100" s="72">
        <v>0</v>
      </c>
      <c r="CP100" s="72">
        <v>2</v>
      </c>
      <c r="CQ100" s="72">
        <v>0</v>
      </c>
      <c r="CR100" s="72">
        <v>2</v>
      </c>
      <c r="CS100" s="72">
        <v>4</v>
      </c>
      <c r="CT100" s="72">
        <v>2</v>
      </c>
      <c r="CU100" s="72">
        <v>4</v>
      </c>
      <c r="CV100" s="72">
        <v>6</v>
      </c>
      <c r="CW100" s="72">
        <v>4</v>
      </c>
      <c r="CX100" s="72">
        <v>6</v>
      </c>
      <c r="CY100" s="72">
        <v>8</v>
      </c>
      <c r="CZ100" s="72">
        <v>6</v>
      </c>
      <c r="DA100" s="72">
        <v>8</v>
      </c>
      <c r="DB100" s="72">
        <v>10</v>
      </c>
      <c r="DC100" s="72">
        <v>10</v>
      </c>
      <c r="DD100" s="72">
        <v>12</v>
      </c>
      <c r="DE100" s="72">
        <v>10</v>
      </c>
      <c r="DF100" s="72">
        <v>12</v>
      </c>
      <c r="DG100" s="72">
        <v>14</v>
      </c>
      <c r="DH100" s="72">
        <v>12</v>
      </c>
      <c r="DI100" s="72"/>
      <c r="DJ100" s="72"/>
      <c r="DK100" s="72"/>
      <c r="DL100" s="72"/>
      <c r="DM100" s="72"/>
      <c r="DN100" s="72"/>
      <c r="DO100" s="72"/>
      <c r="DP100" s="72"/>
      <c r="DQ100" s="72"/>
      <c r="DR100" s="72"/>
      <c r="DS100" s="72"/>
      <c r="DT100" s="72"/>
      <c r="DU100" s="72"/>
      <c r="DV100" s="72"/>
      <c r="DW100" s="72"/>
      <c r="DX100" s="72"/>
      <c r="DY100" s="72"/>
      <c r="DZ100" s="81"/>
      <c r="EA100" s="81"/>
      <c r="EB100" s="81"/>
      <c r="EC100" s="72"/>
      <c r="ED100" s="72"/>
      <c r="EE100" s="72"/>
      <c r="EF100" s="72"/>
      <c r="EG100" s="72"/>
      <c r="EH100" s="72"/>
      <c r="EI100" s="72"/>
      <c r="EJ100" s="72"/>
      <c r="EK100" s="72"/>
      <c r="EL100" s="72"/>
      <c r="EM100" s="72"/>
      <c r="EN100" s="72"/>
      <c r="EO100" s="72"/>
      <c r="EP100" s="72"/>
      <c r="EQ100" s="72"/>
      <c r="ER100" s="72"/>
      <c r="ES100" s="72"/>
      <c r="ET100" s="72"/>
      <c r="EU100" s="72"/>
      <c r="EV100" s="72"/>
      <c r="EW100" s="72"/>
      <c r="EX100" s="72"/>
      <c r="EY100" s="72"/>
      <c r="EZ100" s="72"/>
      <c r="FA100" s="72"/>
      <c r="FB100" s="72"/>
      <c r="FC100" s="72"/>
      <c r="FD100" s="72"/>
      <c r="FE100" s="72"/>
      <c r="FF100" s="72"/>
      <c r="FG100" s="72"/>
      <c r="FH100" s="72"/>
      <c r="FU100" s="72"/>
      <c r="FV100" s="72"/>
      <c r="FW100" s="72"/>
      <c r="FX100" s="72"/>
      <c r="FY100" s="72"/>
      <c r="FZ100" s="72"/>
      <c r="GA100" s="125" t="s">
        <v>412</v>
      </c>
      <c r="GB100" s="64">
        <v>0</v>
      </c>
      <c r="GC100" s="64">
        <v>0</v>
      </c>
      <c r="GD100" s="64">
        <v>2</v>
      </c>
      <c r="GE100" s="64">
        <v>2</v>
      </c>
      <c r="GF100" s="64">
        <v>3</v>
      </c>
      <c r="GG100" s="64">
        <v>4</v>
      </c>
      <c r="GH100" s="64">
        <v>0</v>
      </c>
      <c r="GI100" s="64">
        <v>0</v>
      </c>
      <c r="GJ100" s="64">
        <v>1</v>
      </c>
      <c r="GK100" s="64">
        <v>2</v>
      </c>
      <c r="GL100" s="64">
        <v>7</v>
      </c>
      <c r="GM100" s="64">
        <v>8</v>
      </c>
      <c r="GN100" s="64">
        <v>9</v>
      </c>
      <c r="GO100" s="64">
        <v>9</v>
      </c>
      <c r="GP100" s="64">
        <v>10</v>
      </c>
      <c r="GQ100" s="64">
        <v>11</v>
      </c>
      <c r="GR100" s="64">
        <v>11</v>
      </c>
      <c r="GS100" s="64">
        <v>12</v>
      </c>
      <c r="GT100" s="64">
        <v>13</v>
      </c>
      <c r="GU100" s="64">
        <v>18</v>
      </c>
      <c r="GV100" s="64">
        <v>19</v>
      </c>
      <c r="GX100" s="125" t="s">
        <v>411</v>
      </c>
      <c r="GY100" s="64">
        <v>0</v>
      </c>
      <c r="GZ100" s="64">
        <v>0</v>
      </c>
      <c r="HA100" s="64">
        <v>3</v>
      </c>
      <c r="HB100" s="64">
        <v>1</v>
      </c>
      <c r="HC100" s="64">
        <v>0</v>
      </c>
      <c r="HD100" s="64">
        <v>5</v>
      </c>
      <c r="HE100" s="64">
        <v>3</v>
      </c>
      <c r="HF100" s="64">
        <v>2</v>
      </c>
      <c r="HG100" s="64">
        <v>0</v>
      </c>
      <c r="HH100" s="64">
        <v>5</v>
      </c>
      <c r="HI100" s="64">
        <v>4</v>
      </c>
      <c r="HJ100" s="64">
        <v>2</v>
      </c>
      <c r="HK100" s="64">
        <v>1</v>
      </c>
      <c r="HL100" s="64">
        <v>5</v>
      </c>
      <c r="HM100" s="64">
        <v>4</v>
      </c>
      <c r="HN100" s="64">
        <v>2</v>
      </c>
      <c r="HO100" s="64">
        <v>1</v>
      </c>
      <c r="HP100" s="64">
        <v>0</v>
      </c>
      <c r="HQ100" s="64">
        <v>4</v>
      </c>
      <c r="HR100" s="64">
        <v>2</v>
      </c>
      <c r="HS100" s="64">
        <v>1</v>
      </c>
      <c r="HW100" s="64">
        <v>0</v>
      </c>
      <c r="HX100" s="64">
        <v>1</v>
      </c>
      <c r="HY100" s="64">
        <v>2</v>
      </c>
      <c r="HZ100" s="64">
        <v>3</v>
      </c>
      <c r="IA100" s="64">
        <v>4</v>
      </c>
      <c r="IB100" s="64">
        <v>5</v>
      </c>
      <c r="IC100" s="64">
        <v>6</v>
      </c>
      <c r="ID100" s="64">
        <v>7</v>
      </c>
      <c r="IE100" s="64">
        <v>8</v>
      </c>
      <c r="IF100" s="64">
        <v>9</v>
      </c>
      <c r="IG100" s="64">
        <v>10</v>
      </c>
      <c r="IH100" s="64">
        <v>11</v>
      </c>
      <c r="II100" s="64">
        <v>12</v>
      </c>
      <c r="IJ100" s="64">
        <v>13</v>
      </c>
      <c r="IK100" s="64">
        <v>14</v>
      </c>
      <c r="IL100" s="64">
        <v>15</v>
      </c>
      <c r="IM100" s="64">
        <v>16</v>
      </c>
      <c r="IN100" s="64">
        <v>17</v>
      </c>
      <c r="IO100" s="64">
        <v>18</v>
      </c>
      <c r="IP100" s="64">
        <v>19</v>
      </c>
      <c r="IQ100" s="64">
        <v>20</v>
      </c>
      <c r="IT100" s="64">
        <f t="shared" si="101"/>
        <v>0</v>
      </c>
      <c r="IU100" s="64">
        <f t="shared" si="102"/>
        <v>2</v>
      </c>
      <c r="IV100" s="64">
        <f t="shared" si="103"/>
        <v>4</v>
      </c>
      <c r="IW100" s="64">
        <f t="shared" si="104"/>
        <v>6</v>
      </c>
      <c r="IX100" s="64">
        <f t="shared" si="105"/>
        <v>8</v>
      </c>
      <c r="IY100" s="64">
        <f t="shared" si="106"/>
        <v>10</v>
      </c>
      <c r="IZ100" s="64">
        <f t="shared" si="107"/>
        <v>12</v>
      </c>
      <c r="JA100" s="64">
        <f t="shared" si="108"/>
        <v>14</v>
      </c>
      <c r="JB100" s="64">
        <f t="shared" si="98"/>
        <v>16</v>
      </c>
      <c r="JC100" s="64">
        <f t="shared" si="109"/>
        <v>18</v>
      </c>
      <c r="JD100" s="64">
        <f t="shared" si="110"/>
        <v>20</v>
      </c>
      <c r="JE100" s="64">
        <f t="shared" si="111"/>
        <v>22</v>
      </c>
      <c r="JF100" s="64">
        <f t="shared" si="112"/>
        <v>24</v>
      </c>
      <c r="JG100" s="64">
        <f t="shared" si="113"/>
        <v>26</v>
      </c>
      <c r="JH100" s="64">
        <f t="shared" si="114"/>
        <v>28</v>
      </c>
      <c r="JI100" s="64">
        <f t="shared" si="115"/>
        <v>30</v>
      </c>
      <c r="JJ100" s="64">
        <f t="shared" si="116"/>
        <v>32</v>
      </c>
      <c r="JK100" s="64">
        <f t="shared" si="117"/>
        <v>34</v>
      </c>
      <c r="JL100" s="64">
        <f t="shared" si="118"/>
        <v>36</v>
      </c>
      <c r="JM100" s="64">
        <f t="shared" si="119"/>
        <v>38</v>
      </c>
      <c r="JN100" s="64">
        <f t="shared" si="120"/>
        <v>40</v>
      </c>
    </row>
    <row r="101" spans="1:274" x14ac:dyDescent="0.25">
      <c r="A101" s="9"/>
      <c r="B101" s="9"/>
      <c r="C101" s="9"/>
      <c r="D101" s="9"/>
      <c r="E101" s="9"/>
      <c r="F101" s="9"/>
      <c r="G101" s="9"/>
      <c r="H101" s="9"/>
      <c r="I101" s="9"/>
      <c r="J101" s="9"/>
      <c r="K101" s="9"/>
      <c r="L101" s="9"/>
      <c r="M101" s="9"/>
      <c r="N101" s="9"/>
      <c r="O101" s="9"/>
      <c r="P101" s="9"/>
      <c r="Q101" s="9"/>
      <c r="R101" s="9"/>
      <c r="S101" s="9"/>
      <c r="T101" s="36" t="e">
        <f>SUM(T77:T100)</f>
        <v>#N/A</v>
      </c>
      <c r="U101" s="36" t="e">
        <f>SUM(U77:U100)</f>
        <v>#N/A</v>
      </c>
      <c r="V101" s="64">
        <f>IF(V104&gt;=V105,V106,IF(V104&lt;V105,V107,0))</f>
        <v>0</v>
      </c>
      <c r="W101" s="72">
        <f>IF(W104&gt;=W105,W106,IF(W104&lt;W105,W107,0))</f>
        <v>1</v>
      </c>
      <c r="X101" s="72">
        <f t="shared" si="132"/>
        <v>0</v>
      </c>
      <c r="Y101" s="72" t="s">
        <v>464</v>
      </c>
      <c r="Z101" s="72" t="s">
        <v>466</v>
      </c>
      <c r="AA101" s="72"/>
      <c r="AB101" s="72"/>
      <c r="AC101" s="72"/>
      <c r="AD101" s="72">
        <f>ROUNDUP((((IF(((INT((((A103*$Z$111)+((A103-1)*20))/2000))*2000)+200)&gt;=(((A103*$Z$111)+((A103-1)*20))),(INT((((A103*$Z$111)+((A103-1)*20))/2000))),IF(((INT((((A103*$Z$111)+((A103-1)*20))/2000))*2000)+200)&lt;(((A103*$Z$111)+((A103-1)*20))),(INT((((A103*$Z$111)+((A103-1)*20))/2000))+1),0)))*C103)/2),0)</f>
        <v>0</v>
      </c>
      <c r="AE101" s="72">
        <f>(IF(((INT((((A103*$Z$111)+((A103-1)*20))/$E$110))*$E$110)+600)&gt;=(((A103*$Z$111)+((A103-1)*20))),(INT((((A103*$Z$111)+((A103-1)*20))/$E$110))+1),IF(((INT((((A103*$Z$111)+((A103-1)*20))/$E$110))*$E$110)+600)&lt;(((A103*$Z$111)+((A103-1)*20))),(INT((((A103*$Z$111)+((A103-1)*20))/$E$110))+2),0)))*C103</f>
        <v>0</v>
      </c>
      <c r="AF101" s="72">
        <f>IF(A103&gt;0,AE101,0)</f>
        <v>0</v>
      </c>
      <c r="AG101" s="72">
        <f>((IF(((INT((((A103*$Z$111)+((A103-1)*20))/$E$110))*$E$110)+600)&gt;=(((A103*$Z$111)+((A103-1)*20))),(INT((((A103*$Z$111)+((A103-1)*20))/$E$110))+1),IF(((INT((((A103*$Z$111)+((A103-1)*20))/$E$110))*$E$110)+600)&lt;(((A103*$Z$111)+((A103-1)*20))),(INT((((A103*$Z$111)+((A103-1)*20))/$E$110))+2),0)))-1)*C103</f>
        <v>0</v>
      </c>
      <c r="AH101" s="72"/>
      <c r="AI101" s="72"/>
      <c r="AJ101" s="72"/>
      <c r="AK101" s="72"/>
      <c r="AL101" s="72"/>
      <c r="AM101" s="72"/>
      <c r="AN101" s="72"/>
      <c r="AO101" s="72"/>
      <c r="AP101" s="72"/>
      <c r="AQ101" s="72"/>
      <c r="AR101" s="72"/>
      <c r="AS101" s="72">
        <f>((IF(((INT((((A103*$Z$111)+((A103-1)*20))/$E$110))*$E$110)+600)&gt;=(((A103*$Z$111)+((A103-1)*20))),(INT((((A103*$Z$111)+((A103-1)*20))/$E$110))+1),IF(((INT((((A103*$Z$111)+((A103-1)*20))/$E$110))*$E$110)+600)&lt;(((A103*$Z$111)+((A103-1)*20))),(INT((((A103*$Z$111)+((A103-1)*20))/$E$110))+2),0)))-1)</f>
        <v>0</v>
      </c>
      <c r="AT101" s="72">
        <f>IF(AS101&gt;1,(AS101-1)*4*C103,0)</f>
        <v>0</v>
      </c>
      <c r="AU101" s="72"/>
      <c r="AV101" s="72"/>
      <c r="AW101" s="72"/>
      <c r="AX101" s="72"/>
      <c r="AY101" s="72"/>
      <c r="AZ101" s="72"/>
      <c r="BA101" s="72"/>
      <c r="BB101" s="72"/>
      <c r="BC101" s="72"/>
      <c r="BD101" s="72"/>
      <c r="BE101" s="72"/>
      <c r="BF101" s="72"/>
      <c r="BG101" s="72"/>
      <c r="BH101" s="72"/>
      <c r="BI101" s="72"/>
      <c r="BJ101" s="72"/>
      <c r="BK101" s="72"/>
      <c r="BL101" s="72"/>
      <c r="BM101" s="72"/>
      <c r="BN101" s="72"/>
      <c r="BO101" s="72"/>
      <c r="BP101" s="72"/>
      <c r="BQ101" s="72"/>
      <c r="BR101" s="72"/>
      <c r="BS101" s="72"/>
      <c r="BT101" s="72"/>
      <c r="BU101" s="72"/>
      <c r="BV101" s="72"/>
      <c r="BW101" s="72"/>
      <c r="BX101" s="72"/>
      <c r="BY101" s="72"/>
      <c r="BZ101" s="72"/>
      <c r="CA101" s="72"/>
      <c r="CB101" s="72"/>
      <c r="CC101" s="72"/>
      <c r="CD101" s="72"/>
      <c r="CE101" s="72"/>
      <c r="CF101" s="72"/>
      <c r="CG101" s="72"/>
      <c r="CH101" s="72"/>
      <c r="CI101" s="72"/>
      <c r="CJ101" s="72"/>
      <c r="CK101" s="72"/>
      <c r="CL101" s="72"/>
      <c r="CM101" s="72" t="s">
        <v>179</v>
      </c>
      <c r="CN101" s="72">
        <v>0</v>
      </c>
      <c r="CO101" s="72">
        <v>0</v>
      </c>
      <c r="CP101" s="72">
        <v>0</v>
      </c>
      <c r="CQ101" s="72">
        <v>4</v>
      </c>
      <c r="CR101" s="72">
        <v>4</v>
      </c>
      <c r="CS101" s="72">
        <v>4</v>
      </c>
      <c r="CT101" s="72">
        <v>8</v>
      </c>
      <c r="CU101" s="72">
        <v>8</v>
      </c>
      <c r="CV101" s="72">
        <v>8</v>
      </c>
      <c r="CW101" s="72">
        <v>12</v>
      </c>
      <c r="CX101" s="72">
        <v>12</v>
      </c>
      <c r="CY101" s="72">
        <v>12</v>
      </c>
      <c r="CZ101" s="72">
        <v>16</v>
      </c>
      <c r="DA101" s="72">
        <v>16</v>
      </c>
      <c r="DB101" s="72">
        <v>16</v>
      </c>
      <c r="DC101" s="72">
        <v>20</v>
      </c>
      <c r="DD101" s="72">
        <v>20</v>
      </c>
      <c r="DE101" s="72">
        <v>24</v>
      </c>
      <c r="DF101" s="72">
        <v>24</v>
      </c>
      <c r="DG101" s="72">
        <v>24</v>
      </c>
      <c r="DH101" s="72">
        <v>28</v>
      </c>
      <c r="DI101" s="72"/>
      <c r="DJ101" s="72"/>
      <c r="DK101" s="72"/>
      <c r="DL101" s="72"/>
      <c r="DM101" s="72"/>
      <c r="DN101" s="72"/>
      <c r="DO101" s="72"/>
      <c r="DP101" s="72"/>
      <c r="DQ101" s="72"/>
      <c r="DR101" s="72"/>
      <c r="DS101" s="72"/>
      <c r="DT101" s="72"/>
      <c r="DU101" s="72"/>
      <c r="DV101" s="72"/>
      <c r="DW101" s="72"/>
      <c r="DX101" s="72"/>
      <c r="DY101" s="72"/>
      <c r="DZ101" s="81"/>
      <c r="EA101" s="81"/>
      <c r="EB101" s="81"/>
      <c r="EC101" s="72"/>
      <c r="ED101" s="72"/>
      <c r="EE101" s="72"/>
      <c r="EF101" s="72"/>
      <c r="EG101" s="72"/>
      <c r="EH101" s="72"/>
      <c r="EI101" s="72"/>
      <c r="EJ101" s="72"/>
      <c r="EK101" s="72"/>
      <c r="EL101" s="72"/>
      <c r="EM101" s="72"/>
      <c r="EN101" s="72"/>
      <c r="EO101" s="72"/>
      <c r="EP101" s="72"/>
      <c r="EQ101" s="72"/>
      <c r="ER101" s="72"/>
      <c r="ES101" s="72"/>
      <c r="ET101" s="72"/>
      <c r="EU101" s="72"/>
      <c r="EV101" s="72"/>
      <c r="EW101" s="72"/>
      <c r="EX101" s="72"/>
      <c r="EY101" s="72"/>
      <c r="EZ101" s="72"/>
      <c r="FA101" s="72"/>
      <c r="FB101" s="72"/>
      <c r="FC101" s="72"/>
      <c r="FD101" s="72"/>
      <c r="FE101" s="72"/>
      <c r="FF101" s="72"/>
      <c r="FG101" s="72"/>
      <c r="FH101" s="72"/>
      <c r="FJ101" s="72"/>
      <c r="FK101" s="72"/>
      <c r="FL101" s="72"/>
      <c r="FM101" s="72"/>
      <c r="FN101" s="72"/>
      <c r="FO101" s="72"/>
      <c r="FP101" s="72"/>
      <c r="FQ101" s="72"/>
      <c r="FR101" s="72"/>
      <c r="FS101" s="72"/>
      <c r="FT101" s="72"/>
      <c r="FU101" s="72"/>
      <c r="FV101" s="72"/>
      <c r="FW101" s="72"/>
      <c r="FX101" s="72"/>
      <c r="FY101" s="72"/>
      <c r="FZ101" s="72"/>
      <c r="GA101" s="125" t="s">
        <v>413</v>
      </c>
      <c r="GB101" s="64">
        <v>0</v>
      </c>
      <c r="GC101" s="64">
        <v>0</v>
      </c>
      <c r="GD101" s="64">
        <v>0</v>
      </c>
      <c r="GE101" s="64">
        <v>0</v>
      </c>
      <c r="GF101" s="64">
        <v>0</v>
      </c>
      <c r="GG101" s="64">
        <v>0</v>
      </c>
      <c r="GH101" s="64">
        <v>0</v>
      </c>
      <c r="GI101" s="64">
        <v>0</v>
      </c>
      <c r="GJ101" s="64">
        <v>0</v>
      </c>
      <c r="GK101" s="64">
        <v>0</v>
      </c>
      <c r="GL101" s="64">
        <v>0</v>
      </c>
      <c r="GM101" s="64">
        <v>0</v>
      </c>
      <c r="GN101" s="64">
        <v>0</v>
      </c>
      <c r="GO101" s="64">
        <v>0</v>
      </c>
      <c r="GP101" s="64">
        <v>0</v>
      </c>
      <c r="GQ101" s="64">
        <v>0</v>
      </c>
      <c r="GR101" s="64">
        <v>0</v>
      </c>
      <c r="GS101" s="64">
        <v>0</v>
      </c>
      <c r="GT101" s="64">
        <v>0</v>
      </c>
      <c r="GU101" s="64">
        <v>0</v>
      </c>
      <c r="GV101" s="64">
        <v>0</v>
      </c>
      <c r="GX101" s="125" t="s">
        <v>412</v>
      </c>
      <c r="GY101" s="64">
        <v>0</v>
      </c>
      <c r="GZ101" s="64">
        <v>0</v>
      </c>
      <c r="HA101" s="64">
        <v>0</v>
      </c>
      <c r="HB101" s="64">
        <v>3</v>
      </c>
      <c r="HC101" s="64">
        <v>5</v>
      </c>
      <c r="HD101" s="64">
        <v>2</v>
      </c>
      <c r="HE101" s="64">
        <v>5</v>
      </c>
      <c r="HF101" s="64">
        <v>7</v>
      </c>
      <c r="HG101" s="64">
        <v>10</v>
      </c>
      <c r="HH101" s="64">
        <v>7</v>
      </c>
      <c r="HI101" s="64">
        <v>9</v>
      </c>
      <c r="HJ101" s="64">
        <v>12</v>
      </c>
      <c r="HK101" s="64">
        <v>14</v>
      </c>
      <c r="HL101" s="64">
        <v>12</v>
      </c>
      <c r="HM101" s="64">
        <v>14</v>
      </c>
      <c r="HN101" s="64">
        <v>17</v>
      </c>
      <c r="HO101" s="64">
        <v>19</v>
      </c>
      <c r="HP101" s="64">
        <v>21</v>
      </c>
      <c r="HQ101" s="64">
        <v>19</v>
      </c>
      <c r="HR101" s="64">
        <v>22</v>
      </c>
      <c r="HS101" s="64">
        <v>24</v>
      </c>
      <c r="HV101" s="64" t="s">
        <v>380</v>
      </c>
      <c r="HW101" s="64">
        <v>0</v>
      </c>
      <c r="HX101" s="64">
        <v>2</v>
      </c>
      <c r="HY101" s="64">
        <v>2</v>
      </c>
      <c r="HZ101" s="64">
        <v>4</v>
      </c>
      <c r="IA101" s="64">
        <v>0</v>
      </c>
      <c r="IB101" s="64">
        <v>2</v>
      </c>
      <c r="IC101" s="64">
        <v>4</v>
      </c>
      <c r="ID101" s="64">
        <v>4</v>
      </c>
      <c r="IE101" s="64">
        <v>0</v>
      </c>
      <c r="IF101" s="64">
        <v>2</v>
      </c>
      <c r="IG101" s="64">
        <v>4</v>
      </c>
      <c r="IH101" s="64">
        <v>4</v>
      </c>
      <c r="II101" s="64">
        <v>0</v>
      </c>
      <c r="IJ101" s="64">
        <v>2</v>
      </c>
      <c r="IK101" s="64">
        <v>4</v>
      </c>
      <c r="IL101" s="64">
        <v>4</v>
      </c>
      <c r="IM101" s="64">
        <v>0</v>
      </c>
      <c r="IN101" s="64">
        <v>2</v>
      </c>
      <c r="IO101" s="64">
        <v>4</v>
      </c>
      <c r="IP101" s="64">
        <v>4</v>
      </c>
      <c r="IQ101" s="64">
        <v>0</v>
      </c>
      <c r="IS101" s="64" t="s">
        <v>380</v>
      </c>
      <c r="IT101" s="64">
        <f t="shared" si="101"/>
        <v>0</v>
      </c>
      <c r="IU101" s="64">
        <f t="shared" si="102"/>
        <v>4</v>
      </c>
      <c r="IV101" s="64">
        <f t="shared" si="103"/>
        <v>4</v>
      </c>
      <c r="IW101" s="64">
        <f t="shared" si="104"/>
        <v>8</v>
      </c>
      <c r="IX101" s="64">
        <f t="shared" si="105"/>
        <v>0</v>
      </c>
      <c r="IY101" s="64">
        <f t="shared" si="106"/>
        <v>4</v>
      </c>
      <c r="IZ101" s="64">
        <f t="shared" si="107"/>
        <v>8</v>
      </c>
      <c r="JA101" s="64">
        <f t="shared" si="108"/>
        <v>8</v>
      </c>
      <c r="JB101" s="64">
        <f t="shared" si="98"/>
        <v>0</v>
      </c>
      <c r="JC101" s="64">
        <f t="shared" si="109"/>
        <v>4</v>
      </c>
      <c r="JD101" s="64">
        <f t="shared" si="110"/>
        <v>8</v>
      </c>
      <c r="JE101" s="64">
        <f t="shared" si="111"/>
        <v>8</v>
      </c>
      <c r="JF101" s="64">
        <f t="shared" si="112"/>
        <v>0</v>
      </c>
      <c r="JG101" s="64">
        <f t="shared" si="113"/>
        <v>4</v>
      </c>
      <c r="JH101" s="64">
        <f t="shared" si="114"/>
        <v>8</v>
      </c>
      <c r="JI101" s="64">
        <f t="shared" si="115"/>
        <v>8</v>
      </c>
      <c r="JJ101" s="64">
        <f t="shared" si="116"/>
        <v>0</v>
      </c>
      <c r="JK101" s="64">
        <f t="shared" si="117"/>
        <v>4</v>
      </c>
      <c r="JL101" s="64">
        <f t="shared" si="118"/>
        <v>8</v>
      </c>
      <c r="JM101" s="64">
        <f t="shared" si="119"/>
        <v>8</v>
      </c>
      <c r="JN101" s="64">
        <f t="shared" si="120"/>
        <v>0</v>
      </c>
    </row>
    <row r="102" spans="1:274" ht="39" x14ac:dyDescent="0.25">
      <c r="A102" s="3" t="s">
        <v>549</v>
      </c>
      <c r="B102" s="3"/>
      <c r="C102" s="3" t="s">
        <v>550</v>
      </c>
      <c r="D102" s="9"/>
      <c r="E102" s="9"/>
      <c r="F102" s="9"/>
      <c r="G102" s="9"/>
      <c r="H102" s="9"/>
      <c r="I102" s="9"/>
      <c r="J102" s="9"/>
      <c r="K102" s="9"/>
      <c r="L102" s="221" t="str">
        <f>IF(E105=$Z$2,"KONŠTRUKCIA DP-DTHBN",IF(E105=$Z$3,"KONŠTRUKCIA DP-DTHKN",IF(E105=$Z$4,"KONŠTRUKCIA DP-DTHWN",IF(E105=$Z$5,"KONŠTRUKCIA DP-DTHKSN"))))</f>
        <v>KONŠTRUKCIA DP-DTHKN</v>
      </c>
      <c r="M102" s="221"/>
      <c r="N102" s="221"/>
      <c r="O102" s="221"/>
      <c r="P102" s="221"/>
      <c r="Q102" s="221"/>
      <c r="R102" s="221"/>
      <c r="S102" s="221"/>
      <c r="T102" s="221"/>
      <c r="U102" s="221"/>
      <c r="W102" s="72"/>
      <c r="X102" s="72">
        <f t="shared" si="132"/>
        <v>0</v>
      </c>
      <c r="Y102" s="88">
        <v>30</v>
      </c>
      <c r="Z102" s="72" t="s">
        <v>382</v>
      </c>
      <c r="AA102" s="72"/>
      <c r="AB102" s="72">
        <v>1</v>
      </c>
      <c r="AC102" s="72"/>
      <c r="AD102" s="72">
        <f t="shared" ref="AD102:AD116" si="133">ROUNDUP((((IF(((INT((((A104*$Z$111)+((A104-1)*20))/2000))*2000)+200)&gt;=(((A104*$Z$111)+((A104-1)*20))),(INT((((A104*$Z$111)+((A104-1)*20))/2000))),IF(((INT((((A104*$Z$111)+((A104-1)*20))/2000))*2000)+200)&lt;(((A104*$Z$111)+((A104-1)*20))),(INT((((A104*$Z$111)+((A104-1)*20))/2000))+1),0)))*C104)/2),0)</f>
        <v>0</v>
      </c>
      <c r="AE102" s="72">
        <f>(IF(((INT((((A104*$Z$111)+((A104-1)*20))/$E$110))*$E$110)+600)&gt;=(((A104*$Z$111)+((A104-1)*20))),(INT((((A104*$Z$111)+((A104-1)*20))/$E$110))+1),IF(((INT((((A104*$Z$111)+((A104-1)*20))/$E$110))*$E$110)+600)&lt;(((A104*$Z$111)+((A104-1)*20))),(INT((((A104*$Z$111)+((A104-1)*20))/$E$110))+2),0)))*C104</f>
        <v>0</v>
      </c>
      <c r="AF102" s="72">
        <f>IF(A104&gt;0,AE102,0)</f>
        <v>0</v>
      </c>
      <c r="AG102" s="72">
        <f t="shared" ref="AG102:AG115" si="134">((IF(((INT((((A104*$Z$111)+((A104-1)*20))/$E$110))*$E$110)+600)&gt;=(((A104*$Z$111)+((A104-1)*20))),(INT((((A104*$Z$111)+((A104-1)*20))/$E$110))+1),IF(((INT((((A104*$Z$111)+((A104-1)*20))/$E$110))*$E$110)+600)&lt;(((A104*$Z$111)+((A104-1)*20))),(INT((((A104*$Z$111)+((A104-1)*20))/$E$110))+2),0)))-1)*C104</f>
        <v>0</v>
      </c>
      <c r="AH102" s="72"/>
      <c r="AI102" s="72"/>
      <c r="AJ102" s="72"/>
      <c r="AK102" s="72"/>
      <c r="AL102" s="72"/>
      <c r="AM102" s="72"/>
      <c r="AN102" s="72"/>
      <c r="AO102" s="72"/>
      <c r="AP102" s="72"/>
      <c r="AQ102" s="72"/>
      <c r="AR102" s="72"/>
      <c r="AS102" s="72">
        <f t="shared" ref="AS102:AS116" si="135">((IF(((INT((((A104*$Z$111)+((A104-1)*20))/$E$110))*$E$110)+600)&gt;=(((A104*$Z$111)+((A104-1)*20))),(INT((((A104*$Z$111)+((A104-1)*20))/$E$110))+1),IF(((INT((((A104*$Z$111)+((A104-1)*20))/$E$110))*$E$110)+600)&lt;(((A104*$Z$111)+((A104-1)*20))),(INT((((A104*$Z$111)+((A104-1)*20))/$E$110))+2),0)))-1)</f>
        <v>0</v>
      </c>
      <c r="AT102" s="72">
        <f t="shared" ref="AT102:AT116" si="136">IF(AS102&gt;1,(AS102-1)*4*C104,0)</f>
        <v>0</v>
      </c>
      <c r="AU102" s="72"/>
      <c r="AV102" s="72"/>
      <c r="AW102" s="72"/>
      <c r="AX102" s="72"/>
      <c r="AY102" s="72"/>
      <c r="AZ102" s="72"/>
      <c r="BA102" s="72"/>
      <c r="BB102" s="72"/>
      <c r="BC102" s="72"/>
      <c r="BD102" s="72"/>
      <c r="BE102" s="72"/>
      <c r="BF102" s="72"/>
      <c r="BG102" s="72"/>
      <c r="BH102" s="72"/>
      <c r="BI102" s="72"/>
      <c r="BJ102" s="72"/>
      <c r="BK102" s="72"/>
      <c r="BL102" s="72"/>
      <c r="BM102" s="72"/>
      <c r="BN102" s="72"/>
      <c r="BO102" s="72"/>
      <c r="BP102" s="72"/>
      <c r="BQ102" s="72"/>
      <c r="BR102" s="72"/>
      <c r="BS102" s="72"/>
      <c r="BT102" s="72"/>
      <c r="BU102" s="72"/>
      <c r="BV102" s="72"/>
      <c r="BW102" s="72"/>
      <c r="BX102" s="72"/>
      <c r="BY102" s="72"/>
      <c r="BZ102" s="72"/>
      <c r="CA102" s="72"/>
      <c r="CB102" s="72"/>
      <c r="CC102" s="72"/>
      <c r="CD102" s="72"/>
      <c r="CE102" s="72"/>
      <c r="CF102" s="72"/>
      <c r="CG102" s="72"/>
      <c r="CH102" s="72"/>
      <c r="CI102" s="72"/>
      <c r="CJ102" s="72"/>
      <c r="CK102" s="72"/>
      <c r="CL102" s="72"/>
      <c r="CM102" s="72" t="s">
        <v>236</v>
      </c>
      <c r="CN102" s="72">
        <v>0</v>
      </c>
      <c r="CO102" s="72">
        <v>2</v>
      </c>
      <c r="CP102" s="72">
        <v>0</v>
      </c>
      <c r="CQ102" s="72">
        <v>4</v>
      </c>
      <c r="CR102" s="72">
        <v>2</v>
      </c>
      <c r="CS102" s="72">
        <v>0</v>
      </c>
      <c r="CT102" s="72">
        <v>4</v>
      </c>
      <c r="CU102" s="72">
        <v>2</v>
      </c>
      <c r="CV102" s="72">
        <v>0</v>
      </c>
      <c r="CW102" s="72">
        <v>4</v>
      </c>
      <c r="CX102" s="72">
        <v>2</v>
      </c>
      <c r="CY102" s="72">
        <v>0</v>
      </c>
      <c r="CZ102" s="72">
        <v>4</v>
      </c>
      <c r="DA102" s="72">
        <v>2</v>
      </c>
      <c r="DB102" s="72">
        <v>0</v>
      </c>
      <c r="DC102" s="72">
        <v>2</v>
      </c>
      <c r="DD102" s="72">
        <v>0</v>
      </c>
      <c r="DE102" s="72">
        <v>4</v>
      </c>
      <c r="DF102" s="72">
        <v>2</v>
      </c>
      <c r="DG102" s="72">
        <v>0</v>
      </c>
      <c r="DH102" s="72">
        <v>4</v>
      </c>
      <c r="DI102" s="72"/>
      <c r="DJ102" s="72"/>
      <c r="DK102" s="72"/>
      <c r="DL102" s="72"/>
      <c r="DM102" s="72"/>
      <c r="DN102" s="72"/>
      <c r="DO102" s="72"/>
      <c r="DP102" s="72"/>
      <c r="DQ102" s="72"/>
      <c r="DR102" s="72"/>
      <c r="DS102" s="72"/>
      <c r="DT102" s="72"/>
      <c r="DU102" s="72"/>
      <c r="DV102" s="72"/>
      <c r="DW102" s="72"/>
      <c r="DX102" s="72"/>
      <c r="DY102" s="72"/>
      <c r="DZ102" s="81"/>
      <c r="EA102" s="81"/>
      <c r="EB102" s="81"/>
      <c r="EC102" s="72"/>
      <c r="ED102" s="72"/>
      <c r="EE102" s="72"/>
      <c r="EF102" s="72"/>
      <c r="EG102" s="72"/>
      <c r="EH102" s="72"/>
      <c r="EI102" s="72"/>
      <c r="EJ102" s="72"/>
      <c r="EK102" s="72"/>
      <c r="EL102" s="72"/>
      <c r="EM102" s="72"/>
      <c r="EN102" s="72"/>
      <c r="EO102" s="72"/>
      <c r="EP102" s="72"/>
      <c r="EQ102" s="72"/>
      <c r="ER102" s="72"/>
      <c r="ES102" s="72"/>
      <c r="ET102" s="72"/>
      <c r="EU102" s="72"/>
      <c r="EV102" s="72"/>
      <c r="EW102" s="72"/>
      <c r="EX102" s="72"/>
      <c r="EY102" s="72"/>
      <c r="EZ102" s="72"/>
      <c r="FA102" s="72"/>
      <c r="FB102" s="72"/>
      <c r="FC102" s="72"/>
      <c r="FD102" s="72"/>
      <c r="FE102" s="72"/>
      <c r="FF102" s="72"/>
      <c r="FG102" s="72"/>
      <c r="FH102" s="72"/>
      <c r="FI102" s="72"/>
      <c r="FJ102" s="72"/>
      <c r="FK102" s="72"/>
      <c r="FL102" s="72"/>
      <c r="FM102" s="72"/>
      <c r="FN102" s="72"/>
      <c r="FO102" s="72"/>
      <c r="FP102" s="72"/>
      <c r="FQ102" s="72"/>
      <c r="FR102" s="72"/>
      <c r="FS102" s="72"/>
      <c r="FT102" s="72"/>
      <c r="FU102" s="72"/>
      <c r="FV102" s="72"/>
      <c r="FW102" s="72"/>
      <c r="FX102" s="72"/>
      <c r="FY102" s="72"/>
      <c r="FZ102" s="72"/>
      <c r="GX102" s="125" t="s">
        <v>413</v>
      </c>
      <c r="GY102" s="64">
        <v>0</v>
      </c>
      <c r="GZ102" s="64">
        <v>1</v>
      </c>
      <c r="HA102" s="64">
        <v>0</v>
      </c>
      <c r="HB102" s="64">
        <v>0</v>
      </c>
      <c r="HC102" s="64">
        <v>0</v>
      </c>
      <c r="HD102" s="64">
        <v>0</v>
      </c>
      <c r="HE102" s="64">
        <v>0</v>
      </c>
      <c r="HF102" s="64">
        <v>0</v>
      </c>
      <c r="HG102" s="64">
        <v>0</v>
      </c>
      <c r="HH102" s="64">
        <v>0</v>
      </c>
      <c r="HI102" s="64">
        <v>0</v>
      </c>
      <c r="HJ102" s="64">
        <v>0</v>
      </c>
      <c r="HK102" s="64">
        <v>0</v>
      </c>
      <c r="HL102" s="64">
        <v>0</v>
      </c>
      <c r="HM102" s="64">
        <v>0</v>
      </c>
      <c r="HN102" s="64">
        <v>0</v>
      </c>
      <c r="HO102" s="64">
        <v>0</v>
      </c>
      <c r="HP102" s="64">
        <v>0</v>
      </c>
      <c r="HQ102" s="64">
        <v>0</v>
      </c>
      <c r="HR102" s="64">
        <v>0</v>
      </c>
      <c r="HS102" s="64">
        <v>0</v>
      </c>
      <c r="HV102" s="64" t="s">
        <v>379</v>
      </c>
      <c r="HW102" s="64">
        <v>0</v>
      </c>
      <c r="HX102" s="64">
        <v>0</v>
      </c>
      <c r="HY102" s="64">
        <v>2</v>
      </c>
      <c r="HZ102" s="64">
        <v>2</v>
      </c>
      <c r="IA102" s="64">
        <v>6</v>
      </c>
      <c r="IB102" s="64">
        <v>6</v>
      </c>
      <c r="IC102" s="64">
        <v>6</v>
      </c>
      <c r="ID102" s="64">
        <v>8</v>
      </c>
      <c r="IE102" s="64">
        <v>12</v>
      </c>
      <c r="IF102" s="64">
        <v>12</v>
      </c>
      <c r="IG102" s="64">
        <v>12</v>
      </c>
      <c r="IH102" s="64">
        <v>14</v>
      </c>
      <c r="II102" s="64">
        <v>18</v>
      </c>
      <c r="IJ102" s="64">
        <v>18</v>
      </c>
      <c r="IK102" s="64">
        <v>18</v>
      </c>
      <c r="IL102" s="64">
        <v>20</v>
      </c>
      <c r="IM102" s="64">
        <v>24</v>
      </c>
      <c r="IN102" s="64">
        <v>24</v>
      </c>
      <c r="IO102" s="64">
        <v>24</v>
      </c>
      <c r="IP102" s="64">
        <v>26</v>
      </c>
      <c r="IQ102" s="64">
        <v>30</v>
      </c>
      <c r="IS102" s="64" t="s">
        <v>379</v>
      </c>
      <c r="IT102" s="64">
        <f t="shared" si="101"/>
        <v>0</v>
      </c>
      <c r="IU102" s="64">
        <f t="shared" si="102"/>
        <v>0</v>
      </c>
      <c r="IV102" s="64">
        <f t="shared" si="103"/>
        <v>4</v>
      </c>
      <c r="IW102" s="64">
        <f t="shared" si="104"/>
        <v>4</v>
      </c>
      <c r="IX102" s="64">
        <f t="shared" si="105"/>
        <v>12</v>
      </c>
      <c r="IY102" s="64">
        <f t="shared" si="106"/>
        <v>12</v>
      </c>
      <c r="IZ102" s="64">
        <f t="shared" si="107"/>
        <v>12</v>
      </c>
      <c r="JA102" s="64">
        <f t="shared" si="108"/>
        <v>16</v>
      </c>
      <c r="JB102" s="64">
        <f t="shared" si="98"/>
        <v>24</v>
      </c>
      <c r="JC102" s="64">
        <f t="shared" si="109"/>
        <v>24</v>
      </c>
      <c r="JD102" s="64">
        <f t="shared" si="110"/>
        <v>24</v>
      </c>
      <c r="JE102" s="64">
        <f t="shared" si="111"/>
        <v>28</v>
      </c>
      <c r="JF102" s="64">
        <f t="shared" si="112"/>
        <v>36</v>
      </c>
      <c r="JG102" s="64">
        <f t="shared" si="113"/>
        <v>36</v>
      </c>
      <c r="JH102" s="64">
        <f t="shared" si="114"/>
        <v>36</v>
      </c>
      <c r="JI102" s="64">
        <f t="shared" si="115"/>
        <v>40</v>
      </c>
      <c r="JJ102" s="64">
        <f t="shared" si="116"/>
        <v>48</v>
      </c>
      <c r="JK102" s="64">
        <f t="shared" si="117"/>
        <v>48</v>
      </c>
      <c r="JL102" s="64">
        <f t="shared" si="118"/>
        <v>48</v>
      </c>
      <c r="JM102" s="64">
        <f t="shared" si="119"/>
        <v>52</v>
      </c>
      <c r="JN102" s="64">
        <f t="shared" si="120"/>
        <v>60</v>
      </c>
    </row>
    <row r="103" spans="1:274" x14ac:dyDescent="0.25">
      <c r="A103" s="8"/>
      <c r="B103" s="5" t="s">
        <v>61</v>
      </c>
      <c r="C103" s="8"/>
      <c r="D103" s="9"/>
      <c r="E103" s="9"/>
      <c r="F103" s="9"/>
      <c r="H103" s="9"/>
      <c r="I103" s="9"/>
      <c r="J103" s="9"/>
      <c r="K103" s="9"/>
      <c r="L103" s="5" t="s">
        <v>53</v>
      </c>
      <c r="M103" s="5" t="s">
        <v>559</v>
      </c>
      <c r="N103" s="5" t="s">
        <v>436</v>
      </c>
      <c r="O103" s="5" t="s">
        <v>442</v>
      </c>
      <c r="P103" s="5" t="s">
        <v>443</v>
      </c>
      <c r="Q103" s="5" t="s">
        <v>444</v>
      </c>
      <c r="R103" s="5" t="s">
        <v>445</v>
      </c>
      <c r="S103" s="5" t="s">
        <v>446</v>
      </c>
      <c r="T103" s="5" t="s">
        <v>447</v>
      </c>
      <c r="U103" s="5" t="s">
        <v>438</v>
      </c>
      <c r="W103" s="72"/>
      <c r="X103" s="72">
        <f t="shared" si="132"/>
        <v>0</v>
      </c>
      <c r="Y103" s="88">
        <v>32</v>
      </c>
      <c r="Z103" s="72" t="s">
        <v>383</v>
      </c>
      <c r="AA103" s="72"/>
      <c r="AB103" s="72">
        <v>2</v>
      </c>
      <c r="AC103" s="72"/>
      <c r="AD103" s="72">
        <f t="shared" si="133"/>
        <v>0</v>
      </c>
      <c r="AE103" s="72">
        <f t="shared" ref="AE103:AE116" si="137">(IF(((INT((((A105*$Z$111)+((A105-1)*20))/$E$110))*$E$110)+600)&gt;=(((A105*$Z$111)+((A105-1)*20))),(INT((((A105*$Z$111)+((A105-1)*20))/$E$110))+1),IF(((INT((((A105*$Z$111)+((A105-1)*20))/$E$110))*$E$110)+600)&lt;(((A105*$Z$111)+((A105-1)*20))),(INT((((A105*$Z$111)+((A105-1)*20))/$E$110))+2),0)))*C105</f>
        <v>0</v>
      </c>
      <c r="AF103" s="72">
        <f t="shared" ref="AF103:AF116" si="138">IF(A105&gt;0,AE103,0)</f>
        <v>0</v>
      </c>
      <c r="AG103" s="72">
        <f t="shared" si="134"/>
        <v>0</v>
      </c>
      <c r="AH103" s="72" t="s">
        <v>388</v>
      </c>
      <c r="AI103" s="72"/>
      <c r="AJ103" s="72"/>
      <c r="AK103" s="72"/>
      <c r="AL103" s="72"/>
      <c r="AM103" s="72"/>
      <c r="AS103" s="72">
        <f t="shared" si="135"/>
        <v>0</v>
      </c>
      <c r="AT103" s="72">
        <f t="shared" si="136"/>
        <v>0</v>
      </c>
      <c r="AU103" s="72"/>
      <c r="AV103" s="72"/>
      <c r="AW103" s="72"/>
      <c r="AX103" s="72"/>
      <c r="AY103" s="72"/>
      <c r="AZ103" s="72"/>
      <c r="BA103" s="72"/>
      <c r="BB103" s="72"/>
      <c r="BC103" s="72"/>
      <c r="BD103" s="72"/>
      <c r="BE103" s="72"/>
      <c r="BF103" s="72"/>
      <c r="BG103" s="72"/>
      <c r="BH103" s="72"/>
      <c r="BI103" s="72"/>
      <c r="BJ103" s="72"/>
      <c r="BK103" s="72"/>
      <c r="BL103" s="72"/>
      <c r="BM103" s="72"/>
      <c r="BN103" s="72"/>
      <c r="BO103" s="72"/>
      <c r="BP103" s="72"/>
      <c r="BQ103" s="72"/>
      <c r="BR103" s="72"/>
      <c r="BS103" s="72"/>
      <c r="BT103" s="72"/>
      <c r="BU103" s="72"/>
      <c r="BV103" s="72"/>
      <c r="BW103" s="72"/>
      <c r="BX103" s="72"/>
      <c r="BY103" s="72"/>
      <c r="BZ103" s="72"/>
      <c r="CA103" s="72"/>
      <c r="CB103" s="72"/>
      <c r="CC103" s="72"/>
      <c r="CD103" s="72"/>
      <c r="CE103" s="72"/>
      <c r="CF103" s="72"/>
      <c r="CG103" s="72"/>
      <c r="CH103" s="72"/>
      <c r="CI103" s="72"/>
      <c r="CJ103" s="72"/>
      <c r="CK103" s="72"/>
      <c r="CL103" s="72"/>
      <c r="CM103" s="72" t="s">
        <v>238</v>
      </c>
      <c r="CN103" s="72">
        <v>0</v>
      </c>
      <c r="CO103" s="72">
        <v>0</v>
      </c>
      <c r="CP103" s="72">
        <v>2</v>
      </c>
      <c r="CQ103" s="72">
        <v>0</v>
      </c>
      <c r="CR103" s="72">
        <v>2</v>
      </c>
      <c r="CS103" s="72">
        <v>4</v>
      </c>
      <c r="CT103" s="72">
        <v>2</v>
      </c>
      <c r="CU103" s="72">
        <v>4</v>
      </c>
      <c r="CV103" s="72">
        <v>6</v>
      </c>
      <c r="CW103" s="72">
        <v>4</v>
      </c>
      <c r="CX103" s="72">
        <v>6</v>
      </c>
      <c r="CY103" s="72">
        <v>8</v>
      </c>
      <c r="CZ103" s="72">
        <v>6</v>
      </c>
      <c r="DA103" s="72">
        <v>8</v>
      </c>
      <c r="DB103" s="72">
        <v>10</v>
      </c>
      <c r="DC103" s="72">
        <v>10</v>
      </c>
      <c r="DD103" s="72">
        <v>12</v>
      </c>
      <c r="DE103" s="72">
        <v>10</v>
      </c>
      <c r="DF103" s="72">
        <v>12</v>
      </c>
      <c r="DG103" s="72">
        <v>14</v>
      </c>
      <c r="DH103" s="72">
        <v>12</v>
      </c>
      <c r="DI103" s="72"/>
      <c r="DJ103" s="72"/>
      <c r="DK103" s="72"/>
      <c r="DL103" s="72"/>
      <c r="DM103" s="72"/>
      <c r="DN103" s="72"/>
      <c r="DO103" s="72"/>
      <c r="DP103" s="72"/>
      <c r="DQ103" s="72"/>
      <c r="DR103" s="72"/>
      <c r="DS103" s="72"/>
      <c r="DT103" s="72"/>
      <c r="DU103" s="72"/>
      <c r="DV103" s="72"/>
      <c r="DW103" s="72"/>
      <c r="DX103" s="72"/>
      <c r="DY103" s="72"/>
      <c r="DZ103" s="81"/>
      <c r="EA103" s="81"/>
      <c r="EB103" s="81"/>
      <c r="EC103" s="72"/>
      <c r="ED103" s="72"/>
      <c r="EE103" s="72"/>
      <c r="EF103" s="72"/>
      <c r="EG103" s="72"/>
      <c r="EH103" s="72"/>
      <c r="EI103" s="72"/>
      <c r="EJ103" s="72"/>
      <c r="EK103" s="72"/>
      <c r="EL103" s="72"/>
      <c r="EM103" s="72"/>
      <c r="EN103" s="72"/>
      <c r="EO103" s="72"/>
      <c r="EP103" s="72"/>
      <c r="EQ103" s="72"/>
      <c r="ER103" s="72"/>
      <c r="ES103" s="72"/>
      <c r="ET103" s="72"/>
      <c r="EU103" s="72"/>
      <c r="EV103" s="72"/>
      <c r="EW103" s="72"/>
      <c r="EX103" s="72"/>
      <c r="EY103" s="72"/>
      <c r="EZ103" s="72"/>
      <c r="FA103" s="72"/>
      <c r="FB103" s="72"/>
      <c r="FC103" s="72"/>
      <c r="FD103" s="72"/>
      <c r="FE103" s="72"/>
      <c r="FF103" s="72"/>
      <c r="FG103" s="72"/>
      <c r="FH103" s="72"/>
      <c r="FI103" s="72"/>
      <c r="FJ103" s="72"/>
      <c r="FK103" s="72"/>
      <c r="FL103" s="72"/>
      <c r="FM103" s="72"/>
      <c r="FN103" s="72"/>
      <c r="FO103" s="72"/>
      <c r="FP103" s="72"/>
      <c r="FQ103" s="72"/>
      <c r="FR103" s="72"/>
      <c r="FS103" s="72"/>
      <c r="FT103" s="72"/>
      <c r="FU103" s="72"/>
      <c r="FV103" s="72"/>
      <c r="FW103" s="72"/>
      <c r="FX103" s="72"/>
      <c r="FY103" s="72"/>
      <c r="FZ103" s="72"/>
      <c r="GA103" s="64" t="s">
        <v>197</v>
      </c>
      <c r="GB103" s="72"/>
      <c r="GC103" s="72"/>
      <c r="GD103" s="72"/>
      <c r="GE103" s="72"/>
      <c r="GF103" s="72"/>
      <c r="GG103" s="72"/>
      <c r="GH103" s="72"/>
      <c r="GI103" s="72"/>
      <c r="GJ103" s="72"/>
      <c r="GK103" s="72"/>
      <c r="GL103" s="72"/>
      <c r="GM103" s="72"/>
      <c r="GN103" s="72"/>
      <c r="GO103" s="72"/>
      <c r="GP103" s="72"/>
      <c r="HV103" s="64" t="s">
        <v>406</v>
      </c>
      <c r="HW103" s="64">
        <v>0</v>
      </c>
      <c r="HX103" s="64">
        <v>0</v>
      </c>
      <c r="HY103" s="64">
        <v>2</v>
      </c>
      <c r="HZ103" s="64">
        <v>4</v>
      </c>
      <c r="IA103" s="64">
        <v>4</v>
      </c>
      <c r="IB103" s="64">
        <v>6</v>
      </c>
      <c r="IC103" s="64">
        <v>8</v>
      </c>
      <c r="ID103" s="64">
        <v>10</v>
      </c>
      <c r="IE103" s="64">
        <v>10</v>
      </c>
      <c r="IF103" s="64">
        <v>12</v>
      </c>
      <c r="IG103" s="64">
        <v>14</v>
      </c>
      <c r="IH103" s="64">
        <v>16</v>
      </c>
      <c r="II103" s="64">
        <v>16</v>
      </c>
      <c r="IJ103" s="64">
        <v>18</v>
      </c>
      <c r="IK103" s="64">
        <v>20</v>
      </c>
      <c r="IL103" s="64">
        <v>22</v>
      </c>
      <c r="IM103" s="64">
        <v>22</v>
      </c>
      <c r="IN103" s="64">
        <v>24</v>
      </c>
      <c r="IO103" s="64">
        <v>26</v>
      </c>
      <c r="IP103" s="64">
        <v>28</v>
      </c>
      <c r="IQ103" s="64">
        <v>28</v>
      </c>
      <c r="IS103" s="64" t="s">
        <v>406</v>
      </c>
      <c r="IT103" s="64">
        <f t="shared" si="101"/>
        <v>0</v>
      </c>
      <c r="IU103" s="64">
        <f t="shared" si="102"/>
        <v>0</v>
      </c>
      <c r="IV103" s="64">
        <f t="shared" si="103"/>
        <v>4</v>
      </c>
      <c r="IW103" s="64">
        <f t="shared" si="104"/>
        <v>8</v>
      </c>
      <c r="IX103" s="64">
        <f t="shared" si="105"/>
        <v>8</v>
      </c>
      <c r="IY103" s="64">
        <f t="shared" si="106"/>
        <v>12</v>
      </c>
      <c r="IZ103" s="64">
        <f t="shared" si="107"/>
        <v>16</v>
      </c>
      <c r="JA103" s="64">
        <f t="shared" si="108"/>
        <v>20</v>
      </c>
      <c r="JB103" s="64">
        <f t="shared" si="98"/>
        <v>20</v>
      </c>
      <c r="JC103" s="64">
        <f t="shared" si="109"/>
        <v>24</v>
      </c>
      <c r="JD103" s="64">
        <f t="shared" si="110"/>
        <v>28</v>
      </c>
      <c r="JE103" s="64">
        <f t="shared" si="111"/>
        <v>32</v>
      </c>
      <c r="JF103" s="64">
        <f t="shared" si="112"/>
        <v>32</v>
      </c>
      <c r="JG103" s="64">
        <f t="shared" si="113"/>
        <v>36</v>
      </c>
      <c r="JH103" s="64">
        <f t="shared" si="114"/>
        <v>40</v>
      </c>
      <c r="JI103" s="64">
        <f t="shared" si="115"/>
        <v>44</v>
      </c>
      <c r="JJ103" s="64">
        <f t="shared" si="116"/>
        <v>44</v>
      </c>
      <c r="JK103" s="64">
        <f t="shared" si="117"/>
        <v>48</v>
      </c>
      <c r="JL103" s="64">
        <f t="shared" si="118"/>
        <v>52</v>
      </c>
      <c r="JM103" s="64">
        <f t="shared" si="119"/>
        <v>56</v>
      </c>
      <c r="JN103" s="64">
        <f t="shared" si="120"/>
        <v>56</v>
      </c>
    </row>
    <row r="104" spans="1:274" x14ac:dyDescent="0.25">
      <c r="A104" s="8"/>
      <c r="B104" s="5" t="s">
        <v>61</v>
      </c>
      <c r="C104" s="8"/>
      <c r="D104" s="6" t="s">
        <v>452</v>
      </c>
      <c r="E104" s="8" t="s">
        <v>56</v>
      </c>
      <c r="F104" s="5" t="s">
        <v>61</v>
      </c>
      <c r="G104" s="8" t="s">
        <v>205</v>
      </c>
      <c r="H104" s="5" t="s">
        <v>61</v>
      </c>
      <c r="I104" s="8">
        <v>30</v>
      </c>
      <c r="J104" s="5" t="s">
        <v>62</v>
      </c>
      <c r="K104" s="9"/>
      <c r="L104" s="6" t="s">
        <v>379</v>
      </c>
      <c r="M104" s="11">
        <f>INDEX(cenník!$C$2:$I$568,MATCH($L104,cenník!$B$2:$B$557,0),MATCH(M$103,cenník!$C$1:$I$1,0))</f>
        <v>895333</v>
      </c>
      <c r="N104" s="11" t="str">
        <f>INDEX(cenník!$C$2:$I$568,MATCH($L104,cenník!$B$2:$B$557,0),MATCH(N$2,cenník!$C$1:$I$1,0))</f>
        <v>ks</v>
      </c>
      <c r="O104" s="11">
        <f>SUM(AF123:AF138)</f>
        <v>0</v>
      </c>
      <c r="P104" s="36">
        <f>INDEX(cenník!$C$2:$I$568,MATCH($L104,cenník!$B$2:$B$557,0),MATCH(P$2,cenník!$C$1:$I$1,0))</f>
        <v>29.56</v>
      </c>
      <c r="Q104" s="36">
        <f>O104*P104</f>
        <v>0</v>
      </c>
      <c r="R104" s="37">
        <f t="shared" ref="R104:R125" si="139">$E$107</f>
        <v>0</v>
      </c>
      <c r="S104" s="36">
        <f t="shared" ref="S104:S124" si="140">P104*((100-$E$107)/100)</f>
        <v>29.56</v>
      </c>
      <c r="T104" s="36">
        <f>O104*S104</f>
        <v>0</v>
      </c>
      <c r="U104" s="36">
        <f>INDEX(cenník!$C$2:$I$568,MATCH($L104,cenník!$B$2:$B$557,0),MATCH(U$2,cenník!$C$1:$I$1,0))*O104</f>
        <v>0</v>
      </c>
      <c r="V104" s="64">
        <f>((INT((((A103*$Z$111)+((A103-1)*20))/900))*900)+200)</f>
        <v>-700</v>
      </c>
      <c r="W104" s="72">
        <f>((INT((((A103*$Z$111)+((A103-1)*20))/$E$110))*$E$110)+600)</f>
        <v>-1400</v>
      </c>
      <c r="X104" s="72">
        <f t="shared" si="132"/>
        <v>0</v>
      </c>
      <c r="Y104" s="88">
        <v>33</v>
      </c>
      <c r="Z104" s="64" t="s">
        <v>230</v>
      </c>
      <c r="AA104" s="72"/>
      <c r="AB104" s="72">
        <v>3</v>
      </c>
      <c r="AC104" s="72"/>
      <c r="AD104" s="72">
        <f t="shared" si="133"/>
        <v>0</v>
      </c>
      <c r="AE104" s="72">
        <f t="shared" si="137"/>
        <v>0</v>
      </c>
      <c r="AF104" s="72">
        <f t="shared" si="138"/>
        <v>0</v>
      </c>
      <c r="AG104" s="72">
        <f t="shared" si="134"/>
        <v>0</v>
      </c>
      <c r="AH104" s="72" t="s">
        <v>333</v>
      </c>
      <c r="AI104" s="72">
        <v>1</v>
      </c>
      <c r="AJ104" s="72">
        <v>2</v>
      </c>
      <c r="AK104" s="72">
        <v>3</v>
      </c>
      <c r="AL104" s="72">
        <v>4</v>
      </c>
      <c r="AM104" s="72">
        <v>5</v>
      </c>
      <c r="AS104" s="72">
        <f t="shared" si="135"/>
        <v>0</v>
      </c>
      <c r="AT104" s="72">
        <f t="shared" si="136"/>
        <v>0</v>
      </c>
      <c r="AU104" s="72"/>
      <c r="AV104" s="72"/>
      <c r="AW104" s="72"/>
      <c r="AX104" s="72" t="s">
        <v>411</v>
      </c>
      <c r="AY104" s="72" t="s">
        <v>412</v>
      </c>
      <c r="AZ104" s="72" t="s">
        <v>413</v>
      </c>
      <c r="BA104" s="72"/>
      <c r="BB104" s="72"/>
      <c r="BC104" s="72"/>
      <c r="BD104" s="72" t="s">
        <v>411</v>
      </c>
      <c r="BE104" s="72" t="s">
        <v>412</v>
      </c>
      <c r="BF104" s="72" t="s">
        <v>413</v>
      </c>
      <c r="BG104" s="72"/>
      <c r="BH104" s="72"/>
      <c r="BI104" s="72"/>
      <c r="BJ104" s="72"/>
      <c r="BK104" s="72" t="s">
        <v>366</v>
      </c>
      <c r="BL104" s="72" t="s">
        <v>366</v>
      </c>
      <c r="BM104" s="72"/>
      <c r="BN104" s="72"/>
      <c r="BO104" s="72"/>
      <c r="BP104" s="72"/>
      <c r="BQ104" s="72"/>
      <c r="BR104" s="72"/>
      <c r="BS104" s="72">
        <v>10</v>
      </c>
      <c r="BT104" s="72">
        <v>15</v>
      </c>
      <c r="BU104" s="72">
        <v>20</v>
      </c>
      <c r="BV104" s="72"/>
      <c r="BW104" s="72"/>
      <c r="BX104" s="72"/>
      <c r="BY104" s="72"/>
      <c r="BZ104" s="72"/>
      <c r="CA104" s="72"/>
      <c r="CB104" s="72"/>
      <c r="CC104" s="72"/>
      <c r="CD104" s="72"/>
      <c r="CE104" s="72"/>
      <c r="CF104" s="72"/>
      <c r="CG104" s="72"/>
      <c r="CH104" s="72"/>
      <c r="CI104" s="72"/>
      <c r="CJ104" s="72"/>
      <c r="CK104" s="72"/>
      <c r="CL104" s="72"/>
      <c r="CM104" s="72" t="s">
        <v>239</v>
      </c>
      <c r="CN104" s="72">
        <v>0</v>
      </c>
      <c r="CO104" s="72">
        <v>0</v>
      </c>
      <c r="CP104" s="72">
        <v>0</v>
      </c>
      <c r="CQ104" s="72">
        <v>4</v>
      </c>
      <c r="CR104" s="72">
        <v>4</v>
      </c>
      <c r="CS104" s="72">
        <v>4</v>
      </c>
      <c r="CT104" s="72">
        <v>8</v>
      </c>
      <c r="CU104" s="72">
        <v>8</v>
      </c>
      <c r="CV104" s="72">
        <v>8</v>
      </c>
      <c r="CW104" s="72">
        <v>12</v>
      </c>
      <c r="CX104" s="72">
        <v>12</v>
      </c>
      <c r="CY104" s="72">
        <v>12</v>
      </c>
      <c r="CZ104" s="72">
        <v>16</v>
      </c>
      <c r="DA104" s="72">
        <v>16</v>
      </c>
      <c r="DB104" s="72">
        <v>16</v>
      </c>
      <c r="DC104" s="72">
        <v>20</v>
      </c>
      <c r="DD104" s="72">
        <v>20</v>
      </c>
      <c r="DE104" s="72">
        <v>24</v>
      </c>
      <c r="DF104" s="72">
        <v>24</v>
      </c>
      <c r="DG104" s="72">
        <v>24</v>
      </c>
      <c r="DH104" s="72">
        <v>28</v>
      </c>
      <c r="DI104" s="72"/>
      <c r="DJ104" s="72"/>
      <c r="DK104" s="72"/>
      <c r="DL104" s="72"/>
      <c r="DM104" s="72"/>
      <c r="DN104" s="72"/>
      <c r="DO104" s="72"/>
      <c r="DP104" s="72"/>
      <c r="DQ104" s="72"/>
      <c r="DR104" s="72"/>
      <c r="DS104" s="72"/>
      <c r="DT104" s="72"/>
      <c r="DU104" s="72"/>
      <c r="DV104" s="72"/>
      <c r="DW104" s="72"/>
      <c r="DX104" s="72"/>
      <c r="DY104" s="72"/>
      <c r="DZ104" s="81"/>
      <c r="EA104" s="81"/>
      <c r="EB104" s="81"/>
      <c r="EC104" s="72"/>
      <c r="ED104" s="72"/>
      <c r="EE104" s="72"/>
      <c r="EF104" s="72"/>
      <c r="EG104" s="72"/>
      <c r="EH104" s="72"/>
      <c r="EI104" s="72"/>
      <c r="EJ104" s="72"/>
      <c r="EK104" s="72"/>
      <c r="EL104" s="72"/>
      <c r="EM104" s="72"/>
      <c r="EN104" s="72"/>
      <c r="EO104" s="72"/>
      <c r="EP104" s="72"/>
      <c r="EQ104" s="72"/>
      <c r="ER104" s="72"/>
      <c r="ES104" s="72"/>
      <c r="ET104" s="72"/>
      <c r="EU104" s="72"/>
      <c r="EV104" s="72"/>
      <c r="EW104" s="72"/>
      <c r="EX104" s="72"/>
      <c r="EY104" s="72"/>
      <c r="EZ104" s="72"/>
      <c r="FA104" s="72"/>
      <c r="FB104" s="72"/>
      <c r="FC104" s="72"/>
      <c r="FD104" s="72"/>
      <c r="FE104" s="72"/>
      <c r="FF104" s="72"/>
      <c r="FG104" s="72"/>
      <c r="FH104" s="72"/>
      <c r="FI104" s="72"/>
      <c r="FJ104" s="72"/>
      <c r="FK104" s="72"/>
      <c r="FL104" s="72"/>
      <c r="FM104" s="72"/>
      <c r="FN104" s="72"/>
      <c r="FO104" s="72"/>
      <c r="FP104" s="72"/>
      <c r="FQ104" s="72"/>
      <c r="FR104" s="72"/>
      <c r="FS104" s="72"/>
      <c r="FT104" s="72"/>
      <c r="FU104" s="72"/>
      <c r="FV104" s="72"/>
      <c r="FW104" s="72"/>
      <c r="FX104" s="72"/>
      <c r="FY104" s="72"/>
      <c r="FZ104" s="72"/>
      <c r="GB104" s="64">
        <v>0</v>
      </c>
      <c r="GC104" s="64">
        <v>1</v>
      </c>
      <c r="GD104" s="64">
        <v>2</v>
      </c>
      <c r="GE104" s="64">
        <v>3</v>
      </c>
      <c r="GF104" s="64">
        <v>4</v>
      </c>
      <c r="GG104" s="64">
        <v>5</v>
      </c>
      <c r="GH104" s="64">
        <v>6</v>
      </c>
      <c r="GI104" s="64">
        <v>7</v>
      </c>
      <c r="GJ104" s="64">
        <v>8</v>
      </c>
      <c r="GK104" s="64">
        <v>9</v>
      </c>
      <c r="GL104" s="64">
        <v>10</v>
      </c>
      <c r="GM104" s="64">
        <v>11</v>
      </c>
      <c r="GN104" s="64">
        <v>12</v>
      </c>
      <c r="GO104" s="64">
        <v>13</v>
      </c>
      <c r="GP104" s="64">
        <v>14</v>
      </c>
      <c r="GQ104" s="64">
        <v>15</v>
      </c>
      <c r="GR104" s="64">
        <v>16</v>
      </c>
      <c r="GS104" s="64">
        <v>17</v>
      </c>
      <c r="GT104" s="64">
        <v>18</v>
      </c>
      <c r="GU104" s="64">
        <v>19</v>
      </c>
      <c r="GV104" s="64">
        <v>20</v>
      </c>
      <c r="GX104" s="64" t="s">
        <v>352</v>
      </c>
    </row>
    <row r="105" spans="1:274" x14ac:dyDescent="0.25">
      <c r="A105" s="8"/>
      <c r="B105" s="5" t="s">
        <v>61</v>
      </c>
      <c r="C105" s="8"/>
      <c r="D105" s="6" t="s">
        <v>475</v>
      </c>
      <c r="E105" s="8" t="s">
        <v>483</v>
      </c>
      <c r="F105" s="224" t="str">
        <f>IF(E105=$Z$2,"hodnota záťaže je určená konštruktorom","")</f>
        <v/>
      </c>
      <c r="G105" s="224"/>
      <c r="H105" s="224"/>
      <c r="I105" s="224"/>
      <c r="J105" s="5" t="s">
        <v>62</v>
      </c>
      <c r="K105" s="9"/>
      <c r="L105" s="6" t="s">
        <v>380</v>
      </c>
      <c r="M105" s="11">
        <f>INDEX(cenník!$C$2:$I$568,MATCH($L105,cenník!$B$2:$B$557,0),MATCH(M$103,cenník!$C$1:$I$1,0))</f>
        <v>895322</v>
      </c>
      <c r="N105" s="11" t="str">
        <f>INDEX(cenník!$C$2:$I$568,MATCH($L105,cenník!$B$2:$B$557,0),MATCH(N$2,cenník!$C$1:$I$1,0))</f>
        <v>ks</v>
      </c>
      <c r="O105" s="11">
        <f>SUM(AE123:AE138)</f>
        <v>0</v>
      </c>
      <c r="P105" s="36">
        <f>INDEX(cenník!$C$2:$I$568,MATCH($L105,cenník!$B$2:$B$557,0),MATCH(P$2,cenník!$C$1:$I$1,0))</f>
        <v>19.71</v>
      </c>
      <c r="Q105" s="36">
        <f t="shared" ref="Q105:Q111" si="141">O105*P105</f>
        <v>0</v>
      </c>
      <c r="R105" s="37">
        <f t="shared" si="139"/>
        <v>0</v>
      </c>
      <c r="S105" s="36">
        <f t="shared" si="140"/>
        <v>19.71</v>
      </c>
      <c r="T105" s="36">
        <f t="shared" ref="T105:T111" si="142">O105*S105</f>
        <v>0</v>
      </c>
      <c r="U105" s="36">
        <f>INDEX(cenník!$C$2:$I$568,MATCH($L105,cenník!$B$2:$B$557,0),MATCH(U$2,cenník!$C$1:$I$1,0))*O105</f>
        <v>0</v>
      </c>
      <c r="V105" s="64">
        <f>(((A103*$Z$111)+((A103-1)*20)))</f>
        <v>-20</v>
      </c>
      <c r="W105" s="72">
        <f>(((A103*$Z$111)+((A103-1)*20)))</f>
        <v>-20</v>
      </c>
      <c r="X105" s="72">
        <f t="shared" si="132"/>
        <v>0</v>
      </c>
      <c r="Y105" s="88">
        <v>34</v>
      </c>
      <c r="Z105" s="64" t="s">
        <v>230</v>
      </c>
      <c r="AA105" s="72"/>
      <c r="AB105" s="72">
        <v>4</v>
      </c>
      <c r="AC105" s="72"/>
      <c r="AD105" s="72">
        <f t="shared" si="133"/>
        <v>0</v>
      </c>
      <c r="AE105" s="72">
        <f t="shared" si="137"/>
        <v>0</v>
      </c>
      <c r="AF105" s="72">
        <f t="shared" si="138"/>
        <v>0</v>
      </c>
      <c r="AG105" s="72">
        <f t="shared" si="134"/>
        <v>0</v>
      </c>
      <c r="AH105" s="72">
        <v>1</v>
      </c>
      <c r="AI105" s="72">
        <v>1400</v>
      </c>
      <c r="AJ105" s="72">
        <v>1400</v>
      </c>
      <c r="AK105" s="72">
        <v>1400</v>
      </c>
      <c r="AL105" s="72">
        <v>1100</v>
      </c>
      <c r="AM105" s="72" t="s">
        <v>486</v>
      </c>
      <c r="AS105" s="72">
        <f t="shared" si="135"/>
        <v>0</v>
      </c>
      <c r="AT105" s="72">
        <f t="shared" si="136"/>
        <v>0</v>
      </c>
      <c r="AU105" s="72"/>
      <c r="AV105" s="72"/>
      <c r="AW105" s="72"/>
      <c r="AX10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103,$GB$80:$GV$80,0),MATCH($E$104,$X$7:$X$24,0))</f>
        <v>0</v>
      </c>
      <c r="AY10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103,$GB$80:$GV$80,0),MATCH($E$104,$X$7:$X$24,0))</f>
        <v>0</v>
      </c>
      <c r="AZ10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103,$GB$80:$GV$80,0),MATCH($E$104,$X$7:$X$24,0))</f>
        <v>0</v>
      </c>
      <c r="BA105" s="72"/>
      <c r="BB105" s="72"/>
      <c r="BC105" s="72"/>
      <c r="BD10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103,$GB$80:$GV$80,0),MATCH($E$104,$X$7:$X$24,0)))*$C103</f>
        <v>0</v>
      </c>
      <c r="BE10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103,$GB$80:$GV$80,0),MATCH($E$104,$X$7:$X$24,0)))*$C103</f>
        <v>0</v>
      </c>
      <c r="BF10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103,$GB$80:$GV$80,0),MATCH($E$104,$X$7:$X$24,0)))*$C103</f>
        <v>0</v>
      </c>
      <c r="BG105" s="72"/>
      <c r="BH105" s="72"/>
      <c r="BI105" s="72"/>
      <c r="BJ105" s="72">
        <f>SUM(AX105:AZ105)</f>
        <v>0</v>
      </c>
      <c r="BK105" s="72">
        <f>IF(BJ105&lt;=1,0,IF(BJ105&gt;1,(BJ105*4-4),0))</f>
        <v>0</v>
      </c>
      <c r="BL105" s="72">
        <f t="shared" ref="BL105:BL120" si="143">BK105*C103</f>
        <v>0</v>
      </c>
      <c r="BM105" s="72"/>
      <c r="BN105" s="72"/>
      <c r="BO105" s="72"/>
      <c r="BP105" s="72"/>
      <c r="BQ105" s="72"/>
      <c r="BR105" s="72">
        <v>1100</v>
      </c>
      <c r="BS105" s="72" t="s">
        <v>411</v>
      </c>
      <c r="BT105" s="72" t="s">
        <v>417</v>
      </c>
      <c r="BU105" s="72" t="s">
        <v>418</v>
      </c>
      <c r="BV105" s="72"/>
      <c r="BW105" s="72"/>
      <c r="BX105" s="72"/>
      <c r="BY105" s="72"/>
      <c r="BZ105" s="72"/>
      <c r="CA105" s="72"/>
      <c r="CB105" s="72"/>
      <c r="CC105" s="72"/>
      <c r="CD105" s="72"/>
      <c r="CE105" s="72"/>
      <c r="CF105" s="72"/>
      <c r="CG105" s="72"/>
      <c r="CH105" s="72"/>
      <c r="CI105" s="72"/>
      <c r="CJ105" s="72"/>
      <c r="CK105" s="72"/>
      <c r="CL105" s="72"/>
      <c r="CM105" s="72"/>
      <c r="CN105" s="72"/>
      <c r="CO105" s="72"/>
      <c r="CP105" s="72"/>
      <c r="CQ105" s="72"/>
      <c r="CR105" s="72"/>
      <c r="CS105" s="72"/>
      <c r="CT105" s="72"/>
      <c r="CU105" s="72"/>
      <c r="CV105" s="72"/>
      <c r="CW105" s="72"/>
      <c r="CX105" s="72"/>
      <c r="CY105" s="72"/>
      <c r="CZ105" s="72"/>
      <c r="DA105" s="72"/>
      <c r="DB105" s="72"/>
      <c r="DC105" s="72"/>
      <c r="DD105" s="72"/>
      <c r="DE105" s="72"/>
      <c r="DF105" s="72"/>
      <c r="DG105" s="72"/>
      <c r="DH105" s="72"/>
      <c r="DI105" s="72"/>
      <c r="DJ105" s="72"/>
      <c r="DK105" s="72"/>
      <c r="DL105" s="72"/>
      <c r="DM105" s="72"/>
      <c r="DN105" s="72"/>
      <c r="DO105" s="72"/>
      <c r="DP105" s="72"/>
      <c r="DQ105" s="72"/>
      <c r="DR105" s="72"/>
      <c r="DS105" s="72"/>
      <c r="DT105" s="72"/>
      <c r="DU105" s="72"/>
      <c r="DV105" s="72"/>
      <c r="DW105" s="72"/>
      <c r="DX105" s="72"/>
      <c r="DY105" s="72"/>
      <c r="DZ105" s="81"/>
      <c r="EA105" s="81"/>
      <c r="EB105" s="81"/>
      <c r="EC105" s="72"/>
      <c r="ED105" s="72"/>
      <c r="EE105" s="72"/>
      <c r="EF105" s="72"/>
      <c r="EG105" s="72"/>
      <c r="EH105" s="72"/>
      <c r="EI105" s="72"/>
      <c r="EJ105" s="72"/>
      <c r="EK105" s="72"/>
      <c r="EL105" s="72"/>
      <c r="EM105" s="72"/>
      <c r="EN105" s="72"/>
      <c r="EO105" s="72"/>
      <c r="EP105" s="72"/>
      <c r="EQ105" s="72"/>
      <c r="ER105" s="72"/>
      <c r="ES105" s="72"/>
      <c r="ET105" s="72"/>
      <c r="EU105" s="72"/>
      <c r="EV105" s="72"/>
      <c r="EW105" s="72"/>
      <c r="EX105" s="72"/>
      <c r="EY105" s="72"/>
      <c r="EZ105" s="72"/>
      <c r="FA105" s="72"/>
      <c r="FB105" s="72"/>
      <c r="FC105" s="72"/>
      <c r="FD105" s="72"/>
      <c r="FE105" s="72"/>
      <c r="FF105" s="72"/>
      <c r="FG105" s="72"/>
      <c r="FH105" s="72"/>
      <c r="FI105" s="72"/>
      <c r="FJ105" s="72"/>
      <c r="FK105" s="72"/>
      <c r="FL105" s="72"/>
      <c r="FM105" s="72"/>
      <c r="FN105" s="72"/>
      <c r="FO105" s="72"/>
      <c r="FP105" s="72"/>
      <c r="FQ105" s="72"/>
      <c r="FR105" s="72"/>
      <c r="FS105" s="72"/>
      <c r="FT105" s="72"/>
      <c r="FU105" s="72"/>
      <c r="FV105" s="72"/>
      <c r="FW105" s="72"/>
      <c r="FX105" s="72"/>
      <c r="FY105" s="72"/>
      <c r="FZ105" s="72"/>
      <c r="GA105" s="125" t="s">
        <v>411</v>
      </c>
      <c r="GB105" s="64">
        <v>0</v>
      </c>
      <c r="GC105" s="64">
        <v>0</v>
      </c>
      <c r="GD105" s="64">
        <v>0</v>
      </c>
      <c r="GE105" s="64">
        <v>0</v>
      </c>
      <c r="GF105" s="64">
        <v>0</v>
      </c>
      <c r="GG105" s="64">
        <v>0</v>
      </c>
      <c r="GH105" s="64">
        <v>1</v>
      </c>
      <c r="GI105" s="64">
        <v>1</v>
      </c>
      <c r="GJ105" s="64">
        <v>1</v>
      </c>
      <c r="GK105" s="64">
        <v>1</v>
      </c>
      <c r="GL105" s="64">
        <v>1</v>
      </c>
      <c r="GM105" s="64">
        <v>1</v>
      </c>
      <c r="GN105" s="64">
        <v>1</v>
      </c>
      <c r="GO105" s="64">
        <v>2</v>
      </c>
      <c r="GP105" s="64">
        <v>2</v>
      </c>
      <c r="GQ105" s="64">
        <v>2</v>
      </c>
      <c r="GR105" s="64">
        <v>2</v>
      </c>
      <c r="GS105" s="64">
        <v>2</v>
      </c>
      <c r="GT105" s="64">
        <v>2</v>
      </c>
      <c r="GU105" s="64">
        <v>2</v>
      </c>
      <c r="GV105" s="64">
        <v>2</v>
      </c>
      <c r="GY105" s="64">
        <v>0</v>
      </c>
      <c r="GZ105" s="64">
        <v>1</v>
      </c>
      <c r="HA105" s="64">
        <v>2</v>
      </c>
      <c r="HB105" s="64">
        <v>3</v>
      </c>
      <c r="HC105" s="64">
        <v>4</v>
      </c>
      <c r="HD105" s="64">
        <v>5</v>
      </c>
      <c r="HE105" s="64">
        <v>6</v>
      </c>
      <c r="HF105" s="64">
        <v>7</v>
      </c>
      <c r="HG105" s="64">
        <v>8</v>
      </c>
      <c r="HH105" s="64">
        <v>9</v>
      </c>
      <c r="HI105" s="64">
        <v>10</v>
      </c>
      <c r="HJ105" s="64">
        <v>11</v>
      </c>
      <c r="HK105" s="64">
        <v>12</v>
      </c>
      <c r="HL105" s="64">
        <v>13</v>
      </c>
      <c r="HM105" s="64">
        <v>14</v>
      </c>
      <c r="HN105" s="64">
        <v>15</v>
      </c>
      <c r="HO105" s="64">
        <v>16</v>
      </c>
      <c r="HP105" s="64">
        <v>17</v>
      </c>
      <c r="HQ105" s="64">
        <v>18</v>
      </c>
      <c r="HR105" s="64">
        <v>19</v>
      </c>
      <c r="HS105" s="64">
        <v>20</v>
      </c>
      <c r="HU105" s="124"/>
      <c r="HV105" s="83" t="s">
        <v>387</v>
      </c>
      <c r="IS105" s="64" t="s">
        <v>387</v>
      </c>
    </row>
    <row r="106" spans="1:274" x14ac:dyDescent="0.25">
      <c r="A106" s="8"/>
      <c r="B106" s="5" t="s">
        <v>61</v>
      </c>
      <c r="C106" s="8"/>
      <c r="D106" s="6" t="s">
        <v>476</v>
      </c>
      <c r="E106" s="8">
        <v>20</v>
      </c>
      <c r="F106" s="224"/>
      <c r="G106" s="224"/>
      <c r="H106" s="224"/>
      <c r="I106" s="224"/>
      <c r="J106" s="5" t="s">
        <v>180</v>
      </c>
      <c r="K106" s="9"/>
      <c r="L106" s="6" t="s">
        <v>406</v>
      </c>
      <c r="M106" s="11">
        <f>INDEX(cenník!$C$2:$I$568,MATCH($L106,cenník!$B$2:$B$557,0),MATCH(M$103,cenník!$C$1:$I$1,0))</f>
        <v>620415</v>
      </c>
      <c r="N106" s="11" t="str">
        <f>INDEX(cenník!$C$2:$I$568,MATCH($L106,cenník!$B$2:$B$557,0),MATCH(N$2,cenník!$C$1:$I$1,0))</f>
        <v>ks</v>
      </c>
      <c r="O106" s="11">
        <f>SUM(AD123:AD138)</f>
        <v>0</v>
      </c>
      <c r="P106" s="36">
        <f>INDEX(cenník!$C$2:$I$568,MATCH($L106,cenník!$B$2:$B$557,0),MATCH(P$2,cenník!$C$1:$I$1,0))</f>
        <v>2.89</v>
      </c>
      <c r="Q106" s="36">
        <f t="shared" si="141"/>
        <v>0</v>
      </c>
      <c r="R106" s="37">
        <f t="shared" si="139"/>
        <v>0</v>
      </c>
      <c r="S106" s="36">
        <f t="shared" si="140"/>
        <v>2.89</v>
      </c>
      <c r="T106" s="36">
        <f t="shared" si="142"/>
        <v>0</v>
      </c>
      <c r="U106" s="36">
        <f>INDEX(cenník!$C$2:$I$568,MATCH($L106,cenník!$B$2:$B$557,0),MATCH(U$2,cenník!$C$1:$I$1,0))*O106</f>
        <v>0</v>
      </c>
      <c r="V106" s="64">
        <f>(INT((((A103*$Z$111)+((A103-1)*20))/900)))</f>
        <v>-1</v>
      </c>
      <c r="W106" s="72">
        <f>(INT((((A103*$Z$111)+((A103-1)*20))/$E$110))+1)</f>
        <v>0</v>
      </c>
      <c r="X106" s="72">
        <f t="shared" si="132"/>
        <v>0</v>
      </c>
      <c r="Y106" s="88">
        <v>35</v>
      </c>
      <c r="Z106" s="72" t="s">
        <v>384</v>
      </c>
      <c r="AA106" s="72"/>
      <c r="AB106" s="72">
        <v>5</v>
      </c>
      <c r="AC106" s="72"/>
      <c r="AD106" s="72">
        <f t="shared" si="133"/>
        <v>0</v>
      </c>
      <c r="AE106" s="72">
        <f t="shared" si="137"/>
        <v>0</v>
      </c>
      <c r="AF106" s="72">
        <f t="shared" si="138"/>
        <v>0</v>
      </c>
      <c r="AG106" s="72">
        <f t="shared" si="134"/>
        <v>0</v>
      </c>
      <c r="AH106" s="72">
        <v>2</v>
      </c>
      <c r="AI106" s="72" t="s">
        <v>486</v>
      </c>
      <c r="AJ106" s="72">
        <v>700</v>
      </c>
      <c r="AK106" s="72">
        <v>700</v>
      </c>
      <c r="AL106" s="72" t="s">
        <v>486</v>
      </c>
      <c r="AM106" s="72" t="s">
        <v>486</v>
      </c>
      <c r="AS106" s="72">
        <f t="shared" si="135"/>
        <v>0</v>
      </c>
      <c r="AT106" s="72">
        <f t="shared" si="136"/>
        <v>0</v>
      </c>
      <c r="AU106" s="72"/>
      <c r="AV106" s="72"/>
      <c r="AW106" s="72"/>
      <c r="AX10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104,$GB$80:$GV$80,0),MATCH($E$104,$X$7:$X$24,0))</f>
        <v>0</v>
      </c>
      <c r="AY10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104,$GB$80:$GV$80,0),MATCH($E$104,$X$7:$X$24,0))</f>
        <v>0</v>
      </c>
      <c r="AZ10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104,$GB$80:$GV$80,0),MATCH($E$104,$X$7:$X$24,0))</f>
        <v>0</v>
      </c>
      <c r="BA106" s="72"/>
      <c r="BB106" s="72"/>
      <c r="BC106" s="72"/>
      <c r="BD10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104,$GB$80:$GV$80,0),MATCH($E$104,$X$7:$X$24,0)))*$C104</f>
        <v>0</v>
      </c>
      <c r="BE10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104,$GB$80:$GV$80,0),MATCH($E$104,$X$7:$X$24,0)))*$C104</f>
        <v>0</v>
      </c>
      <c r="BF10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104,$GB$80:$GV$80,0),MATCH($E$104,$X$7:$X$24,0)))*$C104</f>
        <v>0</v>
      </c>
      <c r="BG106" s="72"/>
      <c r="BH106" s="72"/>
      <c r="BI106" s="72"/>
      <c r="BJ106" s="72">
        <f>SUM(AX106:AZ106)</f>
        <v>0</v>
      </c>
      <c r="BK106" s="72">
        <f t="shared" ref="BK106:BK120" si="144">IF(BJ106&lt;=1,0,IF(BJ106&gt;1,(BJ106*4-4),0))</f>
        <v>0</v>
      </c>
      <c r="BL106" s="72">
        <f t="shared" si="143"/>
        <v>0</v>
      </c>
      <c r="BM106" s="72"/>
      <c r="BN106" s="72"/>
      <c r="BO106" s="72"/>
      <c r="BP106" s="72"/>
      <c r="BQ106" s="72"/>
      <c r="BR106" s="72">
        <v>1300</v>
      </c>
      <c r="BS106" s="72" t="s">
        <v>411</v>
      </c>
      <c r="BT106" s="72" t="s">
        <v>417</v>
      </c>
      <c r="BU106" s="72" t="s">
        <v>418</v>
      </c>
      <c r="BV106" s="72"/>
      <c r="BW106" s="72"/>
      <c r="BX106" s="72"/>
      <c r="BY106" s="72"/>
      <c r="BZ106" s="72"/>
      <c r="CA106" s="72"/>
      <c r="CB106" s="72"/>
      <c r="CC106" s="72"/>
      <c r="CD106" s="72"/>
      <c r="CE106" s="72"/>
      <c r="CF106" s="72"/>
      <c r="CG106" s="72"/>
      <c r="CH106" s="72"/>
      <c r="CI106" s="72"/>
      <c r="CJ106" s="72"/>
      <c r="CK106" s="72"/>
      <c r="CL106" s="72"/>
      <c r="CM106" s="72"/>
      <c r="CN106" s="72"/>
      <c r="CO106" s="72"/>
      <c r="CP106" s="72"/>
      <c r="CQ106" s="72"/>
      <c r="CR106" s="72"/>
      <c r="CS106" s="72"/>
      <c r="CT106" s="72"/>
      <c r="CU106" s="72"/>
      <c r="CV106" s="72"/>
      <c r="CW106" s="72"/>
      <c r="CX106" s="72"/>
      <c r="CY106" s="72"/>
      <c r="CZ106" s="72"/>
      <c r="DA106" s="72"/>
      <c r="DB106" s="72"/>
      <c r="DC106" s="72"/>
      <c r="DD106" s="72"/>
      <c r="DE106" s="72"/>
      <c r="DF106" s="72"/>
      <c r="DG106" s="72"/>
      <c r="DH106" s="72"/>
      <c r="DI106" s="72"/>
      <c r="DJ106" s="72"/>
      <c r="DK106" s="72"/>
      <c r="DL106" s="72"/>
      <c r="DM106" s="72"/>
      <c r="DN106" s="72"/>
      <c r="DO106" s="72"/>
      <c r="DP106" s="72"/>
      <c r="DQ106" s="72"/>
      <c r="DR106" s="72"/>
      <c r="DS106" s="72"/>
      <c r="DT106" s="72"/>
      <c r="DU106" s="72"/>
      <c r="DV106" s="72"/>
      <c r="DW106" s="72"/>
      <c r="DX106" s="72"/>
      <c r="DY106" s="72"/>
      <c r="DZ106" s="81"/>
      <c r="EA106" s="81"/>
      <c r="EB106" s="81"/>
      <c r="EC106" s="72"/>
      <c r="ED106" s="72"/>
      <c r="EE106" s="72"/>
      <c r="EF106" s="72"/>
      <c r="EG106" s="72"/>
      <c r="EH106" s="72"/>
      <c r="EI106" s="72"/>
      <c r="EJ106" s="72"/>
      <c r="EK106" s="72"/>
      <c r="EL106" s="72"/>
      <c r="EM106" s="72"/>
      <c r="EN106" s="72"/>
      <c r="EO106" s="72"/>
      <c r="EP106" s="72"/>
      <c r="EQ106" s="72"/>
      <c r="ER106" s="72"/>
      <c r="ES106" s="72"/>
      <c r="ET106" s="72"/>
      <c r="EU106" s="72"/>
      <c r="EV106" s="72"/>
      <c r="EW106" s="72"/>
      <c r="EX106" s="72"/>
      <c r="EY106" s="72"/>
      <c r="EZ106" s="72"/>
      <c r="FA106" s="72"/>
      <c r="FB106" s="72"/>
      <c r="FC106" s="72"/>
      <c r="FD106" s="72"/>
      <c r="FE106" s="72"/>
      <c r="FF106" s="72"/>
      <c r="FG106" s="72"/>
      <c r="FH106" s="72"/>
      <c r="FI106" s="72"/>
      <c r="FJ106" s="72"/>
      <c r="FK106" s="72"/>
      <c r="FL106" s="72"/>
      <c r="FM106" s="72"/>
      <c r="FN106" s="72"/>
      <c r="FO106" s="72"/>
      <c r="FP106" s="72"/>
      <c r="FQ106" s="72"/>
      <c r="FR106" s="72"/>
      <c r="FS106" s="72"/>
      <c r="FT106" s="72"/>
      <c r="FU106" s="72"/>
      <c r="FV106" s="72"/>
      <c r="FW106" s="72"/>
      <c r="FX106" s="72"/>
      <c r="FY106" s="72"/>
      <c r="FZ106" s="72"/>
      <c r="GA106" s="125" t="s">
        <v>412</v>
      </c>
      <c r="GB106" s="64">
        <v>0</v>
      </c>
      <c r="GC106" s="64">
        <v>1</v>
      </c>
      <c r="GD106" s="64">
        <v>2</v>
      </c>
      <c r="GE106" s="64">
        <v>3</v>
      </c>
      <c r="GF106" s="64">
        <v>4</v>
      </c>
      <c r="GG106" s="64">
        <v>5</v>
      </c>
      <c r="GH106" s="64">
        <v>5</v>
      </c>
      <c r="GI106" s="64">
        <v>6</v>
      </c>
      <c r="GJ106" s="64">
        <v>7</v>
      </c>
      <c r="GK106" s="64">
        <v>8</v>
      </c>
      <c r="GL106" s="64">
        <v>9</v>
      </c>
      <c r="GM106" s="64">
        <v>10</v>
      </c>
      <c r="GN106" s="64">
        <v>11</v>
      </c>
      <c r="GO106" s="64">
        <v>11</v>
      </c>
      <c r="GP106" s="64">
        <v>12</v>
      </c>
      <c r="GQ106" s="64">
        <v>13</v>
      </c>
      <c r="GR106" s="64">
        <v>14</v>
      </c>
      <c r="GS106" s="64">
        <v>15</v>
      </c>
      <c r="GT106" s="64">
        <v>16</v>
      </c>
      <c r="GU106" s="64">
        <v>17</v>
      </c>
      <c r="GV106" s="64">
        <v>18</v>
      </c>
      <c r="GX106" s="125" t="s">
        <v>411</v>
      </c>
      <c r="GY106" s="64">
        <v>0</v>
      </c>
      <c r="GZ106" s="72">
        <f>FY171</f>
        <v>0</v>
      </c>
      <c r="HA106" s="64">
        <v>2</v>
      </c>
      <c r="HB106" s="64">
        <v>1</v>
      </c>
      <c r="HC106" s="64">
        <v>5</v>
      </c>
      <c r="HD106" s="64">
        <v>4</v>
      </c>
      <c r="HE106" s="64">
        <v>2</v>
      </c>
      <c r="HF106" s="64">
        <v>1</v>
      </c>
      <c r="HG106" s="64">
        <v>5</v>
      </c>
      <c r="HH106" s="64">
        <v>4</v>
      </c>
      <c r="HI106" s="64">
        <v>2</v>
      </c>
      <c r="HJ106" s="64">
        <v>0</v>
      </c>
      <c r="HK106" s="64">
        <v>5</v>
      </c>
      <c r="HL106" s="64">
        <v>3</v>
      </c>
      <c r="HM106" s="64">
        <v>2</v>
      </c>
      <c r="HN106" s="64">
        <v>0</v>
      </c>
      <c r="HO106" s="64">
        <v>4</v>
      </c>
      <c r="HP106" s="64">
        <v>3</v>
      </c>
      <c r="HQ106" s="64">
        <v>1</v>
      </c>
      <c r="HR106" s="64">
        <v>0</v>
      </c>
      <c r="HS106" s="64">
        <v>4</v>
      </c>
      <c r="HW106" s="64">
        <v>0</v>
      </c>
      <c r="HX106" s="64">
        <v>1</v>
      </c>
      <c r="HY106" s="64">
        <v>2</v>
      </c>
      <c r="HZ106" s="64">
        <v>3</v>
      </c>
      <c r="IA106" s="64">
        <v>4</v>
      </c>
      <c r="IB106" s="64">
        <v>5</v>
      </c>
      <c r="IC106" s="64">
        <v>6</v>
      </c>
      <c r="ID106" s="64">
        <v>7</v>
      </c>
      <c r="IE106" s="64">
        <v>8</v>
      </c>
      <c r="IF106" s="64">
        <v>9</v>
      </c>
      <c r="IG106" s="64">
        <v>10</v>
      </c>
      <c r="IH106" s="64">
        <v>11</v>
      </c>
      <c r="II106" s="64">
        <v>12</v>
      </c>
      <c r="IJ106" s="64">
        <v>13</v>
      </c>
      <c r="IK106" s="64">
        <v>14</v>
      </c>
      <c r="IL106" s="64">
        <v>15</v>
      </c>
      <c r="IM106" s="64">
        <v>16</v>
      </c>
      <c r="IN106" s="64">
        <v>17</v>
      </c>
      <c r="IO106" s="64">
        <v>18</v>
      </c>
      <c r="IP106" s="64">
        <v>19</v>
      </c>
      <c r="IQ106" s="64">
        <v>20</v>
      </c>
      <c r="IT106" s="64">
        <f t="shared" si="101"/>
        <v>0</v>
      </c>
      <c r="IU106" s="64">
        <f t="shared" si="102"/>
        <v>2</v>
      </c>
      <c r="IV106" s="64">
        <f t="shared" si="103"/>
        <v>4</v>
      </c>
      <c r="IW106" s="64">
        <f t="shared" si="104"/>
        <v>6</v>
      </c>
      <c r="IX106" s="64">
        <f t="shared" si="105"/>
        <v>8</v>
      </c>
      <c r="IY106" s="64">
        <f t="shared" si="106"/>
        <v>10</v>
      </c>
      <c r="IZ106" s="64">
        <f t="shared" si="107"/>
        <v>12</v>
      </c>
      <c r="JA106" s="64">
        <f t="shared" si="108"/>
        <v>14</v>
      </c>
      <c r="JB106" s="64">
        <f t="shared" si="98"/>
        <v>16</v>
      </c>
      <c r="JC106" s="64">
        <f t="shared" si="109"/>
        <v>18</v>
      </c>
      <c r="JD106" s="64">
        <f t="shared" si="110"/>
        <v>20</v>
      </c>
      <c r="JE106" s="64">
        <f t="shared" si="111"/>
        <v>22</v>
      </c>
      <c r="JF106" s="64">
        <f t="shared" si="112"/>
        <v>24</v>
      </c>
      <c r="JG106" s="64">
        <f t="shared" si="113"/>
        <v>26</v>
      </c>
      <c r="JH106" s="64">
        <f t="shared" si="114"/>
        <v>28</v>
      </c>
      <c r="JI106" s="64">
        <f t="shared" si="115"/>
        <v>30</v>
      </c>
      <c r="JJ106" s="64">
        <f t="shared" si="116"/>
        <v>32</v>
      </c>
      <c r="JK106" s="64">
        <f t="shared" si="117"/>
        <v>34</v>
      </c>
      <c r="JL106" s="64">
        <f t="shared" si="118"/>
        <v>36</v>
      </c>
      <c r="JM106" s="64">
        <f t="shared" si="119"/>
        <v>38</v>
      </c>
      <c r="JN106" s="64">
        <f t="shared" si="120"/>
        <v>40</v>
      </c>
    </row>
    <row r="107" spans="1:274" x14ac:dyDescent="0.25">
      <c r="A107" s="8"/>
      <c r="B107" s="5" t="s">
        <v>61</v>
      </c>
      <c r="C107" s="8"/>
      <c r="D107" s="6" t="s">
        <v>458</v>
      </c>
      <c r="E107" s="8">
        <v>0</v>
      </c>
      <c r="F107" s="5"/>
      <c r="G107" s="5"/>
      <c r="H107" s="5"/>
      <c r="I107" s="5"/>
      <c r="J107" s="5" t="s">
        <v>95</v>
      </c>
      <c r="K107" s="9"/>
      <c r="L107" s="6" t="str">
        <f>IF($G$104=$X$26,"CC55H50/1,35MC",IF($G$104=$X$27,"CC55H50/1,35MC",IF($G$104=$X$28,"CC55H50/1,35MC",IF($G$104=$X$29,"CC55H50/1,35MC",IF($G$104=$X$30,"CC55H50/1,55MC",IF($G$104=$X$31,"CC55H50/1,55MC",IF($G$104=$X$32,"CC55H50/1,55MC",IF($G$104=$X$33,"CC55H50/1,55MC",0))))))))</f>
        <v>CC55H50/1,35MC</v>
      </c>
      <c r="M107" s="11">
        <f>INDEX(cenník!$C$2:$I$568,MATCH($L107,cenník!$B$2:$B$557,0),MATCH(M$103,cenník!$C$1:$I$1,0))</f>
        <v>895535</v>
      </c>
      <c r="N107" s="11" t="str">
        <f>INDEX(cenník!$C$2:$I$568,MATCH($L107,cenník!$B$2:$B$557,0),MATCH(N$2,cenník!$C$1:$I$1,0))</f>
        <v>ks</v>
      </c>
      <c r="O107" s="11">
        <f>SUM(AF101:AF116)</f>
        <v>0</v>
      </c>
      <c r="P107" s="36">
        <f>INDEX(cenník!$C$2:$I$568,MATCH($L107,cenník!$B$2:$B$557,0),MATCH(P$2,cenník!$C$1:$I$1,0))</f>
        <v>14.51</v>
      </c>
      <c r="Q107" s="36">
        <f t="shared" si="141"/>
        <v>0</v>
      </c>
      <c r="R107" s="37">
        <f t="shared" si="139"/>
        <v>0</v>
      </c>
      <c r="S107" s="36">
        <f t="shared" si="140"/>
        <v>14.51</v>
      </c>
      <c r="T107" s="36">
        <f t="shared" si="142"/>
        <v>0</v>
      </c>
      <c r="U107" s="36">
        <f>INDEX(cenník!$C$2:$I$568,MATCH($L107,cenník!$B$2:$B$557,0),MATCH(U$2,cenník!$C$1:$I$1,0))*O107</f>
        <v>0</v>
      </c>
      <c r="V107" s="64">
        <f>(INT((((A103*$Z$111)+((A103-1)*20))/900))+1)</f>
        <v>0</v>
      </c>
      <c r="W107" s="72">
        <f>(INT((((A103*$Z$111)+((A103-1)*20))/$E$110))+2)</f>
        <v>1</v>
      </c>
      <c r="X107" s="72">
        <f t="shared" si="132"/>
        <v>0</v>
      </c>
      <c r="Y107" s="88">
        <v>38</v>
      </c>
      <c r="Z107" s="64" t="s">
        <v>230</v>
      </c>
      <c r="AA107" s="72"/>
      <c r="AB107" s="72"/>
      <c r="AC107" s="72"/>
      <c r="AD107" s="72">
        <f t="shared" si="133"/>
        <v>0</v>
      </c>
      <c r="AE107" s="72">
        <f t="shared" si="137"/>
        <v>0</v>
      </c>
      <c r="AF107" s="72">
        <f t="shared" si="138"/>
        <v>0</v>
      </c>
      <c r="AG107" s="72">
        <f t="shared" si="134"/>
        <v>0</v>
      </c>
      <c r="AH107" s="72" t="s">
        <v>339</v>
      </c>
      <c r="AI107" s="72">
        <v>1000</v>
      </c>
      <c r="AJ107" s="72" t="s">
        <v>486</v>
      </c>
      <c r="AK107" s="72">
        <v>700</v>
      </c>
      <c r="AL107" s="72" t="s">
        <v>486</v>
      </c>
      <c r="AM107" s="72">
        <v>600</v>
      </c>
      <c r="AS107" s="72">
        <f t="shared" si="135"/>
        <v>0</v>
      </c>
      <c r="AT107" s="72">
        <f t="shared" si="136"/>
        <v>0</v>
      </c>
      <c r="AU107" s="72"/>
      <c r="AV107" s="72"/>
      <c r="AW107" s="72"/>
      <c r="AX10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105,$GB$80:$GV$80,0),MATCH($E$104,$X$7:$X$24,0))</f>
        <v>0</v>
      </c>
      <c r="AY10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105,$GB$80:$GV$80,0),MATCH($E$104,$X$7:$X$24,0))</f>
        <v>0</v>
      </c>
      <c r="AZ10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105,$GB$80:$GV$80,0),MATCH($E$104,$X$7:$X$24,0))</f>
        <v>0</v>
      </c>
      <c r="BA107" s="72"/>
      <c r="BB107" s="72"/>
      <c r="BC107" s="72"/>
      <c r="BD10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105,$GB$80:$GV$80,0),MATCH($E$104,$X$7:$X$24,0)))*$C105</f>
        <v>0</v>
      </c>
      <c r="BE10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105,$GB$80:$GV$80,0),MATCH($E$104,$X$7:$X$24,0)))*$C105</f>
        <v>0</v>
      </c>
      <c r="BF10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105,$GB$80:$GV$80,0),MATCH($E$104,$X$7:$X$24,0)))*$C105</f>
        <v>0</v>
      </c>
      <c r="BG107" s="72"/>
      <c r="BH107" s="72"/>
      <c r="BI107" s="72"/>
      <c r="BJ107" s="72">
        <f t="shared" ref="BJ107:BJ120" si="145">SUM(AX107:AZ107)</f>
        <v>0</v>
      </c>
      <c r="BK107" s="72">
        <f t="shared" si="144"/>
        <v>0</v>
      </c>
      <c r="BL107" s="72">
        <f t="shared" si="143"/>
        <v>0</v>
      </c>
      <c r="BM107" s="72"/>
      <c r="BN107" s="72"/>
      <c r="BO107" s="72"/>
      <c r="BP107" s="72"/>
      <c r="BQ107" s="72"/>
      <c r="BR107" s="72">
        <v>1400</v>
      </c>
      <c r="BS107" s="72" t="s">
        <v>411</v>
      </c>
      <c r="BT107" s="72" t="s">
        <v>417</v>
      </c>
      <c r="BU107" s="72" t="s">
        <v>418</v>
      </c>
      <c r="BV107" s="72"/>
      <c r="BW107" s="72"/>
      <c r="BX107" s="72"/>
      <c r="BY107" s="72"/>
      <c r="BZ107" s="72"/>
      <c r="CA107" s="72"/>
      <c r="CB107" s="72"/>
      <c r="CC107" s="72"/>
      <c r="CD107" s="72"/>
      <c r="CE107" s="72"/>
      <c r="CF107" s="72"/>
      <c r="CG107" s="72"/>
      <c r="CH107" s="72"/>
      <c r="CI107" s="72"/>
      <c r="CJ107" s="72"/>
      <c r="CK107" s="72"/>
      <c r="CL107" s="72"/>
      <c r="CM107" s="72"/>
      <c r="CN107" s="72"/>
      <c r="CO107" s="72"/>
      <c r="CP107" s="72"/>
      <c r="CQ107" s="72"/>
      <c r="CR107" s="72"/>
      <c r="CS107" s="72"/>
      <c r="CT107" s="72"/>
      <c r="CU107" s="72"/>
      <c r="CV107" s="72"/>
      <c r="CW107" s="72"/>
      <c r="CX107" s="72"/>
      <c r="CY107" s="72"/>
      <c r="CZ107" s="72"/>
      <c r="DA107" s="72"/>
      <c r="DB107" s="72"/>
      <c r="DC107" s="72"/>
      <c r="DD107" s="72"/>
      <c r="DE107" s="72"/>
      <c r="DF107" s="72"/>
      <c r="DG107" s="72"/>
      <c r="DH107" s="72"/>
      <c r="DI107" s="72"/>
      <c r="DJ107" s="72"/>
      <c r="DK107" s="72"/>
      <c r="DL107" s="72"/>
      <c r="DM107" s="72"/>
      <c r="DN107" s="72"/>
      <c r="DO107" s="72"/>
      <c r="DP107" s="72"/>
      <c r="DQ107" s="72"/>
      <c r="DR107" s="72"/>
      <c r="DS107" s="72"/>
      <c r="DT107" s="72"/>
      <c r="DU107" s="72"/>
      <c r="DV107" s="72"/>
      <c r="DW107" s="72"/>
      <c r="DX107" s="72"/>
      <c r="DY107" s="72"/>
      <c r="DZ107" s="81"/>
      <c r="EA107" s="81"/>
      <c r="EB107" s="81"/>
      <c r="EC107" s="72"/>
      <c r="ED107" s="72"/>
      <c r="EE107" s="72"/>
      <c r="EF107" s="72"/>
      <c r="EG107" s="72"/>
      <c r="EH107" s="72"/>
      <c r="EI107" s="72"/>
      <c r="EJ107" s="72"/>
      <c r="EK107" s="72"/>
      <c r="EL107" s="72"/>
      <c r="EM107" s="72"/>
      <c r="EN107" s="72"/>
      <c r="EO107" s="72"/>
      <c r="EP107" s="72"/>
      <c r="EQ107" s="72"/>
      <c r="ER107" s="72"/>
      <c r="ES107" s="72"/>
      <c r="ET107" s="72"/>
      <c r="EU107" s="72"/>
      <c r="EV107" s="72"/>
      <c r="EW107" s="72"/>
      <c r="EX107" s="72"/>
      <c r="EY107" s="72"/>
      <c r="EZ107" s="72"/>
      <c r="FA107" s="72"/>
      <c r="FB107" s="72"/>
      <c r="FC107" s="72"/>
      <c r="FD107" s="72"/>
      <c r="FE107" s="72"/>
      <c r="FF107" s="72"/>
      <c r="FG107" s="72"/>
      <c r="FH107" s="72"/>
      <c r="FI107" s="72"/>
      <c r="FJ107" s="72"/>
      <c r="FK107" s="72"/>
      <c r="FL107" s="72"/>
      <c r="FM107" s="72"/>
      <c r="FN107" s="72"/>
      <c r="FO107" s="72"/>
      <c r="FP107" s="72"/>
      <c r="FQ107" s="72"/>
      <c r="FR107" s="72"/>
      <c r="FS107" s="72"/>
      <c r="FT107" s="72"/>
      <c r="FU107" s="72"/>
      <c r="FV107" s="72"/>
      <c r="FW107" s="72"/>
      <c r="FX107" s="72"/>
      <c r="FY107" s="72"/>
      <c r="FZ107" s="72"/>
      <c r="GA107" s="125" t="s">
        <v>413</v>
      </c>
      <c r="GB107" s="64">
        <v>0</v>
      </c>
      <c r="GC107" s="64">
        <v>0</v>
      </c>
      <c r="GD107" s="64">
        <v>0</v>
      </c>
      <c r="GE107" s="64">
        <v>0</v>
      </c>
      <c r="GF107" s="64">
        <v>0</v>
      </c>
      <c r="GG107" s="64">
        <v>0</v>
      </c>
      <c r="GH107" s="64">
        <v>0</v>
      </c>
      <c r="GI107" s="64">
        <v>0</v>
      </c>
      <c r="GJ107" s="64">
        <v>0</v>
      </c>
      <c r="GK107" s="64">
        <v>0</v>
      </c>
      <c r="GL107" s="64">
        <v>0</v>
      </c>
      <c r="GM107" s="64">
        <v>0</v>
      </c>
      <c r="GN107" s="64">
        <v>0</v>
      </c>
      <c r="GO107" s="64">
        <v>0</v>
      </c>
      <c r="GP107" s="64">
        <v>0</v>
      </c>
      <c r="GQ107" s="64">
        <v>0</v>
      </c>
      <c r="GR107" s="64">
        <v>0</v>
      </c>
      <c r="GS107" s="64">
        <v>0</v>
      </c>
      <c r="GT107" s="64">
        <v>0</v>
      </c>
      <c r="GU107" s="64">
        <v>0</v>
      </c>
      <c r="GV107" s="64">
        <v>0</v>
      </c>
      <c r="GX107" s="125" t="s">
        <v>412</v>
      </c>
      <c r="GY107" s="64">
        <v>0</v>
      </c>
      <c r="GZ107" s="72">
        <f>FY172</f>
        <v>0</v>
      </c>
      <c r="HA107" s="64">
        <v>1</v>
      </c>
      <c r="HB107" s="64">
        <v>3</v>
      </c>
      <c r="HC107" s="64">
        <v>1</v>
      </c>
      <c r="HD107" s="64">
        <v>3</v>
      </c>
      <c r="HE107" s="64">
        <v>6</v>
      </c>
      <c r="HF107" s="64">
        <v>8</v>
      </c>
      <c r="HG107" s="64">
        <v>6</v>
      </c>
      <c r="HH107" s="64">
        <v>8</v>
      </c>
      <c r="HI107" s="64">
        <v>11</v>
      </c>
      <c r="HJ107" s="64">
        <v>14</v>
      </c>
      <c r="HK107" s="64">
        <v>11</v>
      </c>
      <c r="HL107" s="64">
        <v>14</v>
      </c>
      <c r="HM107" s="64">
        <v>16</v>
      </c>
      <c r="HN107" s="64">
        <v>19</v>
      </c>
      <c r="HO107" s="64">
        <v>17</v>
      </c>
      <c r="HP107" s="64">
        <v>19</v>
      </c>
      <c r="HQ107" s="64">
        <v>22</v>
      </c>
      <c r="HR107" s="64">
        <v>24</v>
      </c>
      <c r="HS107" s="64">
        <v>22</v>
      </c>
      <c r="HV107" s="64" t="s">
        <v>380</v>
      </c>
      <c r="HW107" s="64">
        <v>0</v>
      </c>
      <c r="HX107" s="64">
        <v>2</v>
      </c>
      <c r="HY107" s="64">
        <v>2</v>
      </c>
      <c r="HZ107" s="64">
        <v>4</v>
      </c>
      <c r="IA107" s="64">
        <v>0</v>
      </c>
      <c r="IB107" s="64">
        <v>2</v>
      </c>
      <c r="IC107" s="64">
        <v>2</v>
      </c>
      <c r="ID107" s="64">
        <v>4</v>
      </c>
      <c r="IE107" s="64">
        <v>0</v>
      </c>
      <c r="IF107" s="64">
        <v>0</v>
      </c>
      <c r="IG107" s="64">
        <v>2</v>
      </c>
      <c r="IH107" s="64">
        <v>4</v>
      </c>
      <c r="II107" s="64">
        <v>4</v>
      </c>
      <c r="IJ107" s="64">
        <v>0</v>
      </c>
      <c r="IK107" s="64">
        <v>2</v>
      </c>
      <c r="IL107" s="64">
        <v>4</v>
      </c>
      <c r="IM107" s="64">
        <v>4</v>
      </c>
      <c r="IN107" s="64">
        <v>0</v>
      </c>
      <c r="IO107" s="64">
        <v>2</v>
      </c>
      <c r="IP107" s="64">
        <v>2</v>
      </c>
      <c r="IQ107" s="64">
        <v>4</v>
      </c>
      <c r="IS107" s="64" t="s">
        <v>380</v>
      </c>
      <c r="IT107" s="64">
        <f t="shared" si="101"/>
        <v>0</v>
      </c>
      <c r="IU107" s="64">
        <f t="shared" si="102"/>
        <v>4</v>
      </c>
      <c r="IV107" s="64">
        <f t="shared" si="103"/>
        <v>4</v>
      </c>
      <c r="IW107" s="64">
        <f t="shared" si="104"/>
        <v>8</v>
      </c>
      <c r="IX107" s="64">
        <f t="shared" si="105"/>
        <v>0</v>
      </c>
      <c r="IY107" s="64">
        <f t="shared" si="106"/>
        <v>4</v>
      </c>
      <c r="IZ107" s="64">
        <f t="shared" si="107"/>
        <v>4</v>
      </c>
      <c r="JA107" s="64">
        <f t="shared" si="108"/>
        <v>8</v>
      </c>
      <c r="JB107" s="64">
        <f t="shared" si="98"/>
        <v>0</v>
      </c>
      <c r="JC107" s="64">
        <f t="shared" si="109"/>
        <v>0</v>
      </c>
      <c r="JD107" s="64">
        <f t="shared" si="110"/>
        <v>4</v>
      </c>
      <c r="JE107" s="64">
        <f t="shared" si="111"/>
        <v>8</v>
      </c>
      <c r="JF107" s="64">
        <f t="shared" si="112"/>
        <v>8</v>
      </c>
      <c r="JG107" s="64">
        <f t="shared" si="113"/>
        <v>0</v>
      </c>
      <c r="JH107" s="64">
        <f t="shared" si="114"/>
        <v>4</v>
      </c>
      <c r="JI107" s="64">
        <f t="shared" si="115"/>
        <v>8</v>
      </c>
      <c r="JJ107" s="64">
        <f t="shared" si="116"/>
        <v>8</v>
      </c>
      <c r="JK107" s="64">
        <f t="shared" si="117"/>
        <v>0</v>
      </c>
      <c r="JL107" s="64">
        <f t="shared" si="118"/>
        <v>4</v>
      </c>
      <c r="JM107" s="64">
        <f t="shared" si="119"/>
        <v>4</v>
      </c>
      <c r="JN107" s="64">
        <f t="shared" si="120"/>
        <v>8</v>
      </c>
    </row>
    <row r="108" spans="1:274" x14ac:dyDescent="0.25">
      <c r="A108" s="8"/>
      <c r="B108" s="5" t="s">
        <v>61</v>
      </c>
      <c r="C108" s="8"/>
      <c r="D108" s="6" t="s">
        <v>460</v>
      </c>
      <c r="E108" s="8">
        <v>0</v>
      </c>
      <c r="F108" s="5"/>
      <c r="G108" s="5"/>
      <c r="H108" s="5"/>
      <c r="I108" s="5"/>
      <c r="J108" s="5" t="s">
        <v>461</v>
      </c>
      <c r="K108" s="9"/>
      <c r="L108" s="6" t="str">
        <f>IF($G$104=$X$26,"CP50H35/1,3MC",IF($G$104=$X$27,"CP50H35/1,3MC",IF($G$104=$X$28,"CP50H35/1,3MC",IF($G$104=$X$29,"CP50H35/1,3MC",IF($G$104=$X$30,"CP50H35/1,5MC",IF($G$104=$X$31,"CP50H35/1,5MC",IF($G$104=$X$32,"CP50H35/1,5MC",IF($G$104=$X$33,"CP50H35/1,5MC",0))))))))</f>
        <v>CP50H35/1,3MC</v>
      </c>
      <c r="M108" s="11">
        <f>INDEX(cenník!$C$2:$I$568,MATCH($L108,cenník!$B$2:$B$557,0),MATCH(M$103,cenník!$C$1:$I$1,0))</f>
        <v>895613</v>
      </c>
      <c r="N108" s="11" t="str">
        <f>INDEX(cenník!$C$2:$I$568,MATCH($L108,cenník!$B$2:$B$557,0),MATCH(N$2,cenník!$C$1:$I$1,0))</f>
        <v>ks</v>
      </c>
      <c r="O108" s="10">
        <f>O107</f>
        <v>0</v>
      </c>
      <c r="P108" s="36">
        <f>INDEX(cenník!$C$2:$I$568,MATCH($L108,cenník!$B$2:$B$557,0),MATCH(P$2,cenník!$C$1:$I$1,0))</f>
        <v>10.220000000000001</v>
      </c>
      <c r="Q108" s="36">
        <f t="shared" si="141"/>
        <v>0</v>
      </c>
      <c r="R108" s="37">
        <f t="shared" si="139"/>
        <v>0</v>
      </c>
      <c r="S108" s="36">
        <f t="shared" si="140"/>
        <v>10.220000000000001</v>
      </c>
      <c r="T108" s="36">
        <f t="shared" si="142"/>
        <v>0</v>
      </c>
      <c r="U108" s="36">
        <f>INDEX(cenník!$C$2:$I$568,MATCH($L108,cenník!$B$2:$B$557,0),MATCH(U$2,cenník!$C$1:$I$1,0))*O108</f>
        <v>0</v>
      </c>
      <c r="V108" s="72"/>
      <c r="W108" s="72"/>
      <c r="X108" s="72">
        <f t="shared" si="132"/>
        <v>0</v>
      </c>
      <c r="Y108" s="88">
        <v>40</v>
      </c>
      <c r="Z108" s="72" t="s">
        <v>385</v>
      </c>
      <c r="AA108" s="72"/>
      <c r="AB108" s="72">
        <v>1</v>
      </c>
      <c r="AC108" s="72"/>
      <c r="AD108" s="72">
        <f t="shared" si="133"/>
        <v>0</v>
      </c>
      <c r="AE108" s="72">
        <f t="shared" si="137"/>
        <v>0</v>
      </c>
      <c r="AF108" s="72">
        <f t="shared" si="138"/>
        <v>0</v>
      </c>
      <c r="AG108" s="72">
        <f t="shared" si="134"/>
        <v>0</v>
      </c>
      <c r="AH108" s="72"/>
      <c r="AI108" s="72"/>
      <c r="AJ108" s="72"/>
      <c r="AK108" s="72"/>
      <c r="AL108" s="72"/>
      <c r="AM108" s="72"/>
      <c r="AS108" s="72">
        <f t="shared" si="135"/>
        <v>0</v>
      </c>
      <c r="AT108" s="72">
        <f t="shared" si="136"/>
        <v>0</v>
      </c>
      <c r="AU108" s="72"/>
      <c r="AV108" s="72"/>
      <c r="AW108" s="72"/>
      <c r="AX108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106,$GB$80:$GV$80,0),MATCH($E$104,$X$7:$X$24,0))</f>
        <v>0</v>
      </c>
      <c r="AY108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106,$GB$80:$GV$80,0),MATCH($E$104,$X$7:$X$24,0))</f>
        <v>0</v>
      </c>
      <c r="AZ108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106,$GB$80:$GV$80,0),MATCH($E$104,$X$7:$X$24,0))</f>
        <v>0</v>
      </c>
      <c r="BA108" s="72"/>
      <c r="BB108" s="72"/>
      <c r="BC108" s="72"/>
      <c r="BD108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106,$GB$80:$GV$80,0),MATCH($E$104,$X$7:$X$24,0)))*$C106</f>
        <v>0</v>
      </c>
      <c r="BE108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106,$GB$80:$GV$80,0),MATCH($E$104,$X$7:$X$24,0)))*$C106</f>
        <v>0</v>
      </c>
      <c r="BF108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106,$GB$80:$GV$80,0),MATCH($E$104,$X$7:$X$24,0)))*$C106</f>
        <v>0</v>
      </c>
      <c r="BG108" s="72"/>
      <c r="BH108" s="72"/>
      <c r="BI108" s="72"/>
      <c r="BJ108" s="72">
        <f t="shared" si="145"/>
        <v>0</v>
      </c>
      <c r="BK108" s="72">
        <f t="shared" si="144"/>
        <v>0</v>
      </c>
      <c r="BL108" s="72">
        <f t="shared" si="143"/>
        <v>0</v>
      </c>
      <c r="BM108" s="72"/>
      <c r="BN108" s="72"/>
      <c r="BO108" s="72"/>
      <c r="BP108" s="72"/>
      <c r="BQ108" s="72"/>
      <c r="BR108" s="72">
        <v>1600</v>
      </c>
      <c r="BS108" s="72" t="s">
        <v>412</v>
      </c>
      <c r="BT108" s="72" t="s">
        <v>419</v>
      </c>
      <c r="BU108" s="72" t="s">
        <v>420</v>
      </c>
      <c r="BV108" s="72"/>
      <c r="BW108" s="72"/>
      <c r="BX108" s="72"/>
      <c r="BY108" s="72"/>
      <c r="BZ108" s="72"/>
      <c r="CA108" s="72"/>
      <c r="CB108" s="72"/>
      <c r="CC108" s="72"/>
      <c r="CD108" s="72"/>
      <c r="CE108" s="72"/>
      <c r="CF108" s="72"/>
      <c r="CG108" s="72"/>
      <c r="CH108" s="72"/>
      <c r="CI108" s="72"/>
      <c r="CJ108" s="72"/>
      <c r="CK108" s="72"/>
      <c r="CL108" s="72"/>
      <c r="CM108" s="72"/>
      <c r="CN108" s="72"/>
      <c r="CO108" s="72"/>
      <c r="CP108" s="72"/>
      <c r="CQ108" s="72"/>
      <c r="CR108" s="72"/>
      <c r="CS108" s="72"/>
      <c r="CT108" s="72"/>
      <c r="CU108" s="72"/>
      <c r="CV108" s="72"/>
      <c r="CW108" s="72"/>
      <c r="CX108" s="72"/>
      <c r="CY108" s="72"/>
      <c r="CZ108" s="72"/>
      <c r="DA108" s="72"/>
      <c r="DB108" s="72"/>
      <c r="DC108" s="72"/>
      <c r="DD108" s="72"/>
      <c r="DE108" s="72"/>
      <c r="DF108" s="72"/>
      <c r="DG108" s="72"/>
      <c r="DH108" s="72"/>
      <c r="DI108" s="72"/>
      <c r="DJ108" s="72"/>
      <c r="DK108" s="72"/>
      <c r="DL108" s="72"/>
      <c r="DM108" s="72"/>
      <c r="DN108" s="72"/>
      <c r="DO108" s="72"/>
      <c r="DP108" s="72"/>
      <c r="DQ108" s="72"/>
      <c r="DR108" s="72"/>
      <c r="DS108" s="72"/>
      <c r="DT108" s="72"/>
      <c r="DU108" s="72"/>
      <c r="DV108" s="72"/>
      <c r="DW108" s="72"/>
      <c r="DX108" s="72"/>
      <c r="DY108" s="72"/>
      <c r="DZ108" s="81"/>
      <c r="EA108" s="81"/>
      <c r="EB108" s="81"/>
      <c r="EC108" s="72"/>
      <c r="ED108" s="72"/>
      <c r="EE108" s="72"/>
      <c r="EF108" s="72"/>
      <c r="EG108" s="72"/>
      <c r="EH108" s="72"/>
      <c r="EI108" s="72"/>
      <c r="EJ108" s="72"/>
      <c r="EK108" s="72"/>
      <c r="EL108" s="72"/>
      <c r="EM108" s="72"/>
      <c r="EN108" s="72"/>
      <c r="EO108" s="72"/>
      <c r="EP108" s="72"/>
      <c r="EQ108" s="72"/>
      <c r="ER108" s="72"/>
      <c r="ES108" s="72"/>
      <c r="ET108" s="72"/>
      <c r="EU108" s="72"/>
      <c r="EV108" s="72"/>
      <c r="EW108" s="72"/>
      <c r="EX108" s="72"/>
      <c r="EY108" s="72"/>
      <c r="EZ108" s="72"/>
      <c r="FA108" s="72"/>
      <c r="FB108" s="72"/>
      <c r="FC108" s="72"/>
      <c r="FD108" s="72"/>
      <c r="FE108" s="72"/>
      <c r="FF108" s="72"/>
      <c r="FG108" s="72"/>
      <c r="FH108" s="72"/>
      <c r="FI108" s="72"/>
      <c r="FJ108" s="72"/>
      <c r="FK108" s="72"/>
      <c r="FL108" s="72"/>
      <c r="FM108" s="72"/>
      <c r="FN108" s="72"/>
      <c r="FO108" s="72"/>
      <c r="FP108" s="72"/>
      <c r="FQ108" s="72"/>
      <c r="FR108" s="72"/>
      <c r="FS108" s="72"/>
      <c r="FT108" s="72"/>
      <c r="FU108" s="72"/>
      <c r="FV108" s="72"/>
      <c r="FW108" s="72"/>
      <c r="FX108" s="72"/>
      <c r="FY108" s="72"/>
      <c r="FZ108" s="72"/>
      <c r="GX108" s="125" t="s">
        <v>413</v>
      </c>
      <c r="GY108" s="64">
        <v>0</v>
      </c>
      <c r="GZ108" s="72">
        <v>1</v>
      </c>
      <c r="HA108" s="64">
        <v>0</v>
      </c>
      <c r="HB108" s="64">
        <v>0</v>
      </c>
      <c r="HC108" s="64">
        <v>0</v>
      </c>
      <c r="HD108" s="64">
        <v>0</v>
      </c>
      <c r="HE108" s="64">
        <v>0</v>
      </c>
      <c r="HF108" s="64">
        <v>0</v>
      </c>
      <c r="HG108" s="64">
        <v>0</v>
      </c>
      <c r="HH108" s="64">
        <v>0</v>
      </c>
      <c r="HI108" s="64">
        <v>0</v>
      </c>
      <c r="HJ108" s="64">
        <v>0</v>
      </c>
      <c r="HK108" s="64">
        <v>0</v>
      </c>
      <c r="HL108" s="64">
        <v>0</v>
      </c>
      <c r="HM108" s="64">
        <v>0</v>
      </c>
      <c r="HN108" s="64">
        <v>0</v>
      </c>
      <c r="HO108" s="64">
        <v>0</v>
      </c>
      <c r="HP108" s="64">
        <v>0</v>
      </c>
      <c r="HQ108" s="64">
        <v>0</v>
      </c>
      <c r="HR108" s="64">
        <v>0</v>
      </c>
      <c r="HS108" s="64">
        <v>0</v>
      </c>
      <c r="HV108" s="64" t="s">
        <v>379</v>
      </c>
      <c r="HW108" s="64">
        <v>0</v>
      </c>
      <c r="HX108" s="64">
        <v>0</v>
      </c>
      <c r="HY108" s="64">
        <v>2</v>
      </c>
      <c r="HZ108" s="64">
        <v>2</v>
      </c>
      <c r="IA108" s="64">
        <v>6</v>
      </c>
      <c r="IB108" s="64">
        <v>6</v>
      </c>
      <c r="IC108" s="64">
        <v>8</v>
      </c>
      <c r="ID108" s="64">
        <v>8</v>
      </c>
      <c r="IE108" s="64">
        <v>12</v>
      </c>
      <c r="IF108" s="64">
        <v>14</v>
      </c>
      <c r="IG108" s="64">
        <v>14</v>
      </c>
      <c r="IH108" s="64">
        <v>14</v>
      </c>
      <c r="II108" s="64">
        <v>16</v>
      </c>
      <c r="IJ108" s="64">
        <v>20</v>
      </c>
      <c r="IK108" s="64">
        <v>20</v>
      </c>
      <c r="IL108" s="64">
        <v>20</v>
      </c>
      <c r="IM108" s="64">
        <v>22</v>
      </c>
      <c r="IN108" s="64">
        <v>26</v>
      </c>
      <c r="IO108" s="64">
        <v>26</v>
      </c>
      <c r="IP108" s="64">
        <v>28</v>
      </c>
      <c r="IQ108" s="64">
        <v>28</v>
      </c>
      <c r="IS108" s="64" t="s">
        <v>379</v>
      </c>
      <c r="IT108" s="64">
        <f t="shared" si="101"/>
        <v>0</v>
      </c>
      <c r="IU108" s="64">
        <f t="shared" si="102"/>
        <v>0</v>
      </c>
      <c r="IV108" s="64">
        <f t="shared" si="103"/>
        <v>4</v>
      </c>
      <c r="IW108" s="64">
        <f t="shared" si="104"/>
        <v>4</v>
      </c>
      <c r="IX108" s="64">
        <f t="shared" si="105"/>
        <v>12</v>
      </c>
      <c r="IY108" s="64">
        <f t="shared" si="106"/>
        <v>12</v>
      </c>
      <c r="IZ108" s="64">
        <f t="shared" si="107"/>
        <v>16</v>
      </c>
      <c r="JA108" s="64">
        <f t="shared" si="108"/>
        <v>16</v>
      </c>
      <c r="JB108" s="64">
        <f t="shared" si="98"/>
        <v>24</v>
      </c>
      <c r="JC108" s="64">
        <f t="shared" si="109"/>
        <v>28</v>
      </c>
      <c r="JD108" s="64">
        <f t="shared" si="110"/>
        <v>28</v>
      </c>
      <c r="JE108" s="64">
        <f t="shared" si="111"/>
        <v>28</v>
      </c>
      <c r="JF108" s="64">
        <f t="shared" si="112"/>
        <v>32</v>
      </c>
      <c r="JG108" s="64">
        <f t="shared" si="113"/>
        <v>40</v>
      </c>
      <c r="JH108" s="64">
        <f t="shared" si="114"/>
        <v>40</v>
      </c>
      <c r="JI108" s="64">
        <f t="shared" si="115"/>
        <v>40</v>
      </c>
      <c r="JJ108" s="64">
        <f t="shared" si="116"/>
        <v>44</v>
      </c>
      <c r="JK108" s="64">
        <f t="shared" si="117"/>
        <v>52</v>
      </c>
      <c r="JL108" s="64">
        <f t="shared" si="118"/>
        <v>52</v>
      </c>
      <c r="JM108" s="64">
        <f t="shared" si="119"/>
        <v>56</v>
      </c>
      <c r="JN108" s="64">
        <f t="shared" si="120"/>
        <v>56</v>
      </c>
    </row>
    <row r="109" spans="1:274" x14ac:dyDescent="0.25">
      <c r="A109" s="8"/>
      <c r="B109" s="5" t="s">
        <v>61</v>
      </c>
      <c r="C109" s="8"/>
      <c r="D109" s="6" t="s">
        <v>474</v>
      </c>
      <c r="E109" s="4"/>
      <c r="F109" s="5"/>
      <c r="G109" s="5"/>
      <c r="H109" s="5"/>
      <c r="I109" s="5"/>
      <c r="K109" s="9"/>
      <c r="L109" s="6" t="str">
        <f>INDEX((BS114:BU121),MATCH(G104,BR114:BR121,0),MATCH(E106,BS113:BU113,0),1)</f>
        <v>CP50H35/0,45MC</v>
      </c>
      <c r="M109" s="11">
        <f>INDEX(cenník!$C$2:$I$568,MATCH($L109,cenník!$B$2:$B$557,0),MATCH(M$103,cenník!$C$1:$I$1,0))</f>
        <v>895604</v>
      </c>
      <c r="N109" s="11" t="str">
        <f>INDEX(cenník!$C$2:$I$568,MATCH($L109,cenník!$B$2:$B$557,0),MATCH(N$2,cenník!$C$1:$I$1,0))</f>
        <v>ks</v>
      </c>
      <c r="O109" s="11">
        <f>O107</f>
        <v>0</v>
      </c>
      <c r="P109" s="36">
        <f>INDEX(cenník!$C$2:$I$568,MATCH($L109,cenník!$B$2:$B$557,0),MATCH(P$2,cenník!$C$1:$I$1,0))</f>
        <v>3.72</v>
      </c>
      <c r="Q109" s="36">
        <f t="shared" si="141"/>
        <v>0</v>
      </c>
      <c r="R109" s="37">
        <f t="shared" si="139"/>
        <v>0</v>
      </c>
      <c r="S109" s="36">
        <f t="shared" si="140"/>
        <v>3.72</v>
      </c>
      <c r="T109" s="36">
        <f t="shared" si="142"/>
        <v>0</v>
      </c>
      <c r="U109" s="36">
        <f>INDEX(cenník!$C$2:$I$568,MATCH($L109,cenník!$B$2:$B$557,0),MATCH(U$2,cenník!$C$1:$I$1,0))*O109</f>
        <v>0</v>
      </c>
      <c r="X109" s="72">
        <f t="shared" si="132"/>
        <v>0</v>
      </c>
      <c r="Y109" s="88">
        <v>42</v>
      </c>
      <c r="Z109" s="64" t="s">
        <v>230</v>
      </c>
      <c r="AB109" s="64">
        <v>2</v>
      </c>
      <c r="AD109" s="72">
        <f t="shared" si="133"/>
        <v>0</v>
      </c>
      <c r="AE109" s="72">
        <f t="shared" si="137"/>
        <v>0</v>
      </c>
      <c r="AF109" s="72">
        <f t="shared" si="138"/>
        <v>0</v>
      </c>
      <c r="AG109" s="72">
        <f t="shared" si="134"/>
        <v>0</v>
      </c>
      <c r="AH109" s="64" t="s">
        <v>389</v>
      </c>
      <c r="AS109" s="72">
        <f t="shared" si="135"/>
        <v>0</v>
      </c>
      <c r="AT109" s="72">
        <f t="shared" si="136"/>
        <v>0</v>
      </c>
      <c r="AU109" s="72"/>
      <c r="AW109" s="72"/>
      <c r="AX109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107,$GB$80:$GV$80,0),MATCH($E$104,$X$7:$X$24,0))</f>
        <v>0</v>
      </c>
      <c r="AY109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107,$GB$80:$GV$80,0),MATCH($E$104,$X$7:$X$24,0))</f>
        <v>0</v>
      </c>
      <c r="AZ109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107,$GB$80:$GV$80,0),MATCH($E$104,$X$7:$X$24,0))</f>
        <v>0</v>
      </c>
      <c r="BD109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107,$GB$80:$GV$80,0),MATCH($E$104,$X$7:$X$24,0)))*$C107</f>
        <v>0</v>
      </c>
      <c r="BE109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107,$GB$80:$GV$80,0),MATCH($E$104,$X$7:$X$24,0)))*$C107</f>
        <v>0</v>
      </c>
      <c r="BF109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107,$GB$80:$GV$80,0),MATCH($E$104,$X$7:$X$24,0)))*$C107</f>
        <v>0</v>
      </c>
      <c r="BJ109" s="72">
        <f t="shared" si="145"/>
        <v>0</v>
      </c>
      <c r="BK109" s="72">
        <f t="shared" si="144"/>
        <v>0</v>
      </c>
      <c r="BL109" s="72">
        <f t="shared" si="143"/>
        <v>0</v>
      </c>
      <c r="BR109" s="64">
        <v>1800</v>
      </c>
      <c r="BS109" s="72" t="s">
        <v>412</v>
      </c>
      <c r="BT109" s="72" t="s">
        <v>419</v>
      </c>
      <c r="BU109" s="72" t="s">
        <v>420</v>
      </c>
      <c r="GA109" s="64" t="s">
        <v>196</v>
      </c>
      <c r="HV109" s="64" t="s">
        <v>406</v>
      </c>
      <c r="HW109" s="64">
        <v>0</v>
      </c>
      <c r="HX109" s="64">
        <v>0</v>
      </c>
      <c r="HY109" s="64">
        <v>2</v>
      </c>
      <c r="HZ109" s="64">
        <v>4</v>
      </c>
      <c r="IA109" s="64">
        <v>4</v>
      </c>
      <c r="IB109" s="64">
        <v>6</v>
      </c>
      <c r="IC109" s="64">
        <v>8</v>
      </c>
      <c r="ID109" s="64">
        <v>10</v>
      </c>
      <c r="IE109" s="64">
        <v>10</v>
      </c>
      <c r="IF109" s="64">
        <v>12</v>
      </c>
      <c r="IG109" s="64">
        <v>14</v>
      </c>
      <c r="IH109" s="64">
        <v>16</v>
      </c>
      <c r="II109" s="64">
        <v>18</v>
      </c>
      <c r="IJ109" s="64">
        <v>18</v>
      </c>
      <c r="IK109" s="64">
        <v>20</v>
      </c>
      <c r="IL109" s="64">
        <v>22</v>
      </c>
      <c r="IM109" s="64">
        <v>24</v>
      </c>
      <c r="IN109" s="64">
        <v>24</v>
      </c>
      <c r="IO109" s="64">
        <v>26</v>
      </c>
      <c r="IP109" s="64">
        <v>28</v>
      </c>
      <c r="IQ109" s="64">
        <v>30</v>
      </c>
      <c r="IS109" s="64" t="s">
        <v>406</v>
      </c>
      <c r="IT109" s="64">
        <f t="shared" si="101"/>
        <v>0</v>
      </c>
      <c r="IU109" s="64">
        <f t="shared" si="102"/>
        <v>0</v>
      </c>
      <c r="IV109" s="64">
        <f t="shared" si="103"/>
        <v>4</v>
      </c>
      <c r="IW109" s="64">
        <f t="shared" si="104"/>
        <v>8</v>
      </c>
      <c r="IX109" s="64">
        <f t="shared" si="105"/>
        <v>8</v>
      </c>
      <c r="IY109" s="64">
        <f t="shared" si="106"/>
        <v>12</v>
      </c>
      <c r="IZ109" s="64">
        <f t="shared" si="107"/>
        <v>16</v>
      </c>
      <c r="JA109" s="64">
        <f t="shared" si="108"/>
        <v>20</v>
      </c>
      <c r="JB109" s="64">
        <f t="shared" si="98"/>
        <v>20</v>
      </c>
      <c r="JC109" s="64">
        <f t="shared" si="109"/>
        <v>24</v>
      </c>
      <c r="JD109" s="64">
        <f t="shared" si="110"/>
        <v>28</v>
      </c>
      <c r="JE109" s="64">
        <f t="shared" si="111"/>
        <v>32</v>
      </c>
      <c r="JF109" s="64">
        <f t="shared" si="112"/>
        <v>36</v>
      </c>
      <c r="JG109" s="64">
        <f t="shared" si="113"/>
        <v>36</v>
      </c>
      <c r="JH109" s="64">
        <f t="shared" si="114"/>
        <v>40</v>
      </c>
      <c r="JI109" s="64">
        <f t="shared" si="115"/>
        <v>44</v>
      </c>
      <c r="JJ109" s="64">
        <f t="shared" si="116"/>
        <v>48</v>
      </c>
      <c r="JK109" s="64">
        <f t="shared" si="117"/>
        <v>48</v>
      </c>
      <c r="JL109" s="64">
        <f t="shared" si="118"/>
        <v>52</v>
      </c>
      <c r="JM109" s="64">
        <f t="shared" si="119"/>
        <v>56</v>
      </c>
      <c r="JN109" s="64">
        <f t="shared" si="120"/>
        <v>60</v>
      </c>
    </row>
    <row r="110" spans="1:274" x14ac:dyDescent="0.25">
      <c r="A110" s="8"/>
      <c r="B110" s="5" t="s">
        <v>61</v>
      </c>
      <c r="C110" s="8"/>
      <c r="D110" s="6" t="s">
        <v>477</v>
      </c>
      <c r="E110" s="56">
        <f>INDEX((AI117:AM119),MATCH(E111,AH117:AH119,0),MATCH(E112,AI116:AM116,0))</f>
        <v>2000</v>
      </c>
      <c r="F110" s="6"/>
      <c r="G110" s="6"/>
      <c r="H110" s="6"/>
      <c r="I110" s="6"/>
      <c r="J110" s="5" t="s">
        <v>62</v>
      </c>
      <c r="K110" s="9"/>
      <c r="L110" s="6" t="s">
        <v>407</v>
      </c>
      <c r="M110" s="11">
        <f>INDEX(cenník!$C$2:$I$568,MATCH($L110,cenník!$B$2:$B$557,0),MATCH(M$103,cenník!$C$1:$I$1,0))</f>
        <v>897334</v>
      </c>
      <c r="N110" s="11" t="str">
        <f>INDEX(cenník!$C$2:$I$568,MATCH($L110,cenník!$B$2:$B$557,0),MATCH(N$2,cenník!$C$1:$I$1,0))</f>
        <v>ks</v>
      </c>
      <c r="O110" s="11">
        <f>SUM(A103*4*C103,A104*4*C104,A105*4*C105,A106*4*C106,A107*4*C107,A108*4*C108,A109*4*C109,A110*4*C110,A111*4*C111,A112*4*C112,A113*4*C113,A114*4*C114,A115*4*C115,A116*4*C116,A117*4*C117,A118*4*C118)</f>
        <v>0</v>
      </c>
      <c r="P110" s="36">
        <f>INDEX(cenník!$C$2:$I$568,MATCH($L110,cenník!$B$2:$B$557,0),MATCH(P$2,cenník!$C$1:$I$1,0))</f>
        <v>1.79</v>
      </c>
      <c r="Q110" s="36">
        <f t="shared" si="141"/>
        <v>0</v>
      </c>
      <c r="R110" s="37">
        <f t="shared" si="139"/>
        <v>0</v>
      </c>
      <c r="S110" s="36">
        <f t="shared" si="140"/>
        <v>1.79</v>
      </c>
      <c r="T110" s="36">
        <f t="shared" si="142"/>
        <v>0</v>
      </c>
      <c r="U110" s="36">
        <f>INDEX(cenník!$C$2:$I$568,MATCH($L110,cenník!$B$2:$B$557,0),MATCH(U$2,cenník!$C$1:$I$1,0))*O110</f>
        <v>0</v>
      </c>
      <c r="X110" s="72">
        <f t="shared" si="132"/>
        <v>0</v>
      </c>
      <c r="AB110" s="64" t="s">
        <v>339</v>
      </c>
      <c r="AD110" s="72">
        <f t="shared" si="133"/>
        <v>0</v>
      </c>
      <c r="AE110" s="72">
        <f t="shared" si="137"/>
        <v>0</v>
      </c>
      <c r="AF110" s="72">
        <f t="shared" si="138"/>
        <v>0</v>
      </c>
      <c r="AG110" s="72">
        <f t="shared" si="134"/>
        <v>0</v>
      </c>
      <c r="AH110" s="64" t="s">
        <v>333</v>
      </c>
      <c r="AI110" s="64">
        <v>1</v>
      </c>
      <c r="AJ110" s="64">
        <v>2</v>
      </c>
      <c r="AK110" s="64">
        <v>3</v>
      </c>
      <c r="AL110" s="64">
        <v>4</v>
      </c>
      <c r="AM110" s="64">
        <v>5</v>
      </c>
      <c r="AS110" s="72">
        <f t="shared" si="135"/>
        <v>0</v>
      </c>
      <c r="AT110" s="72">
        <f t="shared" si="136"/>
        <v>0</v>
      </c>
      <c r="AU110" s="72"/>
      <c r="AW110" s="72"/>
      <c r="AX110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108,$GB$80:$GV$80,0),MATCH($E$104,$X$7:$X$24,0))</f>
        <v>0</v>
      </c>
      <c r="AY110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108,$GB$80:$GV$80,0),MATCH($E$104,$X$7:$X$24,0))</f>
        <v>0</v>
      </c>
      <c r="AZ110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108,$GB$80:$GV$80,0),MATCH($E$104,$X$7:$X$24,0))</f>
        <v>0</v>
      </c>
      <c r="BD110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108,$GB$80:$GV$80,0),MATCH($E$104,$X$7:$X$24,0)))*$C108</f>
        <v>0</v>
      </c>
      <c r="BE110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108,$GB$80:$GV$80,0),MATCH($E$104,$X$7:$X$24,0)))*$C108</f>
        <v>0</v>
      </c>
      <c r="BF110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108,$GB$80:$GV$80,0),MATCH($E$104,$X$7:$X$24,0)))*$C108</f>
        <v>0</v>
      </c>
      <c r="BJ110" s="72">
        <f t="shared" si="145"/>
        <v>0</v>
      </c>
      <c r="BK110" s="72">
        <f t="shared" si="144"/>
        <v>0</v>
      </c>
      <c r="BL110" s="72">
        <f t="shared" si="143"/>
        <v>0</v>
      </c>
      <c r="BR110" s="64">
        <v>2000</v>
      </c>
      <c r="BS110" s="72" t="s">
        <v>413</v>
      </c>
      <c r="BT110" s="72" t="s">
        <v>421</v>
      </c>
      <c r="BU110" s="72" t="s">
        <v>422</v>
      </c>
      <c r="GB110" s="64">
        <v>0</v>
      </c>
      <c r="GC110" s="64">
        <v>1</v>
      </c>
      <c r="GD110" s="64">
        <v>2</v>
      </c>
      <c r="GE110" s="64">
        <v>3</v>
      </c>
      <c r="GF110" s="64">
        <v>4</v>
      </c>
      <c r="GG110" s="64">
        <v>5</v>
      </c>
      <c r="GH110" s="64">
        <v>6</v>
      </c>
      <c r="GI110" s="64">
        <v>7</v>
      </c>
      <c r="GJ110" s="64">
        <v>8</v>
      </c>
      <c r="GK110" s="64">
        <v>9</v>
      </c>
      <c r="GL110" s="64">
        <v>10</v>
      </c>
      <c r="GM110" s="64">
        <v>11</v>
      </c>
      <c r="GN110" s="64">
        <v>12</v>
      </c>
      <c r="GO110" s="64">
        <v>13</v>
      </c>
      <c r="GP110" s="64">
        <v>14</v>
      </c>
      <c r="GQ110" s="64">
        <v>15</v>
      </c>
      <c r="GR110" s="64">
        <v>16</v>
      </c>
      <c r="GS110" s="64">
        <v>17</v>
      </c>
      <c r="GT110" s="64">
        <v>18</v>
      </c>
      <c r="GU110" s="64">
        <v>19</v>
      </c>
      <c r="GV110" s="64">
        <v>20</v>
      </c>
      <c r="GX110" s="64" t="s">
        <v>386</v>
      </c>
    </row>
    <row r="111" spans="1:274" x14ac:dyDescent="0.25">
      <c r="A111" s="8"/>
      <c r="B111" s="5" t="s">
        <v>61</v>
      </c>
      <c r="C111" s="8"/>
      <c r="D111" s="6" t="s">
        <v>478</v>
      </c>
      <c r="E111" s="8">
        <v>1</v>
      </c>
      <c r="F111" s="43" t="s">
        <v>480</v>
      </c>
      <c r="G111" s="16"/>
      <c r="H111" s="9"/>
      <c r="I111" s="9"/>
      <c r="J111" s="32"/>
      <c r="K111" s="9"/>
      <c r="L111" s="6" t="str">
        <f>INDEX((BS105:BU111),MATCH(E110,BR105:BR111,0),MATCH(E106,BS104:BU104,0),1)</f>
        <v>OWN20/2,4MC</v>
      </c>
      <c r="M111" s="11">
        <f>INDEX(cenník!$C$2:$I$568,MATCH($L111,cenník!$B$2:$B$557,0),MATCH(M$103,cenník!$C$1:$I$1,0))</f>
        <v>852024</v>
      </c>
      <c r="N111" s="11" t="str">
        <f>INDEX(cenník!$C$2:$I$568,MATCH($L111,cenník!$B$2:$B$557,0),MATCH(N$2,cenník!$C$1:$I$1,0))</f>
        <v>ks</v>
      </c>
      <c r="O111" s="10">
        <f>SUM(AG101:AG116)</f>
        <v>0</v>
      </c>
      <c r="P111" s="36">
        <f>INDEX(cenník!$C$2:$I$568,MATCH($L111,cenník!$B$2:$B$557,0),MATCH(P$2,cenník!$C$1:$I$1,0))</f>
        <v>19.03</v>
      </c>
      <c r="Q111" s="36">
        <f t="shared" si="141"/>
        <v>0</v>
      </c>
      <c r="R111" s="37">
        <f t="shared" si="139"/>
        <v>0</v>
      </c>
      <c r="S111" s="36">
        <f t="shared" si="140"/>
        <v>19.03</v>
      </c>
      <c r="T111" s="36">
        <f t="shared" si="142"/>
        <v>0</v>
      </c>
      <c r="U111" s="36">
        <f>INDEX(cenník!$C$2:$I$568,MATCH($L111,cenník!$B$2:$B$557,0),MATCH(U$2,cenník!$C$1:$I$1,0))*O111</f>
        <v>0</v>
      </c>
      <c r="X111" s="72">
        <f t="shared" si="132"/>
        <v>0</v>
      </c>
      <c r="Z111" s="64">
        <f>IF($E$104=$X$7,$Y$7,IF($E$104=$X$8,$Y$8,IF($E$104=$X$9,$Y$9,IF($E$104=$X$10,$Y$10,IF($E$104=$X$11,$Y$11,IF($E$104=$X$12,$Y$12,IF($E$104=$X$13,$Y$13,IF($E$104=$X$14,$Y$14,IF($E$104=$X$15,$Y$15,IF($E$104=$X$16,$Y$16,IF($E$104=$X$17,$Y$17,IF($E$104=$X$18,$Y$18,IF($E$104=$X$19,$Y$19,IF($E$104=$X$20,$Y$20,IF($E$104=$X$21,$Y$21,IF($E$104=$X$22,$Y$22,IF($E$104=$X$23,$Y$23,IF($E$104=$X$24,$Y$24,0))))))))))))))))))</f>
        <v>1650</v>
      </c>
      <c r="AD111" s="72">
        <f t="shared" si="133"/>
        <v>0</v>
      </c>
      <c r="AE111" s="72">
        <f t="shared" si="137"/>
        <v>0</v>
      </c>
      <c r="AF111" s="72">
        <f t="shared" si="138"/>
        <v>0</v>
      </c>
      <c r="AG111" s="72">
        <f t="shared" si="134"/>
        <v>0</v>
      </c>
      <c r="AH111" s="64">
        <v>1</v>
      </c>
      <c r="AI111" s="64">
        <v>1000</v>
      </c>
      <c r="AJ111" s="64">
        <v>1000</v>
      </c>
      <c r="AK111" s="64">
        <v>1000</v>
      </c>
      <c r="AL111" s="64">
        <v>800</v>
      </c>
      <c r="AM111" s="64" t="s">
        <v>486</v>
      </c>
      <c r="AS111" s="72">
        <f t="shared" si="135"/>
        <v>0</v>
      </c>
      <c r="AT111" s="72">
        <f t="shared" si="136"/>
        <v>0</v>
      </c>
      <c r="AU111" s="72"/>
      <c r="AW111" s="72"/>
      <c r="AX111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109,$GB$80:$GV$80,0),MATCH($E$104,$X$7:$X$24,0))</f>
        <v>0</v>
      </c>
      <c r="AY111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109,$GB$80:$GV$80,0),MATCH($E$104,$X$7:$X$24,0))</f>
        <v>0</v>
      </c>
      <c r="AZ111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109,$GB$80:$GV$80,0),MATCH($E$104,$X$7:$X$24,0))</f>
        <v>0</v>
      </c>
      <c r="BD111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109,$GB$80:$GV$80,0),MATCH($E$104,$X$7:$X$24,0)))*$C109</f>
        <v>0</v>
      </c>
      <c r="BE111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109,$GB$80:$GV$80,0),MATCH($E$104,$X$7:$X$24,0)))*$C109</f>
        <v>0</v>
      </c>
      <c r="BF111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109,$GB$80:$GV$80,0),MATCH($E$104,$X$7:$X$24,0)))*$C109</f>
        <v>0</v>
      </c>
      <c r="BJ111" s="72">
        <f t="shared" si="145"/>
        <v>0</v>
      </c>
      <c r="BK111" s="72">
        <f t="shared" si="144"/>
        <v>0</v>
      </c>
      <c r="BL111" s="72">
        <f t="shared" si="143"/>
        <v>0</v>
      </c>
      <c r="BR111" s="64">
        <v>2150</v>
      </c>
      <c r="BS111" s="72" t="s">
        <v>413</v>
      </c>
      <c r="BT111" s="72" t="s">
        <v>421</v>
      </c>
      <c r="BU111" s="72" t="s">
        <v>422</v>
      </c>
      <c r="GA111" s="125" t="s">
        <v>411</v>
      </c>
      <c r="GB111" s="64">
        <v>0</v>
      </c>
      <c r="GC111" s="64">
        <v>0</v>
      </c>
      <c r="GD111" s="64">
        <v>0</v>
      </c>
      <c r="GE111" s="64">
        <v>0</v>
      </c>
      <c r="GF111" s="64">
        <v>0</v>
      </c>
      <c r="GG111" s="64">
        <v>0</v>
      </c>
      <c r="GH111" s="64">
        <v>0</v>
      </c>
      <c r="GI111" s="64">
        <v>0</v>
      </c>
      <c r="GJ111" s="64">
        <v>0</v>
      </c>
      <c r="GK111" s="64">
        <v>0</v>
      </c>
      <c r="GL111" s="64">
        <v>0</v>
      </c>
      <c r="GM111" s="64">
        <v>0</v>
      </c>
      <c r="GN111" s="64">
        <v>0</v>
      </c>
      <c r="GO111" s="64">
        <v>0</v>
      </c>
      <c r="GP111" s="64">
        <v>0</v>
      </c>
      <c r="GQ111" s="64">
        <v>0</v>
      </c>
      <c r="GR111" s="64">
        <v>0</v>
      </c>
      <c r="GS111" s="64">
        <v>0</v>
      </c>
      <c r="GT111" s="64">
        <v>0</v>
      </c>
      <c r="GU111" s="64">
        <v>0</v>
      </c>
      <c r="GV111" s="64">
        <v>0</v>
      </c>
      <c r="GY111" s="64">
        <v>0</v>
      </c>
      <c r="GZ111" s="64">
        <v>1</v>
      </c>
      <c r="HA111" s="64">
        <v>2</v>
      </c>
      <c r="HB111" s="64">
        <v>3</v>
      </c>
      <c r="HC111" s="64">
        <v>4</v>
      </c>
      <c r="HD111" s="64">
        <v>5</v>
      </c>
      <c r="HE111" s="64">
        <v>6</v>
      </c>
      <c r="HF111" s="64">
        <v>7</v>
      </c>
      <c r="HG111" s="64">
        <v>8</v>
      </c>
      <c r="HH111" s="64">
        <v>9</v>
      </c>
      <c r="HI111" s="64">
        <v>10</v>
      </c>
      <c r="HJ111" s="64">
        <v>11</v>
      </c>
      <c r="HK111" s="64">
        <v>12</v>
      </c>
      <c r="HL111" s="64">
        <v>13</v>
      </c>
      <c r="HM111" s="64">
        <v>14</v>
      </c>
      <c r="HN111" s="64">
        <v>15</v>
      </c>
      <c r="HO111" s="64">
        <v>16</v>
      </c>
      <c r="HP111" s="64">
        <v>17</v>
      </c>
      <c r="HQ111" s="64">
        <v>18</v>
      </c>
      <c r="HR111" s="64">
        <v>19</v>
      </c>
      <c r="HS111" s="64">
        <v>20</v>
      </c>
    </row>
    <row r="112" spans="1:274" x14ac:dyDescent="0.25">
      <c r="A112" s="8"/>
      <c r="B112" s="5" t="s">
        <v>61</v>
      </c>
      <c r="C112" s="8"/>
      <c r="D112" s="6" t="s">
        <v>479</v>
      </c>
      <c r="E112" s="8">
        <v>1</v>
      </c>
      <c r="F112" s="43" t="s">
        <v>481</v>
      </c>
      <c r="G112" s="9"/>
      <c r="H112" s="9"/>
      <c r="I112" s="9"/>
      <c r="J112" s="9"/>
      <c r="K112" s="9"/>
      <c r="L112" s="6" t="s">
        <v>202</v>
      </c>
      <c r="M112" s="11">
        <f>INDEX(cenník!$C$2:$I$568,MATCH($L112,cenník!$B$2:$B$557,0),MATCH(M$103,cenník!$C$1:$I$1,0))</f>
        <v>898525</v>
      </c>
      <c r="N112" s="11" t="str">
        <f>INDEX(cenník!$C$2:$I$568,MATCH($L112,cenník!$B$2:$B$557,0),MATCH(N$2,cenník!$C$1:$I$1,0))</f>
        <v>ks</v>
      </c>
      <c r="O112" s="10">
        <f>O109*2+O110</f>
        <v>0</v>
      </c>
      <c r="P112" s="36">
        <f>INDEX(cenník!$C$2:$I$568,MATCH($L112,cenník!$B$2:$B$557,0),MATCH(P$2,cenník!$C$1:$I$1,0))</f>
        <v>0.16</v>
      </c>
      <c r="Q112" s="12">
        <f t="shared" ref="Q112:Q118" si="146">O112*P112</f>
        <v>0</v>
      </c>
      <c r="R112" s="37">
        <f t="shared" si="139"/>
        <v>0</v>
      </c>
      <c r="S112" s="36">
        <f t="shared" si="140"/>
        <v>0.16</v>
      </c>
      <c r="T112" s="12">
        <f t="shared" ref="T112:T118" si="147">O112*S112</f>
        <v>0</v>
      </c>
      <c r="U112" s="36">
        <f>INDEX(cenník!$C$2:$I$568,MATCH($L112,cenník!$B$2:$B$557,0),MATCH(U$2,cenník!$C$1:$I$1,0))*O112</f>
        <v>0</v>
      </c>
      <c r="X112" s="72">
        <f t="shared" si="132"/>
        <v>0</v>
      </c>
      <c r="AD112" s="72">
        <f t="shared" si="133"/>
        <v>0</v>
      </c>
      <c r="AE112" s="72">
        <f t="shared" si="137"/>
        <v>0</v>
      </c>
      <c r="AF112" s="72">
        <f t="shared" si="138"/>
        <v>0</v>
      </c>
      <c r="AG112" s="72">
        <f t="shared" si="134"/>
        <v>0</v>
      </c>
      <c r="AH112" s="64">
        <v>2</v>
      </c>
      <c r="AI112" s="64" t="s">
        <v>486</v>
      </c>
      <c r="AJ112" s="64">
        <v>600</v>
      </c>
      <c r="AK112" s="64">
        <v>600</v>
      </c>
      <c r="AL112" s="64" t="s">
        <v>486</v>
      </c>
      <c r="AM112" s="64" t="s">
        <v>486</v>
      </c>
      <c r="AS112" s="72">
        <f t="shared" si="135"/>
        <v>0</v>
      </c>
      <c r="AT112" s="72">
        <f t="shared" si="136"/>
        <v>0</v>
      </c>
      <c r="AU112" s="72"/>
      <c r="AW112" s="72"/>
      <c r="AX112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110,$GB$80:$GV$80,0),MATCH($E$104,$X$7:$X$24,0))</f>
        <v>0</v>
      </c>
      <c r="AY112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110,$GB$80:$GV$80,0),MATCH($E$104,$X$7:$X$24,0))</f>
        <v>0</v>
      </c>
      <c r="AZ112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110,$GB$80:$GV$80,0),MATCH($E$104,$X$7:$X$24,0))</f>
        <v>0</v>
      </c>
      <c r="BD112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110,$GB$80:$GV$80,0),MATCH($E$104,$X$7:$X$24,0)))*$C110</f>
        <v>0</v>
      </c>
      <c r="BE112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110,$GB$80:$GV$80,0),MATCH($E$104,$X$7:$X$24,0)))*$C110</f>
        <v>0</v>
      </c>
      <c r="BF112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110,$GB$80:$GV$80,0),MATCH($E$104,$X$7:$X$24,0)))*$C110</f>
        <v>0</v>
      </c>
      <c r="BJ112" s="72">
        <f t="shared" si="145"/>
        <v>0</v>
      </c>
      <c r="BK112" s="72">
        <f t="shared" si="144"/>
        <v>0</v>
      </c>
      <c r="BL112" s="72">
        <f t="shared" si="143"/>
        <v>0</v>
      </c>
      <c r="GA112" s="125" t="s">
        <v>412</v>
      </c>
      <c r="GB112" s="64">
        <v>0</v>
      </c>
      <c r="GC112" s="64">
        <v>1</v>
      </c>
      <c r="GD112" s="64">
        <v>2</v>
      </c>
      <c r="GE112" s="64">
        <v>3</v>
      </c>
      <c r="GF112" s="64">
        <v>4</v>
      </c>
      <c r="GG112" s="64">
        <v>5</v>
      </c>
      <c r="GH112" s="64">
        <v>6</v>
      </c>
      <c r="GI112" s="64">
        <v>7</v>
      </c>
      <c r="GJ112" s="64">
        <v>8</v>
      </c>
      <c r="GK112" s="64">
        <v>9</v>
      </c>
      <c r="GL112" s="64">
        <v>10</v>
      </c>
      <c r="GM112" s="64">
        <v>11</v>
      </c>
      <c r="GN112" s="64">
        <v>12</v>
      </c>
      <c r="GO112" s="64">
        <v>13</v>
      </c>
      <c r="GP112" s="64">
        <v>14</v>
      </c>
      <c r="GQ112" s="64">
        <v>15</v>
      </c>
      <c r="GR112" s="64">
        <v>16</v>
      </c>
      <c r="GS112" s="64">
        <v>17</v>
      </c>
      <c r="GT112" s="64">
        <v>18</v>
      </c>
      <c r="GU112" s="64">
        <v>19</v>
      </c>
      <c r="GV112" s="64">
        <v>20</v>
      </c>
      <c r="GX112" s="125" t="s">
        <v>411</v>
      </c>
      <c r="GY112" s="64">
        <v>0</v>
      </c>
      <c r="GZ112" s="64">
        <v>2</v>
      </c>
      <c r="HA112" s="64">
        <v>2</v>
      </c>
      <c r="HB112" s="64">
        <v>0</v>
      </c>
      <c r="HC112" s="64">
        <v>5</v>
      </c>
      <c r="HD112" s="64">
        <v>3</v>
      </c>
      <c r="HE112" s="64">
        <v>1</v>
      </c>
      <c r="HF112" s="64">
        <v>0</v>
      </c>
      <c r="HG112" s="64">
        <v>4</v>
      </c>
      <c r="HH112" s="64">
        <v>2</v>
      </c>
      <c r="HI112" s="64">
        <v>0</v>
      </c>
      <c r="HJ112" s="64">
        <v>5</v>
      </c>
      <c r="HK112" s="64">
        <v>3</v>
      </c>
      <c r="HL112" s="64">
        <v>1</v>
      </c>
      <c r="HM112" s="64">
        <v>0</v>
      </c>
      <c r="HN112" s="64">
        <v>4</v>
      </c>
      <c r="HO112" s="64">
        <v>2</v>
      </c>
      <c r="HP112" s="64">
        <v>0</v>
      </c>
      <c r="HQ112" s="64">
        <v>0</v>
      </c>
      <c r="HR112" s="64">
        <v>2</v>
      </c>
      <c r="HS112" s="64">
        <v>1</v>
      </c>
      <c r="HV112" s="83" t="s">
        <v>56</v>
      </c>
      <c r="HW112" s="64">
        <v>0</v>
      </c>
      <c r="HX112" s="64">
        <v>1</v>
      </c>
      <c r="HY112" s="64">
        <v>2</v>
      </c>
      <c r="HZ112" s="64">
        <v>3</v>
      </c>
      <c r="IA112" s="64">
        <v>4</v>
      </c>
      <c r="IB112" s="64">
        <v>5</v>
      </c>
      <c r="IC112" s="64">
        <v>6</v>
      </c>
      <c r="ID112" s="64">
        <v>7</v>
      </c>
      <c r="IE112" s="64">
        <v>8</v>
      </c>
      <c r="IF112" s="64">
        <v>9</v>
      </c>
      <c r="IG112" s="64">
        <v>10</v>
      </c>
      <c r="IH112" s="64">
        <v>11</v>
      </c>
      <c r="II112" s="64">
        <v>12</v>
      </c>
      <c r="IJ112" s="64">
        <v>13</v>
      </c>
      <c r="IK112" s="64">
        <v>14</v>
      </c>
      <c r="IL112" s="64">
        <v>15</v>
      </c>
      <c r="IM112" s="64">
        <v>16</v>
      </c>
      <c r="IN112" s="64">
        <v>17</v>
      </c>
      <c r="IO112" s="64">
        <v>18</v>
      </c>
      <c r="IP112" s="64">
        <v>19</v>
      </c>
      <c r="IQ112" s="64">
        <v>20</v>
      </c>
    </row>
    <row r="113" spans="1:231" x14ac:dyDescent="0.25">
      <c r="A113" s="8"/>
      <c r="B113" s="5" t="s">
        <v>61</v>
      </c>
      <c r="C113" s="8"/>
      <c r="D113" s="44" t="s">
        <v>573</v>
      </c>
      <c r="E113" s="34"/>
      <c r="F113" s="33"/>
      <c r="G113" s="33"/>
      <c r="H113" s="9"/>
      <c r="I113" s="9"/>
      <c r="J113" s="9"/>
      <c r="K113" s="9"/>
      <c r="L113" s="6" t="s">
        <v>402</v>
      </c>
      <c r="M113" s="11">
        <f>INDEX(cenník!$C$2:$I$568,MATCH($L113,cenník!$B$2:$B$557,0),MATCH(M$103,cenník!$C$1:$I$1,0))</f>
        <v>660246</v>
      </c>
      <c r="N113" s="11" t="str">
        <f>INDEX(cenník!$C$2:$I$568,MATCH($L113,cenník!$B$2:$B$557,0),MATCH(N$2,cenník!$C$1:$I$1,0))</f>
        <v>ks</v>
      </c>
      <c r="O113" s="11">
        <f>O112</f>
        <v>0</v>
      </c>
      <c r="P113" s="36">
        <f>INDEX(cenník!$C$2:$I$568,MATCH($L113,cenník!$B$2:$B$557,0),MATCH(P$2,cenník!$C$1:$I$1,0))</f>
        <v>0.55000000000000004</v>
      </c>
      <c r="Q113" s="36">
        <f t="shared" si="146"/>
        <v>0</v>
      </c>
      <c r="R113" s="37">
        <f t="shared" si="139"/>
        <v>0</v>
      </c>
      <c r="S113" s="36">
        <f t="shared" si="140"/>
        <v>0.55000000000000004</v>
      </c>
      <c r="T113" s="36">
        <f t="shared" si="147"/>
        <v>0</v>
      </c>
      <c r="U113" s="36">
        <f>INDEX(cenník!$C$2:$I$568,MATCH($L113,cenník!$B$2:$B$557,0),MATCH(U$2,cenník!$C$1:$I$1,0))*O113</f>
        <v>0</v>
      </c>
      <c r="X113" s="72">
        <f t="shared" si="132"/>
        <v>0</v>
      </c>
      <c r="AD113" s="72">
        <f t="shared" si="133"/>
        <v>0</v>
      </c>
      <c r="AE113" s="72">
        <f t="shared" si="137"/>
        <v>0</v>
      </c>
      <c r="AF113" s="72">
        <f t="shared" si="138"/>
        <v>0</v>
      </c>
      <c r="AG113" s="72">
        <f t="shared" si="134"/>
        <v>0</v>
      </c>
      <c r="AH113" s="64" t="s">
        <v>339</v>
      </c>
      <c r="AI113" s="64">
        <v>800</v>
      </c>
      <c r="AJ113" s="64" t="s">
        <v>486</v>
      </c>
      <c r="AK113" s="64">
        <v>600</v>
      </c>
      <c r="AL113" s="64" t="s">
        <v>486</v>
      </c>
      <c r="AM113" s="64">
        <v>500</v>
      </c>
      <c r="AS113" s="72">
        <f t="shared" si="135"/>
        <v>0</v>
      </c>
      <c r="AT113" s="72">
        <f t="shared" si="136"/>
        <v>0</v>
      </c>
      <c r="AU113" s="72"/>
      <c r="AW113" s="72"/>
      <c r="AX113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111,$GB$80:$GV$80,0),MATCH($E$104,$X$7:$X$24,0))</f>
        <v>0</v>
      </c>
      <c r="AY113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111,$GB$80:$GV$80,0),MATCH($E$104,$X$7:$X$24,0))</f>
        <v>0</v>
      </c>
      <c r="AZ113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111,$GB$80:$GV$80,0),MATCH($E$104,$X$7:$X$24,0))</f>
        <v>0</v>
      </c>
      <c r="BD113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111,$GB$80:$GV$80,0),MATCH($E$104,$X$7:$X$24,0)))*$C111</f>
        <v>0</v>
      </c>
      <c r="BE113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111,$GB$80:$GV$80,0),MATCH($E$104,$X$7:$X$24,0)))*$C111</f>
        <v>0</v>
      </c>
      <c r="BF113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111,$GB$80:$GV$80,0),MATCH($E$104,$X$7:$X$24,0)))*$C111</f>
        <v>0</v>
      </c>
      <c r="BJ113" s="72">
        <f t="shared" si="145"/>
        <v>0</v>
      </c>
      <c r="BK113" s="72">
        <f t="shared" si="144"/>
        <v>0</v>
      </c>
      <c r="BL113" s="72">
        <f t="shared" si="143"/>
        <v>0</v>
      </c>
      <c r="BS113" s="64">
        <v>10</v>
      </c>
      <c r="BT113" s="64">
        <v>15</v>
      </c>
      <c r="BU113" s="64">
        <v>20</v>
      </c>
      <c r="GA113" s="125" t="s">
        <v>413</v>
      </c>
      <c r="GB113" s="64">
        <v>0</v>
      </c>
      <c r="GC113" s="64">
        <v>0</v>
      </c>
      <c r="GD113" s="64">
        <v>0</v>
      </c>
      <c r="GE113" s="64">
        <v>0</v>
      </c>
      <c r="GF113" s="64">
        <v>0</v>
      </c>
      <c r="GG113" s="64">
        <v>0</v>
      </c>
      <c r="GH113" s="64">
        <v>0</v>
      </c>
      <c r="GI113" s="64">
        <v>0</v>
      </c>
      <c r="GJ113" s="64">
        <v>0</v>
      </c>
      <c r="GK113" s="64">
        <v>0</v>
      </c>
      <c r="GL113" s="64">
        <v>0</v>
      </c>
      <c r="GM113" s="64">
        <v>0</v>
      </c>
      <c r="GN113" s="64">
        <v>0</v>
      </c>
      <c r="GO113" s="64">
        <v>0</v>
      </c>
      <c r="GP113" s="64">
        <v>0</v>
      </c>
      <c r="GQ113" s="64">
        <v>0</v>
      </c>
      <c r="GR113" s="64">
        <v>0</v>
      </c>
      <c r="GS113" s="64">
        <v>0</v>
      </c>
      <c r="GT113" s="64">
        <v>0</v>
      </c>
      <c r="GU113" s="64">
        <v>0</v>
      </c>
      <c r="GV113" s="64">
        <v>0</v>
      </c>
      <c r="GX113" s="125" t="s">
        <v>412</v>
      </c>
      <c r="GY113" s="64">
        <v>0</v>
      </c>
      <c r="GZ113" s="64">
        <v>0</v>
      </c>
      <c r="HA113" s="64">
        <v>1</v>
      </c>
      <c r="HB113" s="64">
        <v>4</v>
      </c>
      <c r="HC113" s="64">
        <v>1</v>
      </c>
      <c r="HD113" s="64">
        <v>4</v>
      </c>
      <c r="HE113" s="64">
        <v>7</v>
      </c>
      <c r="HF113" s="64">
        <v>9</v>
      </c>
      <c r="HG113" s="64">
        <v>7</v>
      </c>
      <c r="HH113" s="64">
        <v>10</v>
      </c>
      <c r="HI113" s="64">
        <v>13</v>
      </c>
      <c r="HJ113" s="64">
        <v>10</v>
      </c>
      <c r="HK113" s="64">
        <v>13</v>
      </c>
      <c r="HL113" s="64">
        <v>16</v>
      </c>
      <c r="HM113" s="64">
        <v>18</v>
      </c>
      <c r="HN113" s="64">
        <v>16</v>
      </c>
      <c r="HO113" s="64">
        <v>19</v>
      </c>
      <c r="HP113" s="64">
        <v>22</v>
      </c>
      <c r="HQ113" s="64">
        <v>22</v>
      </c>
      <c r="HR113" s="64">
        <v>23</v>
      </c>
      <c r="HS113" s="64">
        <v>25</v>
      </c>
      <c r="HV113" s="83" t="s">
        <v>411</v>
      </c>
      <c r="HW113" s="64">
        <v>0</v>
      </c>
    </row>
    <row r="114" spans="1:231" x14ac:dyDescent="0.25">
      <c r="A114" s="8"/>
      <c r="B114" s="5" t="s">
        <v>61</v>
      </c>
      <c r="C114" s="8"/>
      <c r="D114" s="44" t="s">
        <v>520</v>
      </c>
      <c r="E114" s="9"/>
      <c r="F114" s="9"/>
      <c r="G114" s="9"/>
      <c r="H114" s="9"/>
      <c r="I114" s="9"/>
      <c r="J114" s="9"/>
      <c r="K114" s="9"/>
      <c r="L114" s="6" t="s">
        <v>244</v>
      </c>
      <c r="M114" s="11">
        <f>INDEX(cenník!$C$2:$I$568,MATCH($L114,cenník!$B$2:$B$557,0),MATCH(M$103,cenník!$C$1:$I$1,0))</f>
        <v>166794</v>
      </c>
      <c r="N114" s="11" t="str">
        <f>INDEX(cenník!$C$2:$I$568,MATCH($L114,cenník!$B$2:$B$557,0),MATCH(N$2,cenník!$C$1:$I$1,0))</f>
        <v>100ks</v>
      </c>
      <c r="O114" s="11">
        <f>ROUNDUP((O112)/100,0)</f>
        <v>0</v>
      </c>
      <c r="P114" s="36">
        <f>INDEX(cenník!$C$2:$I$568,MATCH($L114,cenník!$B$2:$B$557,0),MATCH(P$2,cenník!$C$1:$I$1,0))</f>
        <v>1.38</v>
      </c>
      <c r="Q114" s="36">
        <f t="shared" si="146"/>
        <v>0</v>
      </c>
      <c r="R114" s="37">
        <f t="shared" si="139"/>
        <v>0</v>
      </c>
      <c r="S114" s="36">
        <f t="shared" si="140"/>
        <v>1.38</v>
      </c>
      <c r="T114" s="36">
        <f t="shared" si="147"/>
        <v>0</v>
      </c>
      <c r="U114" s="36">
        <f>INDEX(cenník!$C$2:$I$568,MATCH($L114,cenník!$B$2:$B$557,0),MATCH(U$2,cenník!$C$1:$I$1,0))*O114</f>
        <v>0</v>
      </c>
      <c r="X114" s="72"/>
      <c r="AD114" s="72">
        <f t="shared" si="133"/>
        <v>0</v>
      </c>
      <c r="AE114" s="72">
        <f t="shared" si="137"/>
        <v>0</v>
      </c>
      <c r="AF114" s="72">
        <f t="shared" si="138"/>
        <v>0</v>
      </c>
      <c r="AG114" s="72">
        <f t="shared" si="134"/>
        <v>0</v>
      </c>
      <c r="AS114" s="72">
        <f t="shared" si="135"/>
        <v>0</v>
      </c>
      <c r="AT114" s="72">
        <f t="shared" si="136"/>
        <v>0</v>
      </c>
      <c r="AU114" s="72"/>
      <c r="AW114" s="72"/>
      <c r="AX114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112,$GB$80:$GV$80,0),MATCH($E$104,$X$7:$X$24,0))</f>
        <v>0</v>
      </c>
      <c r="AY114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112,$GB$80:$GV$80,0),MATCH($E$104,$X$7:$X$24,0))</f>
        <v>0</v>
      </c>
      <c r="AZ114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112,$GB$80:$GV$80,0),MATCH($E$104,$X$7:$X$24,0))</f>
        <v>0</v>
      </c>
      <c r="BD114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112,$GB$80:$GV$80,0),MATCH($E$104,$X$7:$X$24,0)))*$C112</f>
        <v>0</v>
      </c>
      <c r="BE114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112,$GB$80:$GV$80,0),MATCH($E$104,$X$7:$X$24,0)))*$C112</f>
        <v>0</v>
      </c>
      <c r="BF114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112,$GB$80:$GV$80,0),MATCH($E$104,$X$7:$X$24,0)))*$C112</f>
        <v>0</v>
      </c>
      <c r="BJ114" s="72">
        <f t="shared" si="145"/>
        <v>0</v>
      </c>
      <c r="BK114" s="72">
        <f t="shared" si="144"/>
        <v>0</v>
      </c>
      <c r="BL114" s="72">
        <f t="shared" si="143"/>
        <v>0</v>
      </c>
      <c r="BR114" s="64" t="s">
        <v>59</v>
      </c>
      <c r="BS114" s="64" t="s">
        <v>560</v>
      </c>
      <c r="BT114" s="64" t="s">
        <v>561</v>
      </c>
      <c r="BU114" s="64" t="s">
        <v>431</v>
      </c>
      <c r="GX114" s="125" t="s">
        <v>413</v>
      </c>
      <c r="GY114" s="64">
        <v>0</v>
      </c>
      <c r="GZ114" s="64">
        <v>0</v>
      </c>
      <c r="HA114" s="64">
        <v>0</v>
      </c>
      <c r="HB114" s="64">
        <v>0</v>
      </c>
      <c r="HC114" s="64">
        <v>0</v>
      </c>
      <c r="HD114" s="64">
        <v>0</v>
      </c>
      <c r="HE114" s="64">
        <v>0</v>
      </c>
      <c r="HF114" s="64">
        <v>0</v>
      </c>
      <c r="HG114" s="64">
        <v>0</v>
      </c>
      <c r="HH114" s="64">
        <v>0</v>
      </c>
      <c r="HI114" s="64">
        <v>0</v>
      </c>
      <c r="HJ114" s="64">
        <v>0</v>
      </c>
      <c r="HK114" s="64">
        <v>0</v>
      </c>
      <c r="HL114" s="64">
        <v>0</v>
      </c>
      <c r="HM114" s="64">
        <v>0</v>
      </c>
      <c r="HN114" s="64">
        <v>0</v>
      </c>
      <c r="HO114" s="64">
        <v>0</v>
      </c>
      <c r="HP114" s="64">
        <v>0</v>
      </c>
      <c r="HQ114" s="64">
        <v>1</v>
      </c>
      <c r="HR114" s="64">
        <v>0</v>
      </c>
      <c r="HS114" s="64">
        <v>0</v>
      </c>
      <c r="HV114" s="83" t="s">
        <v>412</v>
      </c>
      <c r="HW114" s="64">
        <v>0</v>
      </c>
    </row>
    <row r="115" spans="1:231" x14ac:dyDescent="0.25">
      <c r="A115" s="8"/>
      <c r="B115" s="5" t="s">
        <v>61</v>
      </c>
      <c r="C115" s="8"/>
      <c r="D115" s="44" t="s">
        <v>574</v>
      </c>
      <c r="E115" s="9"/>
      <c r="F115" s="9"/>
      <c r="G115" s="9"/>
      <c r="H115" s="9"/>
      <c r="I115" s="9"/>
      <c r="J115" s="9"/>
      <c r="K115" s="9"/>
      <c r="L115" s="6" t="s">
        <v>315</v>
      </c>
      <c r="M115" s="11">
        <f>INDEX(cenník!$C$2:$I$568,MATCH($L115,cenník!$B$2:$B$557,0),MATCH(M$103,cenník!$C$1:$I$1,0))</f>
        <v>660944</v>
      </c>
      <c r="N115" s="11" t="str">
        <f>INDEX(cenník!$C$2:$I$568,MATCH($L115,cenník!$B$2:$B$557,0),MATCH(N$2,cenník!$C$1:$I$1,0))</f>
        <v>bal</v>
      </c>
      <c r="O115" s="11">
        <f>ROUNDUP((O112+(((SUM(AT101:AT116))*2)))/100,0)</f>
        <v>0</v>
      </c>
      <c r="P115" s="36">
        <f>INDEX(cenník!$C$2:$I$568,MATCH($L115,cenník!$B$2:$B$557,0),MATCH(P$2,cenník!$C$1:$I$1,0))</f>
        <v>8.24</v>
      </c>
      <c r="Q115" s="36">
        <f t="shared" si="146"/>
        <v>0</v>
      </c>
      <c r="R115" s="37">
        <f t="shared" si="139"/>
        <v>0</v>
      </c>
      <c r="S115" s="36">
        <f t="shared" si="140"/>
        <v>8.24</v>
      </c>
      <c r="T115" s="36">
        <f t="shared" si="147"/>
        <v>0</v>
      </c>
      <c r="U115" s="36">
        <f>INDEX(cenník!$C$2:$I$568,MATCH($L115,cenník!$B$2:$B$557,0),MATCH(U$2,cenník!$C$1:$I$1,0))*O115</f>
        <v>0</v>
      </c>
      <c r="X115" s="72"/>
      <c r="AD115" s="72">
        <f t="shared" si="133"/>
        <v>0</v>
      </c>
      <c r="AE115" s="72">
        <f t="shared" si="137"/>
        <v>0</v>
      </c>
      <c r="AF115" s="72">
        <f t="shared" si="138"/>
        <v>0</v>
      </c>
      <c r="AG115" s="72">
        <f t="shared" si="134"/>
        <v>0</v>
      </c>
      <c r="AH115" s="64" t="s">
        <v>390</v>
      </c>
      <c r="AS115" s="72">
        <f t="shared" si="135"/>
        <v>0</v>
      </c>
      <c r="AT115" s="72">
        <f t="shared" si="136"/>
        <v>0</v>
      </c>
      <c r="AU115" s="72"/>
      <c r="AX11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113,$GB$80:$GV$80,0),MATCH($E$104,$X$7:$X$24,0))</f>
        <v>0</v>
      </c>
      <c r="AY11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113,$GB$80:$GV$80,0),MATCH($E$104,$X$7:$X$24,0))</f>
        <v>0</v>
      </c>
      <c r="AZ115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113,$GB$80:$GV$80,0),MATCH($E$104,$X$7:$X$24,0))</f>
        <v>0</v>
      </c>
      <c r="BD11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113,$GB$80:$GV$80,0),MATCH($E$104,$X$7:$X$24,0)))*$C113</f>
        <v>0</v>
      </c>
      <c r="BE11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113,$GB$80:$GV$80,0),MATCH($E$104,$X$7:$X$24,0)))*$C113</f>
        <v>0</v>
      </c>
      <c r="BF115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113,$GB$80:$GV$80,0),MATCH($E$104,$X$7:$X$24,0)))*$C113</f>
        <v>0</v>
      </c>
      <c r="BJ115" s="72">
        <f t="shared" si="145"/>
        <v>0</v>
      </c>
      <c r="BK115" s="72">
        <f t="shared" si="144"/>
        <v>0</v>
      </c>
      <c r="BL115" s="72">
        <f t="shared" si="143"/>
        <v>0</v>
      </c>
      <c r="BR115" s="64" t="s">
        <v>60</v>
      </c>
      <c r="BS115" s="64" t="s">
        <v>560</v>
      </c>
      <c r="BT115" s="64" t="s">
        <v>561</v>
      </c>
      <c r="BU115" s="64" t="s">
        <v>431</v>
      </c>
      <c r="GA115" s="64" t="s">
        <v>198</v>
      </c>
      <c r="HV115" s="83" t="s">
        <v>413</v>
      </c>
      <c r="HW115" s="64">
        <v>0</v>
      </c>
    </row>
    <row r="116" spans="1:231" x14ac:dyDescent="0.25">
      <c r="A116" s="8"/>
      <c r="B116" s="5" t="s">
        <v>61</v>
      </c>
      <c r="C116" s="8"/>
      <c r="D116" s="44" t="s">
        <v>575</v>
      </c>
      <c r="E116" s="9"/>
      <c r="F116" s="9"/>
      <c r="G116" s="9"/>
      <c r="H116" s="9"/>
      <c r="I116" s="9"/>
      <c r="J116" s="9"/>
      <c r="K116" s="9"/>
      <c r="L116" s="6" t="str">
        <f>IF(E105=$Z$2,"SBV250X350",IF(E105=$Z$3,"SBV50X500",IF(E105=$Z$4,"-------",IF(E105=$Z$5,"-------",0))))</f>
        <v>SBV50X500</v>
      </c>
      <c r="M116" s="11">
        <f>INDEX(cenník!$C$2:$I$568,MATCH($L116,cenník!$B$2:$B$557,0),MATCH(M$103,cenník!$C$1:$I$1,0))</f>
        <v>895501</v>
      </c>
      <c r="N116" s="11" t="str">
        <f>INDEX(cenník!$C$2:$I$568,MATCH($L116,cenník!$B$2:$B$557,0),MATCH(N$2,cenník!$C$1:$I$1,0))</f>
        <v>ks</v>
      </c>
      <c r="O116" s="11">
        <f>IF(E105=$Z$2,O107*2,IF(E105=$Z$3,O107,IF(E105=$Z$4,0,IF(E105=$Z$5,0))))</f>
        <v>0</v>
      </c>
      <c r="P116" s="36">
        <f>INDEX(cenník!$C$2:$I$568,MATCH($L116,cenník!$B$2:$B$557,0),MATCH(P$2,cenník!$C$1:$I$1,0))</f>
        <v>0.44</v>
      </c>
      <c r="Q116" s="36">
        <f t="shared" si="146"/>
        <v>0</v>
      </c>
      <c r="R116" s="37">
        <f t="shared" si="139"/>
        <v>0</v>
      </c>
      <c r="S116" s="36">
        <f t="shared" si="140"/>
        <v>0.44</v>
      </c>
      <c r="T116" s="36">
        <f t="shared" si="147"/>
        <v>0</v>
      </c>
      <c r="U116" s="36">
        <f>INDEX(cenník!$C$2:$I$568,MATCH($L116,cenník!$B$2:$B$557,0),MATCH(U$2,cenník!$C$1:$I$1,0))*O116</f>
        <v>0</v>
      </c>
      <c r="AD116" s="72">
        <f t="shared" si="133"/>
        <v>0</v>
      </c>
      <c r="AE116" s="72">
        <f t="shared" si="137"/>
        <v>0</v>
      </c>
      <c r="AF116" s="72">
        <f t="shared" si="138"/>
        <v>0</v>
      </c>
      <c r="AG116" s="72">
        <f>((IF(((INT((((A118*$Z$111)+((A118-1)*20))/$E$110))*$E$110)+600)&gt;=(((A118*$Z$111)+((A118-1)*20))),(INT((((A118*$Z$111)+((A118-1)*20))/$E$110))+1),IF(((INT((((A118*$Z$111)+((A118-1)*20))/$E$110))*$E$110)+600)&lt;(((A118*$Z$111)+((A118-1)*20))),(INT((((A118*$Z$111)+((A118-1)*20))/$E$110))+2),0)))-1)*C118</f>
        <v>0</v>
      </c>
      <c r="AH116" s="64" t="s">
        <v>333</v>
      </c>
      <c r="AI116" s="64">
        <v>1</v>
      </c>
      <c r="AJ116" s="64">
        <v>2</v>
      </c>
      <c r="AK116" s="64">
        <v>3</v>
      </c>
      <c r="AL116" s="64">
        <v>4</v>
      </c>
      <c r="AM116" s="64">
        <v>5</v>
      </c>
      <c r="AS116" s="72">
        <f t="shared" si="135"/>
        <v>0</v>
      </c>
      <c r="AT116" s="72">
        <f t="shared" si="136"/>
        <v>0</v>
      </c>
      <c r="AU116" s="72"/>
      <c r="AX11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114,$GB$80:$GV$80,0),MATCH($E$104,$X$7:$X$24,0))</f>
        <v>0</v>
      </c>
      <c r="AY11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114,$GB$80:$GV$80,0),MATCH($E$104,$X$7:$X$24,0))</f>
        <v>0</v>
      </c>
      <c r="AZ116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114,$GB$80:$GV$80,0),MATCH($E$104,$X$7:$X$24,0))</f>
        <v>0</v>
      </c>
      <c r="BD11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114,$GB$80:$GV$80,0),MATCH($E$104,$X$7:$X$24,0)))*$C114</f>
        <v>0</v>
      </c>
      <c r="BE11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114,$GB$80:$GV$80,0),MATCH($E$104,$X$7:$X$24,0)))*$C114</f>
        <v>0</v>
      </c>
      <c r="BF116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114,$GB$80:$GV$80,0),MATCH($E$104,$X$7:$X$24,0)))*$C114</f>
        <v>0</v>
      </c>
      <c r="BJ116" s="72">
        <f t="shared" si="145"/>
        <v>0</v>
      </c>
      <c r="BK116" s="72">
        <f t="shared" si="144"/>
        <v>0</v>
      </c>
      <c r="BL116" s="72">
        <f t="shared" si="143"/>
        <v>0</v>
      </c>
      <c r="BR116" s="64" t="s">
        <v>199</v>
      </c>
      <c r="BS116" s="64" t="s">
        <v>560</v>
      </c>
      <c r="BT116" s="64" t="s">
        <v>561</v>
      </c>
      <c r="BU116" s="64" t="s">
        <v>431</v>
      </c>
      <c r="GB116" s="64">
        <v>0</v>
      </c>
      <c r="GC116" s="64">
        <v>1</v>
      </c>
      <c r="GD116" s="64">
        <v>2</v>
      </c>
      <c r="GE116" s="64">
        <v>3</v>
      </c>
      <c r="GF116" s="64">
        <v>4</v>
      </c>
      <c r="GG116" s="64">
        <v>5</v>
      </c>
      <c r="GH116" s="64">
        <v>6</v>
      </c>
      <c r="GI116" s="64">
        <v>7</v>
      </c>
      <c r="GJ116" s="64">
        <v>8</v>
      </c>
      <c r="GK116" s="64">
        <v>9</v>
      </c>
      <c r="GL116" s="64">
        <v>10</v>
      </c>
      <c r="GM116" s="64">
        <v>11</v>
      </c>
      <c r="GN116" s="64">
        <v>12</v>
      </c>
      <c r="GO116" s="64">
        <v>13</v>
      </c>
      <c r="GP116" s="64">
        <v>14</v>
      </c>
      <c r="GQ116" s="64">
        <v>15</v>
      </c>
      <c r="GR116" s="64">
        <v>16</v>
      </c>
      <c r="GS116" s="64">
        <v>17</v>
      </c>
      <c r="GT116" s="64">
        <v>18</v>
      </c>
      <c r="GU116" s="64">
        <v>19</v>
      </c>
      <c r="GV116" s="64">
        <v>20</v>
      </c>
      <c r="GX116" s="64" t="s">
        <v>387</v>
      </c>
    </row>
    <row r="117" spans="1:231" x14ac:dyDescent="0.25">
      <c r="A117" s="8"/>
      <c r="B117" s="5" t="s">
        <v>61</v>
      </c>
      <c r="C117" s="8"/>
      <c r="D117" s="9"/>
      <c r="E117" s="9"/>
      <c r="F117" s="9"/>
      <c r="G117" s="9"/>
      <c r="H117" s="9"/>
      <c r="I117" s="9"/>
      <c r="J117" s="9"/>
      <c r="K117" s="9"/>
      <c r="L117" s="6" t="str">
        <f>IF(E105=$Z$2,"PBK50MC",IF(E105=$Z$3,"-------",IF(E105=$Z$4,"SPM2",IF(E105=$Z$5,"SMA40/033",0))))</f>
        <v>-------</v>
      </c>
      <c r="M117" s="11" t="str">
        <f>INDEX(cenník!$C$2:$I$568,MATCH($L117,cenník!$B$2:$B$557,0),MATCH(M$103,cenník!$C$1:$I$1,0))</f>
        <v>-------</v>
      </c>
      <c r="N117" s="11">
        <f>INDEX(cenník!$C$2:$I$568,MATCH($L117,cenník!$B$2:$B$557,0),MATCH(N$2,cenník!$C$1:$I$1,0))</f>
        <v>0</v>
      </c>
      <c r="O117" s="11">
        <f>IF(E105=$Z$2,$O$107*2,IF(E105=$Z$3,0,IF(E105=$Z$4,O107,IF(E105=$Z$5,O107*3,0))))</f>
        <v>0</v>
      </c>
      <c r="P117" s="36">
        <f>INDEX(cenník!$C$2:$I$568,MATCH($L117,cenník!$B$2:$B$557,0),MATCH(P$2,cenník!$C$1:$I$1,0))</f>
        <v>0</v>
      </c>
      <c r="Q117" s="36">
        <f t="shared" si="146"/>
        <v>0</v>
      </c>
      <c r="R117" s="37">
        <f t="shared" si="139"/>
        <v>0</v>
      </c>
      <c r="S117" s="36">
        <f t="shared" si="140"/>
        <v>0</v>
      </c>
      <c r="T117" s="36">
        <f t="shared" si="147"/>
        <v>0</v>
      </c>
      <c r="U117" s="36">
        <f>INDEX(cenník!$C$2:$I$568,MATCH($L117,cenník!$B$2:$B$557,0),MATCH(U$2,cenník!$C$1:$I$1,0))*O117</f>
        <v>0</v>
      </c>
      <c r="AD117" s="72"/>
      <c r="AH117" s="64">
        <v>1</v>
      </c>
      <c r="AI117" s="64">
        <v>2000</v>
      </c>
      <c r="AJ117" s="64">
        <v>2000</v>
      </c>
      <c r="AK117" s="64">
        <v>2000</v>
      </c>
      <c r="AL117" s="64">
        <v>1800</v>
      </c>
      <c r="AM117" s="64" t="s">
        <v>486</v>
      </c>
      <c r="AS117" s="72"/>
      <c r="AU117" s="72"/>
      <c r="AX11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115,$GB$80:$GV$80,0),MATCH($E$104,$X$7:$X$24,0))</f>
        <v>0</v>
      </c>
      <c r="AY11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115,$GB$80:$GV$80,0),MATCH($E$104,$X$7:$X$24,0))</f>
        <v>0</v>
      </c>
      <c r="AZ117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115,$GB$80:$GV$80,0),MATCH($E$104,$X$7:$X$24,0))</f>
        <v>0</v>
      </c>
      <c r="BD11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115,$GB$80:$GV$80,0),MATCH($E$104,$X$7:$X$24,0)))*$C115</f>
        <v>0</v>
      </c>
      <c r="BE11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115,$GB$80:$GV$80,0),MATCH($E$104,$X$7:$X$24,0)))*$C115</f>
        <v>0</v>
      </c>
      <c r="BF117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115,$GB$80:$GV$80,0),MATCH($E$104,$X$7:$X$24,0)))*$C115</f>
        <v>0</v>
      </c>
      <c r="BJ117" s="72">
        <f t="shared" si="145"/>
        <v>0</v>
      </c>
      <c r="BK117" s="72">
        <f t="shared" si="144"/>
        <v>0</v>
      </c>
      <c r="BL117" s="72">
        <f t="shared" si="143"/>
        <v>0</v>
      </c>
      <c r="BR117" s="64" t="s">
        <v>205</v>
      </c>
      <c r="BS117" s="64" t="s">
        <v>560</v>
      </c>
      <c r="BT117" s="64" t="s">
        <v>561</v>
      </c>
      <c r="BU117" s="64" t="s">
        <v>431</v>
      </c>
      <c r="GA117" s="125" t="s">
        <v>411</v>
      </c>
      <c r="GB117" s="64">
        <v>0</v>
      </c>
      <c r="GC117" s="64">
        <v>0</v>
      </c>
      <c r="GD117" s="64">
        <v>0</v>
      </c>
      <c r="GE117" s="64">
        <v>0</v>
      </c>
      <c r="GF117" s="64">
        <v>5</v>
      </c>
      <c r="GG117" s="64">
        <v>5</v>
      </c>
      <c r="GH117" s="64">
        <v>0</v>
      </c>
      <c r="GI117" s="64">
        <v>4</v>
      </c>
      <c r="GJ117" s="64">
        <v>4</v>
      </c>
      <c r="GK117" s="64">
        <v>4</v>
      </c>
      <c r="GL117" s="64">
        <v>4</v>
      </c>
      <c r="GM117" s="64">
        <v>4</v>
      </c>
      <c r="GN117" s="64">
        <v>4</v>
      </c>
      <c r="GO117" s="64">
        <v>4</v>
      </c>
      <c r="GP117" s="64">
        <v>3</v>
      </c>
      <c r="GQ117" s="64">
        <v>3</v>
      </c>
      <c r="GR117" s="64">
        <v>3</v>
      </c>
      <c r="GS117" s="64">
        <v>3</v>
      </c>
      <c r="GT117" s="64">
        <v>3</v>
      </c>
      <c r="GU117" s="64">
        <v>2</v>
      </c>
      <c r="GV117" s="64">
        <v>2</v>
      </c>
      <c r="GY117" s="64">
        <v>0</v>
      </c>
      <c r="GZ117" s="64">
        <v>1</v>
      </c>
      <c r="HA117" s="64">
        <v>2</v>
      </c>
      <c r="HB117" s="64">
        <v>3</v>
      </c>
      <c r="HC117" s="64">
        <v>4</v>
      </c>
      <c r="HD117" s="64">
        <v>5</v>
      </c>
      <c r="HE117" s="64">
        <v>6</v>
      </c>
      <c r="HF117" s="64">
        <v>7</v>
      </c>
      <c r="HG117" s="64">
        <v>8</v>
      </c>
      <c r="HH117" s="64">
        <v>9</v>
      </c>
      <c r="HI117" s="64">
        <v>10</v>
      </c>
      <c r="HJ117" s="64">
        <v>11</v>
      </c>
      <c r="HK117" s="64">
        <v>12</v>
      </c>
      <c r="HL117" s="64">
        <v>13</v>
      </c>
      <c r="HM117" s="64">
        <v>14</v>
      </c>
      <c r="HN117" s="64">
        <v>15</v>
      </c>
      <c r="HO117" s="64">
        <v>16</v>
      </c>
      <c r="HP117" s="64">
        <v>17</v>
      </c>
      <c r="HQ117" s="64">
        <v>18</v>
      </c>
      <c r="HR117" s="64">
        <v>19</v>
      </c>
      <c r="HS117" s="64">
        <v>20</v>
      </c>
    </row>
    <row r="118" spans="1:231" x14ac:dyDescent="0.25">
      <c r="A118" s="8"/>
      <c r="B118" s="5" t="s">
        <v>61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IF(E105=$Z$2,"-------",IF(E105=$Z$3,"-------",IF(E105=$Z$4,"-------",IF(E105=$Z$5,"SMDP6,0X25E",0))))</f>
        <v>-------</v>
      </c>
      <c r="M118" s="11" t="str">
        <f>INDEX(cenník!$C$2:$I$568,MATCH($L118,cenník!$B$2:$B$557,0),MATCH(M$103,cenník!$C$1:$I$1,0))</f>
        <v>-------</v>
      </c>
      <c r="N118" s="11">
        <f>INDEX(cenník!$C$2:$I$568,MATCH($L118,cenník!$B$2:$B$557,0),MATCH(N$2,cenník!$C$1:$I$1,0))</f>
        <v>0</v>
      </c>
      <c r="O118" s="11">
        <f>IF(E105=$Z$5,O117*4,0)</f>
        <v>0</v>
      </c>
      <c r="P118" s="36">
        <f>INDEX(cenník!$C$2:$I$568,MATCH($L118,cenník!$B$2:$B$557,0),MATCH(P$2,cenník!$C$1:$I$1,0))</f>
        <v>0</v>
      </c>
      <c r="Q118" s="36">
        <f t="shared" si="146"/>
        <v>0</v>
      </c>
      <c r="R118" s="37">
        <f t="shared" si="139"/>
        <v>0</v>
      </c>
      <c r="S118" s="36">
        <f t="shared" si="140"/>
        <v>0</v>
      </c>
      <c r="T118" s="36">
        <f t="shared" si="147"/>
        <v>0</v>
      </c>
      <c r="U118" s="36">
        <f>INDEX(cenník!$C$2:$I$568,MATCH($L118,cenník!$B$2:$B$557,0),MATCH(U$2,cenník!$C$1:$I$1,0))*O118</f>
        <v>0</v>
      </c>
      <c r="AH118" s="64">
        <v>2</v>
      </c>
      <c r="AI118" s="64" t="s">
        <v>486</v>
      </c>
      <c r="AJ118" s="64">
        <v>1400</v>
      </c>
      <c r="AK118" s="64">
        <v>1400</v>
      </c>
      <c r="AL118" s="64" t="s">
        <v>486</v>
      </c>
      <c r="AM118" s="64" t="s">
        <v>486</v>
      </c>
      <c r="AS118" s="72"/>
      <c r="AX118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116,$GB$80:$GV$80,0),MATCH($E$104,$X$7:$X$24,0))</f>
        <v>0</v>
      </c>
      <c r="AY118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116,$GB$80:$GV$80,0),MATCH($E$104,$X$7:$X$24,0))</f>
        <v>0</v>
      </c>
      <c r="AZ118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116,$GB$80:$GV$80,0),MATCH($E$104,$X$7:$X$24,0))</f>
        <v>0</v>
      </c>
      <c r="BD118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116,$GB$80:$GV$80,0),MATCH($E$104,$X$7:$X$24,0)))*$C116</f>
        <v>0</v>
      </c>
      <c r="BE118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116,$GB$80:$GV$80,0),MATCH($E$104,$X$7:$X$24,0)))*$C116</f>
        <v>0</v>
      </c>
      <c r="BF118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116,$GB$80:$GV$80,0),MATCH($E$104,$X$7:$X$24,0)))*$C116</f>
        <v>0</v>
      </c>
      <c r="BJ118" s="72">
        <f t="shared" si="145"/>
        <v>0</v>
      </c>
      <c r="BK118" s="72">
        <f t="shared" si="144"/>
        <v>0</v>
      </c>
      <c r="BL118" s="72">
        <f t="shared" si="143"/>
        <v>0</v>
      </c>
      <c r="BR118" s="64" t="s">
        <v>329</v>
      </c>
      <c r="BS118" s="64" t="s">
        <v>430</v>
      </c>
      <c r="BT118" s="64" t="s">
        <v>431</v>
      </c>
      <c r="BU118" s="64" t="s">
        <v>432</v>
      </c>
      <c r="GA118" s="125" t="s">
        <v>412</v>
      </c>
      <c r="GB118" s="64">
        <v>0</v>
      </c>
      <c r="GC118" s="64">
        <v>1</v>
      </c>
      <c r="GD118" s="64">
        <v>1</v>
      </c>
      <c r="GE118" s="64">
        <v>2</v>
      </c>
      <c r="GF118" s="64">
        <v>0</v>
      </c>
      <c r="GG118" s="64">
        <v>1</v>
      </c>
      <c r="GH118" s="64">
        <v>5</v>
      </c>
      <c r="GI118" s="64">
        <v>4</v>
      </c>
      <c r="GJ118" s="64">
        <v>5</v>
      </c>
      <c r="GK118" s="64">
        <v>6</v>
      </c>
      <c r="GL118" s="64">
        <v>7</v>
      </c>
      <c r="GM118" s="64">
        <v>8</v>
      </c>
      <c r="GN118" s="64">
        <v>9</v>
      </c>
      <c r="GO118" s="64">
        <v>10</v>
      </c>
      <c r="GP118" s="64">
        <v>12</v>
      </c>
      <c r="GQ118" s="64">
        <v>13</v>
      </c>
      <c r="GR118" s="64">
        <v>14</v>
      </c>
      <c r="GS118" s="64">
        <v>15</v>
      </c>
      <c r="GT118" s="64">
        <v>16</v>
      </c>
      <c r="GU118" s="64">
        <v>18</v>
      </c>
      <c r="GV118" s="64">
        <v>19</v>
      </c>
      <c r="GX118" s="125" t="s">
        <v>411</v>
      </c>
      <c r="GY118" s="64">
        <v>0</v>
      </c>
      <c r="GZ118" s="64">
        <v>2</v>
      </c>
      <c r="HA118" s="64">
        <v>2</v>
      </c>
      <c r="HB118" s="64">
        <v>0</v>
      </c>
      <c r="HC118" s="64">
        <v>4</v>
      </c>
      <c r="HD118" s="64">
        <v>2</v>
      </c>
      <c r="HE118" s="64">
        <v>0</v>
      </c>
      <c r="HF118" s="64">
        <v>4</v>
      </c>
      <c r="HG118" s="64">
        <v>3</v>
      </c>
      <c r="HH118" s="64">
        <v>1</v>
      </c>
      <c r="HI118" s="64">
        <v>5</v>
      </c>
      <c r="HJ118" s="64">
        <v>3</v>
      </c>
      <c r="HK118" s="64">
        <v>1</v>
      </c>
      <c r="HL118" s="64">
        <v>5</v>
      </c>
      <c r="HM118" s="64">
        <v>3</v>
      </c>
      <c r="HN118" s="64">
        <v>1</v>
      </c>
      <c r="HO118" s="64">
        <v>0</v>
      </c>
      <c r="HP118" s="64">
        <v>3</v>
      </c>
      <c r="HQ118" s="64">
        <v>1</v>
      </c>
      <c r="HR118" s="64">
        <v>0</v>
      </c>
      <c r="HS118" s="64">
        <v>3</v>
      </c>
    </row>
    <row r="119" spans="1:231" x14ac:dyDescent="0.25">
      <c r="A119" s="9"/>
      <c r="B119" s="6"/>
      <c r="C119" s="9"/>
      <c r="D119" s="9"/>
      <c r="E119" s="9"/>
      <c r="F119" s="16" t="str">
        <f>IF(L119="PSRM10X90F","POTREBNÉ OVERIŤ VHODNOSŤ KOTIEV","")</f>
        <v>POTREBNÉ OVERIŤ VHODNOSŤ KOTIEV</v>
      </c>
      <c r="G119" s="9"/>
      <c r="H119" s="9"/>
      <c r="I119" s="9"/>
      <c r="J119" s="9"/>
      <c r="K119" s="9"/>
      <c r="L119" s="6" t="str">
        <f>IF(E105=$Z$2,"-------",IF(E105=$Z$3,"PSRM10X90F",IF(E105=$Z$4,"-------",IF(E105=$Z$5,"SSZ8X30E A2",0))))</f>
        <v>PSRM10X90F</v>
      </c>
      <c r="M119" s="11">
        <f>INDEX(cenník!$C$2:$I$568,MATCH($L119,cenník!$B$2:$B$557,0),MATCH(M$103,cenník!$C$1:$I$1,0))</f>
        <v>650093</v>
      </c>
      <c r="N119" s="11" t="str">
        <f>INDEX(cenník!$C$2:$I$568,MATCH($L119,cenník!$B$2:$B$557,0),MATCH(N$2,cenník!$C$1:$I$1,0))</f>
        <v>ks</v>
      </c>
      <c r="O119" s="11">
        <f>IF(E105=$Z$2,0,IF(E105=$Z$3,O107*4,IF(E105=$Z$4,0,IF(E105=$Z$5,ROUNDUP((O107*3)/100,0),0))))</f>
        <v>0</v>
      </c>
      <c r="P119" s="36">
        <f>INDEX(cenník!$C$2:$I$568,MATCH($L119,cenník!$B$2:$B$557,0),MATCH(P$2,cenník!$C$1:$I$1,0))</f>
        <v>1.53</v>
      </c>
      <c r="Q119" s="36">
        <f t="shared" ref="Q119:Q120" si="148">O119*P119</f>
        <v>0</v>
      </c>
      <c r="R119" s="37">
        <f t="shared" si="139"/>
        <v>0</v>
      </c>
      <c r="S119" s="36">
        <f t="shared" si="140"/>
        <v>1.53</v>
      </c>
      <c r="T119" s="36">
        <f t="shared" ref="T119:T120" si="149">O119*S119</f>
        <v>0</v>
      </c>
      <c r="U119" s="36">
        <f>INDEX(cenník!$C$2:$I$568,MATCH($L119,cenník!$B$2:$B$557,0),MATCH(U$2,cenník!$C$1:$I$1,0))*O119</f>
        <v>0</v>
      </c>
      <c r="AH119" s="64" t="s">
        <v>339</v>
      </c>
      <c r="AI119" s="64">
        <v>1600</v>
      </c>
      <c r="AJ119" s="64" t="s">
        <v>486</v>
      </c>
      <c r="AK119" s="64">
        <v>1300</v>
      </c>
      <c r="AL119" s="64" t="s">
        <v>486</v>
      </c>
      <c r="AM119" s="64">
        <v>1100</v>
      </c>
      <c r="AX119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117,$GB$80:$GV$80,0),MATCH($E$104,$X$7:$X$24,0))</f>
        <v>0</v>
      </c>
      <c r="AY119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117,$GB$80:$GV$80,0),MATCH($E$104,$X$7:$X$24,0))</f>
        <v>0</v>
      </c>
      <c r="AZ119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117,$GB$80:$GV$80,0),MATCH($E$104,$X$7:$X$24,0))</f>
        <v>0</v>
      </c>
      <c r="BD119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117,$GB$80:$GV$80,0),MATCH($E$104,$X$7:$X$24,0)))*$C117</f>
        <v>0</v>
      </c>
      <c r="BE119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117,$GB$80:$GV$80,0),MATCH($E$104,$X$7:$X$24,0)))*$C117</f>
        <v>0</v>
      </c>
      <c r="BF119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117,$GB$80:$GV$80,0),MATCH($E$104,$X$7:$X$24,0)))*$C117</f>
        <v>0</v>
      </c>
      <c r="BJ119" s="72">
        <f t="shared" si="145"/>
        <v>0</v>
      </c>
      <c r="BK119" s="72">
        <f t="shared" si="144"/>
        <v>0</v>
      </c>
      <c r="BL119" s="72">
        <f t="shared" si="143"/>
        <v>0</v>
      </c>
      <c r="BR119" s="64" t="s">
        <v>330</v>
      </c>
      <c r="BS119" s="64" t="s">
        <v>430</v>
      </c>
      <c r="BT119" s="64" t="s">
        <v>431</v>
      </c>
      <c r="BU119" s="64" t="s">
        <v>432</v>
      </c>
      <c r="GA119" s="125" t="s">
        <v>413</v>
      </c>
      <c r="GB119" s="64">
        <v>0</v>
      </c>
      <c r="GC119" s="64">
        <v>0</v>
      </c>
      <c r="GD119" s="64">
        <v>1</v>
      </c>
      <c r="GE119" s="64">
        <v>1</v>
      </c>
      <c r="GF119" s="64">
        <v>0</v>
      </c>
      <c r="GG119" s="64">
        <v>0</v>
      </c>
      <c r="GH119" s="64">
        <v>1</v>
      </c>
      <c r="GI119" s="64">
        <v>0</v>
      </c>
      <c r="GJ119" s="64">
        <v>0</v>
      </c>
      <c r="GK119" s="64">
        <v>0</v>
      </c>
      <c r="GL119" s="64">
        <v>0</v>
      </c>
      <c r="GM119" s="64">
        <v>0</v>
      </c>
      <c r="GN119" s="64">
        <v>0</v>
      </c>
      <c r="GO119" s="64">
        <v>0</v>
      </c>
      <c r="GP119" s="64">
        <v>0</v>
      </c>
      <c r="GQ119" s="64">
        <v>0</v>
      </c>
      <c r="GR119" s="64">
        <v>0</v>
      </c>
      <c r="GS119" s="64">
        <v>0</v>
      </c>
      <c r="GT119" s="64">
        <v>0</v>
      </c>
      <c r="GU119" s="64">
        <v>0</v>
      </c>
      <c r="GV119" s="64">
        <v>0</v>
      </c>
      <c r="GX119" s="125" t="s">
        <v>412</v>
      </c>
      <c r="GY119" s="64">
        <v>0</v>
      </c>
      <c r="GZ119" s="64">
        <v>0</v>
      </c>
      <c r="HA119" s="64">
        <v>1</v>
      </c>
      <c r="HB119" s="64">
        <v>4</v>
      </c>
      <c r="HC119" s="64">
        <v>2</v>
      </c>
      <c r="HD119" s="64">
        <v>5</v>
      </c>
      <c r="HE119" s="64">
        <v>8</v>
      </c>
      <c r="HF119" s="64">
        <v>6</v>
      </c>
      <c r="HG119" s="64">
        <v>8</v>
      </c>
      <c r="HH119" s="64">
        <v>11</v>
      </c>
      <c r="HI119" s="64">
        <v>9</v>
      </c>
      <c r="HJ119" s="64">
        <v>12</v>
      </c>
      <c r="HK119" s="64">
        <v>15</v>
      </c>
      <c r="HL119" s="64">
        <v>13</v>
      </c>
      <c r="HM119" s="64">
        <v>16</v>
      </c>
      <c r="HN119" s="64">
        <v>19</v>
      </c>
      <c r="HO119" s="64">
        <v>21</v>
      </c>
      <c r="HP119" s="64">
        <v>20</v>
      </c>
      <c r="HQ119" s="64">
        <v>23</v>
      </c>
      <c r="HR119" s="64">
        <v>25</v>
      </c>
      <c r="HS119" s="64">
        <v>24</v>
      </c>
    </row>
    <row r="120" spans="1:231" x14ac:dyDescent="0.25">
      <c r="A120" s="9"/>
      <c r="B120" s="9"/>
      <c r="C120" s="9"/>
      <c r="D120" s="9"/>
      <c r="E120" s="9"/>
      <c r="G120" s="9"/>
      <c r="H120" s="9"/>
      <c r="I120" s="9"/>
      <c r="J120" s="9"/>
      <c r="K120" s="9"/>
      <c r="L120" s="6" t="str">
        <f>IF(E105=$Z$2,"-------",IF(E105=$Z$3,"-------",IF(E105=$Z$4,"-------",IF(E105=$Z$5,"NKZM8E A2",0))))</f>
        <v>-------</v>
      </c>
      <c r="M120" s="11" t="str">
        <f>INDEX(cenník!$C$2:$I$568,MATCH($L120,cenník!$B$2:$B$557,0),MATCH(M$103,cenník!$C$1:$I$1,0))</f>
        <v>-------</v>
      </c>
      <c r="N120" s="11">
        <f>INDEX(cenník!$C$2:$I$568,MATCH($L120,cenník!$B$2:$B$557,0),MATCH(N$2,cenník!$C$1:$I$1,0))</f>
        <v>0</v>
      </c>
      <c r="O120" s="11">
        <f>ROUNDUP((IF(L120="NKZM8E A2",O107*3,0))/100,0)</f>
        <v>0</v>
      </c>
      <c r="P120" s="36">
        <f>INDEX(cenník!$C$2:$I$568,MATCH($L120,cenník!$B$2:$B$557,0),MATCH(P$2,cenník!$C$1:$I$1,0))</f>
        <v>0</v>
      </c>
      <c r="Q120" s="36">
        <f t="shared" si="148"/>
        <v>0</v>
      </c>
      <c r="R120" s="37">
        <f t="shared" si="139"/>
        <v>0</v>
      </c>
      <c r="S120" s="36">
        <f t="shared" si="140"/>
        <v>0</v>
      </c>
      <c r="T120" s="36">
        <f t="shared" si="149"/>
        <v>0</v>
      </c>
      <c r="U120" s="36">
        <f>INDEX(cenník!$C$2:$I$568,MATCH($L120,cenník!$B$2:$B$557,0),MATCH(U$2,cenník!$C$1:$I$1,0))*O120</f>
        <v>0</v>
      </c>
      <c r="AX120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118,$GB$80:$GV$80,0),MATCH($E$104,$X$7:$X$24,0))</f>
        <v>0</v>
      </c>
      <c r="AY120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118,$GB$80:$GV$80,0),MATCH($E$104,$X$7:$X$24,0))</f>
        <v>0</v>
      </c>
      <c r="AZ120" s="64">
        <f>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118,$GB$80:$GV$80,0),MATCH($E$104,$X$7:$X$24,0))</f>
        <v>0</v>
      </c>
      <c r="BD120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1,MATCH($A118,$GB$80:$GV$80,0),MATCH($E$104,$X$7:$X$24,0)))*$C118</f>
        <v>0</v>
      </c>
      <c r="BE120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2,MATCH($A118,$GB$80:$GV$80,0),MATCH($E$104,$X$7:$X$24,0)))*$C118</f>
        <v>0</v>
      </c>
      <c r="BF120" s="64">
        <f>(INDEX(($GB$81:$GV$83,$GB$87:$GV$89,$GB$93:$GV$95,$GB$99:$GV$101,$GB$105:$GV$107,$GB$111:$GV$113,$GB$117:$GV$119,$GB$123:$GV$125,$GB$129:$GV$131,$GB$135:$GV$137,$GB$141:$GV$143,$GY$82:$HS$84,$GY$88:$HS$90,$GY$94:$HS$96,$GY$100:$HS$102,$GY$106:$HS$108,$GY$112:$HS$114,$GY$118:$HS$120),3,MATCH($A118,$GB$80:$GV$80,0),MATCH($E$104,$X$7:$X$24,0)))*$C118</f>
        <v>0</v>
      </c>
      <c r="BJ120" s="72">
        <f t="shared" si="145"/>
        <v>0</v>
      </c>
      <c r="BK120" s="72">
        <f t="shared" si="144"/>
        <v>0</v>
      </c>
      <c r="BL120" s="72">
        <f t="shared" si="143"/>
        <v>0</v>
      </c>
      <c r="BR120" s="64" t="s">
        <v>331</v>
      </c>
      <c r="BS120" s="64" t="s">
        <v>430</v>
      </c>
      <c r="BT120" s="64" t="s">
        <v>431</v>
      </c>
      <c r="BU120" s="64" t="s">
        <v>432</v>
      </c>
      <c r="GX120" s="125" t="s">
        <v>413</v>
      </c>
      <c r="GY120" s="64">
        <v>0</v>
      </c>
      <c r="GZ120" s="64">
        <v>0</v>
      </c>
      <c r="HA120" s="64">
        <v>0</v>
      </c>
      <c r="HB120" s="64">
        <v>0</v>
      </c>
      <c r="HC120" s="64">
        <v>0</v>
      </c>
      <c r="HD120" s="64">
        <v>0</v>
      </c>
      <c r="HE120" s="64">
        <v>0</v>
      </c>
      <c r="HF120" s="64">
        <v>0</v>
      </c>
      <c r="HG120" s="64">
        <v>0</v>
      </c>
      <c r="HH120" s="64">
        <v>0</v>
      </c>
      <c r="HI120" s="64">
        <v>0</v>
      </c>
      <c r="HJ120" s="64">
        <v>0</v>
      </c>
      <c r="HK120" s="64">
        <v>0</v>
      </c>
      <c r="HL120" s="64">
        <v>0</v>
      </c>
      <c r="HM120" s="64">
        <v>0</v>
      </c>
      <c r="HN120" s="64">
        <v>0</v>
      </c>
      <c r="HO120" s="64">
        <v>0</v>
      </c>
      <c r="HP120" s="64">
        <v>0</v>
      </c>
      <c r="HQ120" s="64">
        <v>0</v>
      </c>
      <c r="HR120" s="64">
        <v>0</v>
      </c>
      <c r="HS120" s="64">
        <v>0</v>
      </c>
    </row>
    <row r="121" spans="1:231" x14ac:dyDescent="0.25">
      <c r="A121" s="9"/>
      <c r="B121" s="9"/>
      <c r="C121" s="9"/>
      <c r="D121" s="9"/>
      <c r="E121" s="9"/>
      <c r="F121" s="9"/>
      <c r="G121" s="9"/>
      <c r="H121" s="9"/>
      <c r="I121" s="9"/>
      <c r="J121" s="9"/>
      <c r="K121" s="9"/>
      <c r="L121" s="6" t="str">
        <f>IF(E105=$Z$2,"PC100C",IF(E105=$Z$3,"PC100C",IF(E105=$Z$4,"PC100C",IF(E105=$Z$5,"-------",0))))</f>
        <v>PC100C</v>
      </c>
      <c r="M121" s="11">
        <f>INDEX(cenník!$C$2:$I$568,MATCH($L121,cenník!$B$2:$B$557,0),MATCH(M$103,cenník!$C$1:$I$1,0))</f>
        <v>858433</v>
      </c>
      <c r="N121" s="11" t="str">
        <f>INDEX(cenník!$C$2:$I$568,MATCH($L121,cenník!$B$2:$B$557,0),MATCH(N$2,cenník!$C$1:$I$1,0))</f>
        <v>ks</v>
      </c>
      <c r="O121" s="11">
        <f>IF(L121="PC100C",O107*2,0)</f>
        <v>0</v>
      </c>
      <c r="P121" s="36">
        <f>INDEX(cenník!$C$2:$I$568,MATCH($L121,cenník!$B$2:$B$557,0),MATCH(P$2,cenník!$C$1:$I$1,0))</f>
        <v>2.34</v>
      </c>
      <c r="Q121" s="36">
        <f>O121*P121</f>
        <v>0</v>
      </c>
      <c r="R121" s="37">
        <f t="shared" si="139"/>
        <v>0</v>
      </c>
      <c r="S121" s="36">
        <f t="shared" si="140"/>
        <v>2.34</v>
      </c>
      <c r="T121" s="36">
        <f>O121*S121</f>
        <v>0</v>
      </c>
      <c r="U121" s="36">
        <f>INDEX(cenník!$C$2:$I$568,MATCH($L121,cenník!$B$2:$B$557,0),MATCH(U$2,cenník!$C$1:$I$1,0))*O121</f>
        <v>0</v>
      </c>
      <c r="AD121" s="223" t="s">
        <v>393</v>
      </c>
      <c r="AE121" s="223"/>
      <c r="AF121" s="223"/>
      <c r="AH121" s="223" t="s">
        <v>394</v>
      </c>
      <c r="AI121" s="223"/>
      <c r="AJ121" s="223"/>
      <c r="BR121" s="64" t="s">
        <v>350</v>
      </c>
      <c r="BS121" s="64" t="s">
        <v>430</v>
      </c>
      <c r="BT121" s="64" t="s">
        <v>431</v>
      </c>
      <c r="BU121" s="64" t="s">
        <v>432</v>
      </c>
      <c r="GA121" s="64" t="s">
        <v>58</v>
      </c>
    </row>
    <row r="122" spans="1:231" x14ac:dyDescent="0.25">
      <c r="A122" s="9"/>
      <c r="B122" s="9"/>
      <c r="C122" s="9"/>
      <c r="D122" s="9"/>
      <c r="E122" s="9"/>
      <c r="G122" s="9"/>
      <c r="H122" s="9"/>
      <c r="I122" s="9"/>
      <c r="J122" s="9"/>
      <c r="K122" s="9"/>
      <c r="L122" s="6" t="s">
        <v>178</v>
      </c>
      <c r="M122" s="11">
        <f>INDEX(cenník!$C$2:$I$568,MATCH($L122,cenník!$B$2:$B$557,0),MATCH(M$103,cenník!$C$1:$I$1,0))</f>
        <v>651643</v>
      </c>
      <c r="N122" s="11" t="str">
        <f>INDEX(cenník!$C$2:$I$568,MATCH($L122,cenník!$B$2:$B$557,0),MATCH(N$2,cenník!$C$1:$I$1,0))</f>
        <v>100ks</v>
      </c>
      <c r="O122" s="11">
        <f>ROUNDUP((O107*2+O106*8)/100,0)</f>
        <v>0</v>
      </c>
      <c r="P122" s="36">
        <f>INDEX(cenník!$C$2:$I$568,MATCH($L122,cenník!$B$2:$B$557,0),MATCH(P$2,cenník!$C$1:$I$1,0))</f>
        <v>49.87</v>
      </c>
      <c r="Q122" s="36">
        <f>O122*P122</f>
        <v>0</v>
      </c>
      <c r="R122" s="37">
        <f t="shared" si="139"/>
        <v>0</v>
      </c>
      <c r="S122" s="36">
        <f t="shared" si="140"/>
        <v>49.87</v>
      </c>
      <c r="T122" s="36">
        <f>O122*S122</f>
        <v>0</v>
      </c>
      <c r="U122" s="36">
        <f>INDEX(cenník!$C$2:$I$568,MATCH($L122,cenník!$B$2:$B$557,0),MATCH(U$2,cenník!$C$1:$I$1,0))*O122</f>
        <v>0</v>
      </c>
      <c r="W122" s="64">
        <f>IF($E$131=$X$7,$Y$7,IF($E$131=$X$8,$Y$8,IF($E$131=$X$9,$Y$9,IF($E$131=$X$10,$Y$10,IF($E$131=$X$11,$Y$11,IF($E$131=$X$12,$Y$12,IF($E$131=$X$13,$Y$13,IF($E$131=$X$14,$Y$14,IF($E$131=$X$15,$Y$15,IF($E$131=$X$16,$Y$16,IF($E$131=$X$17,$Y$17,IF($E$131=$X$18,$Y$18,IF($E$131=$X$19,$Y$19,IF($E$131=$X$20,$Y$20,IF($E$131=$X$21,$Y$21,IF($E$131=$X$22,$Y$22,IF($E$131=$X$23,$Y$23,IF($E$131=$X$24,$Y$24,0))))))))))))))))))</f>
        <v>1900</v>
      </c>
      <c r="Y122" s="72"/>
      <c r="Z122" s="72" t="s">
        <v>392</v>
      </c>
      <c r="AA122" s="72" t="s">
        <v>391</v>
      </c>
      <c r="AB122" s="72" t="s">
        <v>391</v>
      </c>
      <c r="AD122" s="64" t="s">
        <v>381</v>
      </c>
      <c r="AE122" s="64" t="s">
        <v>380</v>
      </c>
      <c r="AF122" s="64" t="s">
        <v>379</v>
      </c>
      <c r="AH122" s="64" t="s">
        <v>381</v>
      </c>
      <c r="AI122" s="64" t="s">
        <v>380</v>
      </c>
      <c r="AJ122" s="64" t="s">
        <v>379</v>
      </c>
      <c r="GB122" s="64">
        <v>0</v>
      </c>
      <c r="GC122" s="64">
        <v>1</v>
      </c>
      <c r="GD122" s="64">
        <v>2</v>
      </c>
      <c r="GE122" s="64">
        <v>3</v>
      </c>
      <c r="GF122" s="64">
        <v>4</v>
      </c>
      <c r="GG122" s="64">
        <v>5</v>
      </c>
      <c r="GH122" s="64">
        <v>6</v>
      </c>
      <c r="GI122" s="64">
        <v>7</v>
      </c>
      <c r="GJ122" s="64">
        <v>8</v>
      </c>
      <c r="GK122" s="64">
        <v>9</v>
      </c>
      <c r="GL122" s="64">
        <v>10</v>
      </c>
      <c r="GM122" s="64">
        <v>11</v>
      </c>
      <c r="GN122" s="64">
        <v>12</v>
      </c>
      <c r="GO122" s="64">
        <v>13</v>
      </c>
      <c r="GP122" s="64">
        <v>14</v>
      </c>
      <c r="GQ122" s="64">
        <v>15</v>
      </c>
      <c r="GR122" s="64">
        <v>16</v>
      </c>
      <c r="GS122" s="64">
        <v>17</v>
      </c>
      <c r="GT122" s="64">
        <v>18</v>
      </c>
      <c r="GU122" s="64">
        <v>19</v>
      </c>
      <c r="GV122" s="64">
        <v>20</v>
      </c>
    </row>
    <row r="123" spans="1:231" x14ac:dyDescent="0.25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403</v>
      </c>
      <c r="M123" s="11">
        <f>INDEX(cenník!$C$2:$I$568,MATCH($L123,cenník!$B$2:$B$557,0),MATCH(M$103,cenník!$C$1:$I$1,0))</f>
        <v>65114197</v>
      </c>
      <c r="N123" s="11" t="str">
        <f>INDEX(cenník!$C$2:$I$568,MATCH($L123,cenník!$B$2:$B$557,0),MATCH(N$2,cenník!$C$1:$I$1,0))</f>
        <v>100ks</v>
      </c>
      <c r="O123" s="11">
        <f>ROUNDUP((O107*3)/100,0)</f>
        <v>0</v>
      </c>
      <c r="P123" s="36">
        <f>INDEX(cenník!$C$2:$I$568,MATCH($L123,cenník!$B$2:$B$557,0),MATCH(P$2,cenník!$C$1:$I$1,0))</f>
        <v>63.8</v>
      </c>
      <c r="Q123" s="36">
        <f t="shared" ref="Q123:Q124" si="150">O123*P123</f>
        <v>0</v>
      </c>
      <c r="R123" s="37">
        <f t="shared" si="139"/>
        <v>0</v>
      </c>
      <c r="S123" s="36">
        <f t="shared" si="140"/>
        <v>63.8</v>
      </c>
      <c r="T123" s="36">
        <f t="shared" ref="T123:T124" si="151">O123*S123</f>
        <v>0</v>
      </c>
      <c r="U123" s="36">
        <f>INDEX(cenník!$C$2:$I$568,MATCH($L123,cenník!$B$2:$B$557,0),MATCH(U$2,cenník!$C$1:$I$1,0))*O123</f>
        <v>0</v>
      </c>
      <c r="Y123" s="72"/>
      <c r="Z123" s="72">
        <f t="shared" ref="Z123:Z138" si="152">ROUNDUP((((IF(((INT((((A130*$W$122)+((A130-1)*20))/900))*900)+200)&gt;=(((A130*$W$122)+((A130-1)*20))),(INT((((A130*$W$122)+((A130-1)*20))/900))),IF(((INT((((A130*$W$122)+((A130-1)*20))/900))*900)+200)&lt;(((A130*$W$122)+((A130-1)*20))),(INT((((A130*$W$122)+((A130-1)*20))/900))+1),0)))*C130)/2),0)</f>
        <v>0</v>
      </c>
      <c r="AA123" s="72">
        <f t="shared" ref="AA123:AA138" si="153">(IF(((INT(((((A130/2)*$W$122)+(((A130/2)-1)*20))/$E$137))*$E$137)+600)&gt;=((((A130/2)*$W$122)+(((A130/2)-1)*20))),(INT(((((A130/2)*$W$122)+(((A130/2)-1)*20))/$E$137))+1),IF(((INT(((((A130/2)*$W$122)+(((A130/2)-1)*20))/$E$137))*$E$137)+600)&lt;((((A130/2)*$W$122)+(((A130/2)-1)*20))),(INT(((((A130/2)*$W$122)+(((A130/2)-1)*20))/$E$137))+2),0)))*C130</f>
        <v>0</v>
      </c>
      <c r="AB123" s="72">
        <f t="shared" ref="AB123:AB138" si="154">IF(A130&gt;0,AA123,0)</f>
        <v>0</v>
      </c>
      <c r="AD123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103,$HW$4:$IQ$4,0),MATCH($E$104,$X$7:$X$24,0)))*C103</f>
        <v>0</v>
      </c>
      <c r="AE123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103,$HW$4:$IQ$4,0),MATCH($E$104,$X$7:$X$24,0)))*C103</f>
        <v>0</v>
      </c>
      <c r="AF123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103,$HW$4:$IQ$4,0),MATCH($E$104,$X$7:$X$24,0)))*C103</f>
        <v>0</v>
      </c>
      <c r="AH123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130,$IT$4:$JN$4,0),MATCH($E$131,$X$7:$X$24,0))*C130</f>
        <v>0</v>
      </c>
      <c r="AI123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130,$IT$4:$JN$4,0),MATCH($E$131,$X$7:$X$24,0))*C130</f>
        <v>0</v>
      </c>
      <c r="AJ123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130,$IT$4:$JN$4,0),MATCH($E$131,$X$7:$X$24,0))*C130</f>
        <v>0</v>
      </c>
      <c r="GA123" s="125" t="s">
        <v>411</v>
      </c>
      <c r="GB123" s="64">
        <v>0</v>
      </c>
      <c r="GC123" s="64">
        <v>0</v>
      </c>
      <c r="GD123" s="64">
        <v>0</v>
      </c>
      <c r="GE123" s="64">
        <v>0</v>
      </c>
      <c r="GF123" s="64">
        <v>4</v>
      </c>
      <c r="GG123" s="64">
        <v>4</v>
      </c>
      <c r="GH123" s="64">
        <v>4</v>
      </c>
      <c r="GI123" s="64">
        <v>3</v>
      </c>
      <c r="GJ123" s="64">
        <v>3</v>
      </c>
      <c r="GK123" s="64">
        <v>3</v>
      </c>
      <c r="GL123" s="64">
        <v>2</v>
      </c>
      <c r="GM123" s="64">
        <v>2</v>
      </c>
      <c r="GN123" s="64">
        <v>2</v>
      </c>
      <c r="GO123" s="64">
        <v>2</v>
      </c>
      <c r="GP123" s="64">
        <v>1</v>
      </c>
      <c r="GQ123" s="64">
        <v>1</v>
      </c>
      <c r="GR123" s="64">
        <v>0</v>
      </c>
      <c r="GS123" s="64">
        <v>0</v>
      </c>
      <c r="GT123" s="64">
        <v>0</v>
      </c>
      <c r="GU123" s="64">
        <v>0</v>
      </c>
      <c r="GV123" s="64">
        <v>5</v>
      </c>
    </row>
    <row r="124" spans="1:231" x14ac:dyDescent="0.25">
      <c r="A124" s="9"/>
      <c r="B124" s="9"/>
      <c r="C124" s="9"/>
      <c r="D124" s="9"/>
      <c r="E124" s="9"/>
      <c r="F124" s="16" t="str">
        <f>IF(L116="PSRM10X90F","NÁVRH KOTIEV - OVERÍ SA",IF(L116="-------","",""))</f>
        <v/>
      </c>
      <c r="G124" s="9"/>
      <c r="H124" s="9"/>
      <c r="I124" s="9"/>
      <c r="J124" s="9"/>
      <c r="K124" s="9"/>
      <c r="L124" s="6" t="s">
        <v>404</v>
      </c>
      <c r="M124" s="11">
        <f>INDEX(cenník!$C$2:$I$568,MATCH($L124,cenník!$B$2:$B$557,0),MATCH(M$103,cenník!$C$1:$I$1,0))</f>
        <v>6505443</v>
      </c>
      <c r="N124" s="11" t="str">
        <f>INDEX(cenník!$C$2:$I$568,MATCH($L124,cenník!$B$2:$B$557,0),MATCH(N$2,cenník!$C$1:$I$1,0))</f>
        <v>100ks</v>
      </c>
      <c r="O124" s="11">
        <f>O123</f>
        <v>0</v>
      </c>
      <c r="P124" s="36">
        <f>INDEX(cenník!$C$2:$I$568,MATCH($L124,cenník!$B$2:$B$557,0),MATCH(P$2,cenník!$C$1:$I$1,0))</f>
        <v>4.47</v>
      </c>
      <c r="Q124" s="36">
        <f t="shared" si="150"/>
        <v>0</v>
      </c>
      <c r="R124" s="37">
        <f t="shared" si="139"/>
        <v>0</v>
      </c>
      <c r="S124" s="36">
        <f t="shared" si="140"/>
        <v>4.47</v>
      </c>
      <c r="T124" s="36">
        <f t="shared" si="151"/>
        <v>0</v>
      </c>
      <c r="U124" s="36">
        <f>INDEX(cenník!$C$2:$I$568,MATCH($L124,cenník!$B$2:$B$557,0),MATCH(U$2,cenník!$C$1:$I$1,0))*O124</f>
        <v>0</v>
      </c>
      <c r="Y124" s="72"/>
      <c r="Z124" s="72">
        <f t="shared" si="152"/>
        <v>0</v>
      </c>
      <c r="AA124" s="72">
        <f t="shared" si="153"/>
        <v>0</v>
      </c>
      <c r="AB124" s="72">
        <f t="shared" si="154"/>
        <v>0</v>
      </c>
      <c r="AD124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104,$HW$4:$IQ$4,0),MATCH($E$104,$X$7:$X$24,0)))*C104</f>
        <v>0</v>
      </c>
      <c r="AE124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104,$HW$4:$IQ$4,0),MATCH($E$104,$X$7:$X$24,0)))*C104</f>
        <v>0</v>
      </c>
      <c r="AF124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104,$HW$4:$IQ$4,0),MATCH($E$104,$X$7:$X$24,0)))*C104</f>
        <v>0</v>
      </c>
      <c r="AH124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131,$IT$4:$JN$4,0),MATCH($E$131,$X$7:$X$24,0))*C131</f>
        <v>0</v>
      </c>
      <c r="AI124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131,$IT$4:$JN$4,0),MATCH($E$131,$X$7:$X$24,0))*C131</f>
        <v>0</v>
      </c>
      <c r="AJ124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131,$IT$4:$JN$4,0),MATCH($E$131,$X$7:$X$24,0))*C131</f>
        <v>0</v>
      </c>
      <c r="GA124" s="125" t="s">
        <v>412</v>
      </c>
      <c r="GB124" s="64">
        <v>0</v>
      </c>
      <c r="GC124" s="64">
        <v>1</v>
      </c>
      <c r="GD124" s="64">
        <v>1</v>
      </c>
      <c r="GE124" s="64">
        <v>2</v>
      </c>
      <c r="GF124" s="64">
        <v>1</v>
      </c>
      <c r="GG124" s="64">
        <v>2</v>
      </c>
      <c r="GH124" s="64">
        <v>3</v>
      </c>
      <c r="GI124" s="64">
        <v>5</v>
      </c>
      <c r="GJ124" s="64">
        <v>6</v>
      </c>
      <c r="GK124" s="64">
        <v>7</v>
      </c>
      <c r="GL124" s="64">
        <v>9</v>
      </c>
      <c r="GM124" s="64">
        <v>10</v>
      </c>
      <c r="GN124" s="64">
        <v>11</v>
      </c>
      <c r="GO124" s="64">
        <v>12</v>
      </c>
      <c r="GP124" s="64">
        <v>14</v>
      </c>
      <c r="GQ124" s="64">
        <v>15</v>
      </c>
      <c r="GR124" s="64">
        <v>17</v>
      </c>
      <c r="GS124" s="64">
        <v>18</v>
      </c>
      <c r="GT124" s="64">
        <v>19</v>
      </c>
      <c r="GU124" s="64">
        <v>20</v>
      </c>
      <c r="GV124" s="64">
        <v>17</v>
      </c>
    </row>
    <row r="125" spans="1:231" x14ac:dyDescent="0.25">
      <c r="A125" s="9"/>
      <c r="B125" s="9"/>
      <c r="C125" s="9"/>
      <c r="D125" s="9"/>
      <c r="E125" s="9"/>
      <c r="F125" s="16"/>
      <c r="G125" s="9"/>
      <c r="H125" s="9"/>
      <c r="I125" s="9"/>
      <c r="J125" s="9"/>
      <c r="K125" s="9"/>
      <c r="L125" s="6" t="s">
        <v>427</v>
      </c>
      <c r="M125" s="11">
        <f>INDEX(cenník!$C$2:$I$568,MATCH($L125,cenník!$B$2:$B$557,0),MATCH(M$103,cenník!$C$1:$I$1,0))</f>
        <v>6505414</v>
      </c>
      <c r="N125" s="11" t="str">
        <f>INDEX(cenník!$C$2:$I$568,MATCH($L125,cenník!$B$2:$B$557,0),MATCH(N$2,cenník!$C$1:$I$1,0))</f>
        <v>100ks</v>
      </c>
      <c r="O125" s="11">
        <f>ROUNDUP((SUM(AT101:AT116))/100,0)</f>
        <v>0</v>
      </c>
      <c r="P125" s="36">
        <f>INDEX(cenník!$C$2:$I$568,MATCH($L125,cenník!$B$2:$B$557,0),MATCH(P$2,cenník!$C$1:$I$1,0))</f>
        <v>21.06</v>
      </c>
      <c r="Q125" s="36">
        <f t="shared" ref="Q125" si="155">O125*P125</f>
        <v>0</v>
      </c>
      <c r="R125" s="37">
        <f t="shared" si="139"/>
        <v>0</v>
      </c>
      <c r="S125" s="36">
        <f t="shared" ref="S125" si="156">P125*((100-$E$107)/100)</f>
        <v>21.06</v>
      </c>
      <c r="T125" s="36">
        <f t="shared" ref="T125" si="157">O125*S125</f>
        <v>0</v>
      </c>
      <c r="U125" s="36">
        <f>INDEX(cenník!$C$2:$I$568,MATCH($L125,cenník!$B$2:$B$557,0),MATCH(U$2,cenník!$C$1:$I$1,0))*O125</f>
        <v>0</v>
      </c>
      <c r="Y125" s="72"/>
      <c r="Z125" s="72">
        <f t="shared" si="152"/>
        <v>0</v>
      </c>
      <c r="AA125" s="72">
        <f t="shared" si="153"/>
        <v>0</v>
      </c>
      <c r="AB125" s="72">
        <f t="shared" si="154"/>
        <v>0</v>
      </c>
      <c r="AD125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105,$HW$4:$IQ$4,0),MATCH($E$104,$X$7:$X$24,0)))*C105</f>
        <v>0</v>
      </c>
      <c r="AE125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105,$HW$4:$IQ$4,0),MATCH($E$104,$X$7:$X$24,0)))*C105</f>
        <v>0</v>
      </c>
      <c r="AF125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105,$HW$4:$IQ$4,0),MATCH($E$104,$X$7:$X$24,0)))*C105</f>
        <v>0</v>
      </c>
      <c r="AH125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132,$IT$4:$JN$4,0),MATCH($E$131,$X$7:$X$24,0))*C132</f>
        <v>0</v>
      </c>
      <c r="AI125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132,$IT$4:$JN$4,0),MATCH($E$131,$X$7:$X$24,0))*C132</f>
        <v>0</v>
      </c>
      <c r="AJ125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132,$IT$4:$JN$4,0),MATCH($E$131,$X$7:$X$24,0))*C132</f>
        <v>0</v>
      </c>
      <c r="GA125" s="125" t="s">
        <v>413</v>
      </c>
      <c r="GB125" s="64">
        <v>0</v>
      </c>
      <c r="GC125" s="64">
        <v>0</v>
      </c>
      <c r="GD125" s="64">
        <v>1</v>
      </c>
      <c r="GE125" s="64">
        <v>1</v>
      </c>
      <c r="GF125" s="64">
        <v>0</v>
      </c>
      <c r="GG125" s="64">
        <v>0</v>
      </c>
      <c r="GH125" s="64">
        <v>0</v>
      </c>
      <c r="GI125" s="64">
        <v>0</v>
      </c>
      <c r="GJ125" s="64">
        <v>0</v>
      </c>
      <c r="GK125" s="64">
        <v>0</v>
      </c>
      <c r="GL125" s="64">
        <v>0</v>
      </c>
      <c r="GM125" s="64">
        <v>0</v>
      </c>
      <c r="GN125" s="64">
        <v>0</v>
      </c>
      <c r="GO125" s="64">
        <v>0</v>
      </c>
      <c r="GP125" s="64">
        <v>0</v>
      </c>
      <c r="GQ125" s="64">
        <v>0</v>
      </c>
      <c r="GR125" s="64">
        <v>0</v>
      </c>
      <c r="GS125" s="64">
        <v>0</v>
      </c>
      <c r="GT125" s="64">
        <v>0</v>
      </c>
      <c r="GU125" s="64">
        <v>0</v>
      </c>
      <c r="GV125" s="64">
        <v>0</v>
      </c>
    </row>
    <row r="126" spans="1:231" x14ac:dyDescent="0.25">
      <c r="A126" s="9"/>
      <c r="B126" s="9"/>
      <c r="C126" s="9"/>
      <c r="D126" s="9"/>
      <c r="E126" s="9"/>
      <c r="F126" s="16"/>
      <c r="G126" s="9"/>
      <c r="H126" s="9"/>
      <c r="I126" s="9"/>
      <c r="J126" s="9"/>
      <c r="K126" s="9"/>
      <c r="L126" s="6"/>
      <c r="M126" s="11"/>
      <c r="N126" s="11"/>
      <c r="O126" s="11"/>
      <c r="P126" s="36"/>
      <c r="Q126" s="36"/>
      <c r="R126" s="37"/>
      <c r="S126" s="36"/>
      <c r="T126" s="36">
        <f>SUM(T104:T125)</f>
        <v>0</v>
      </c>
      <c r="U126" s="36">
        <f>SUM(U104:U125)</f>
        <v>0</v>
      </c>
      <c r="Y126" s="72"/>
      <c r="Z126" s="72">
        <f t="shared" si="152"/>
        <v>0</v>
      </c>
      <c r="AA126" s="72">
        <f t="shared" si="153"/>
        <v>0</v>
      </c>
      <c r="AB126" s="72">
        <f t="shared" si="154"/>
        <v>0</v>
      </c>
      <c r="AD126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106,$HW$4:$IQ$4,0),MATCH($E$104,$X$7:$X$24,0)))*C106</f>
        <v>0</v>
      </c>
      <c r="AE126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106,$HW$4:$IQ$4,0),MATCH($E$104,$X$7:$X$24,0)))*C106</f>
        <v>0</v>
      </c>
      <c r="AF126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106,$HW$4:$IQ$4,0),MATCH($E$104,$X$7:$X$24,0)))*C106</f>
        <v>0</v>
      </c>
      <c r="AH126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133,$IT$4:$JN$4,0),MATCH($E$131,$X$7:$X$24,0))*C133</f>
        <v>0</v>
      </c>
      <c r="AI126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133,$IT$4:$JN$4,0),MATCH($E$131,$X$7:$X$24,0))*C133</f>
        <v>0</v>
      </c>
      <c r="AJ126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133,$IT$4:$JN$4,0),MATCH($E$131,$X$7:$X$24,0))*C133</f>
        <v>0</v>
      </c>
    </row>
    <row r="127" spans="1:231" x14ac:dyDescent="0.25">
      <c r="A127" s="9"/>
      <c r="B127" s="9"/>
      <c r="C127" s="9"/>
      <c r="D127" s="9"/>
      <c r="E127" s="9"/>
      <c r="F127" s="16"/>
      <c r="G127" s="9"/>
      <c r="H127" s="9"/>
      <c r="I127" s="9"/>
      <c r="J127" s="9"/>
      <c r="K127" s="9"/>
      <c r="L127" s="9"/>
      <c r="M127" s="9"/>
      <c r="N127" s="9"/>
      <c r="O127" s="9"/>
      <c r="P127" s="9"/>
      <c r="Q127" s="9"/>
      <c r="R127" s="9"/>
      <c r="S127" s="9"/>
      <c r="U127" s="36"/>
      <c r="Y127" s="72"/>
      <c r="Z127" s="72">
        <f t="shared" si="152"/>
        <v>0</v>
      </c>
      <c r="AA127" s="72">
        <f t="shared" si="153"/>
        <v>0</v>
      </c>
      <c r="AB127" s="72">
        <f t="shared" si="154"/>
        <v>0</v>
      </c>
      <c r="AD127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107,$HW$4:$IQ$4,0),MATCH($E$104,$X$7:$X$24,0)))*C107</f>
        <v>0</v>
      </c>
      <c r="AE127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107,$HW$4:$IQ$4,0),MATCH($E$104,$X$7:$X$24,0)))*C107</f>
        <v>0</v>
      </c>
      <c r="AF127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107,$HW$4:$IQ$4,0),MATCH($E$104,$X$7:$X$24,0)))*C107</f>
        <v>0</v>
      </c>
      <c r="AH127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134,$IT$4:$JN$4,0),MATCH($E$131,$X$7:$X$24,0))*C134</f>
        <v>0</v>
      </c>
      <c r="AI127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134,$IT$4:$JN$4,0),MATCH($E$131,$X$7:$X$24,0))*C134</f>
        <v>0</v>
      </c>
      <c r="AJ127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134,$IT$4:$JN$4,0),MATCH($E$131,$X$7:$X$24,0))*C134</f>
        <v>0</v>
      </c>
      <c r="GA127" s="64" t="s">
        <v>71</v>
      </c>
      <c r="GB127" s="72"/>
      <c r="GC127" s="72"/>
      <c r="GD127" s="72"/>
      <c r="GE127" s="72"/>
      <c r="GF127" s="72"/>
      <c r="GG127" s="72"/>
      <c r="GH127" s="72"/>
      <c r="GI127" s="72"/>
      <c r="GJ127" s="72"/>
      <c r="GK127" s="72"/>
      <c r="GL127" s="72"/>
      <c r="GM127" s="72"/>
      <c r="GN127" s="72"/>
      <c r="GO127" s="72"/>
      <c r="GP127" s="72"/>
      <c r="GQ127" s="72"/>
      <c r="GR127" s="72"/>
      <c r="GS127" s="72"/>
      <c r="GT127" s="72"/>
      <c r="GU127" s="72"/>
      <c r="GV127" s="72"/>
    </row>
    <row r="128" spans="1:231" x14ac:dyDescent="0.25">
      <c r="A128" s="9"/>
      <c r="B128" s="9"/>
      <c r="C128" s="9"/>
      <c r="D128" s="9"/>
      <c r="E128" s="9"/>
      <c r="F128" s="16"/>
      <c r="G128" s="9"/>
      <c r="H128" s="9"/>
      <c r="I128" s="9"/>
      <c r="J128" s="9"/>
      <c r="K128" s="9"/>
      <c r="L128" s="9"/>
      <c r="M128" s="9"/>
      <c r="N128" s="9"/>
      <c r="O128" s="9"/>
      <c r="P128" s="9"/>
      <c r="Q128" s="9"/>
      <c r="R128" s="9"/>
      <c r="S128" s="9"/>
      <c r="T128" s="36"/>
      <c r="U128" s="36"/>
      <c r="Y128" s="72"/>
      <c r="Z128" s="72">
        <f t="shared" si="152"/>
        <v>0</v>
      </c>
      <c r="AA128" s="72">
        <f t="shared" si="153"/>
        <v>0</v>
      </c>
      <c r="AB128" s="72">
        <f t="shared" si="154"/>
        <v>0</v>
      </c>
      <c r="AD128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108,$HW$4:$IQ$4,0),MATCH($E$104,$X$7:$X$24,0)))*C108</f>
        <v>0</v>
      </c>
      <c r="AE128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108,$HW$4:$IQ$4,0),MATCH($E$104,$X$7:$X$24,0)))*C108</f>
        <v>0</v>
      </c>
      <c r="AF128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108,$HW$4:$IQ$4,0),MATCH($E$104,$X$7:$X$24,0)))*C108</f>
        <v>0</v>
      </c>
      <c r="AH128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135,$IT$4:$JN$4,0),MATCH($E$131,$X$7:$X$24,0))*C135</f>
        <v>0</v>
      </c>
      <c r="AI128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135,$IT$4:$JN$4,0),MATCH($E$131,$X$7:$X$24,0))*C135</f>
        <v>0</v>
      </c>
      <c r="AJ128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135,$IT$4:$JN$4,0),MATCH($E$131,$X$7:$X$24,0))*C135</f>
        <v>0</v>
      </c>
      <c r="GB128" s="64">
        <v>0</v>
      </c>
      <c r="GC128" s="64">
        <v>1</v>
      </c>
      <c r="GD128" s="64">
        <v>2</v>
      </c>
      <c r="GE128" s="64">
        <v>3</v>
      </c>
      <c r="GF128" s="64">
        <v>4</v>
      </c>
      <c r="GG128" s="64">
        <v>5</v>
      </c>
      <c r="GH128" s="64">
        <v>6</v>
      </c>
      <c r="GI128" s="64">
        <v>7</v>
      </c>
      <c r="GJ128" s="64">
        <v>8</v>
      </c>
      <c r="GK128" s="64">
        <v>9</v>
      </c>
      <c r="GL128" s="64">
        <v>10</v>
      </c>
      <c r="GM128" s="64">
        <v>11</v>
      </c>
      <c r="GN128" s="64">
        <v>12</v>
      </c>
      <c r="GO128" s="64">
        <v>13</v>
      </c>
      <c r="GP128" s="64">
        <v>14</v>
      </c>
      <c r="GQ128" s="64">
        <v>15</v>
      </c>
      <c r="GR128" s="64">
        <v>16</v>
      </c>
      <c r="GS128" s="64">
        <v>17</v>
      </c>
      <c r="GT128" s="64">
        <v>18</v>
      </c>
      <c r="GU128" s="64">
        <v>19</v>
      </c>
      <c r="GV128" s="64">
        <v>20</v>
      </c>
    </row>
    <row r="129" spans="1:204" ht="39" x14ac:dyDescent="0.25">
      <c r="A129" s="3" t="s">
        <v>553</v>
      </c>
      <c r="B129" s="3"/>
      <c r="C129" s="3" t="s">
        <v>550</v>
      </c>
      <c r="D129" s="9"/>
      <c r="E129" s="9"/>
      <c r="F129" s="9"/>
      <c r="G129" s="9"/>
      <c r="H129" s="9"/>
      <c r="I129" s="9"/>
      <c r="J129" s="9"/>
      <c r="K129" s="9"/>
      <c r="L129" s="221" t="str">
        <f>IF(E132=$Z$2,"KONŠTRUKCIA DP-DTHBN-VÝCHOD/ZÁPAD",IF(E132=$Z$3,"KONŠTRUKCIA DP-DTHKN-VÝCHOD/ZÁPAD",IF(E132=$Z$4,"KONŠTRUKCIA DP-DTHWN-VÝCHOD/ZÁPAD",IF(E132=$Z$5,"KONŠTRUKCIA DP-DTHKSN-VÝCHOD/ZÁPAD"))))</f>
        <v>KONŠTRUKCIA DP-DTHKN-VÝCHOD/ZÁPAD</v>
      </c>
      <c r="M129" s="221"/>
      <c r="N129" s="221"/>
      <c r="O129" s="221"/>
      <c r="P129" s="221"/>
      <c r="Q129" s="221"/>
      <c r="R129" s="221"/>
      <c r="S129" s="221"/>
      <c r="T129" s="221"/>
      <c r="U129" s="221"/>
      <c r="Y129" s="72"/>
      <c r="Z129" s="72">
        <f t="shared" si="152"/>
        <v>0</v>
      </c>
      <c r="AA129" s="72">
        <f t="shared" si="153"/>
        <v>0</v>
      </c>
      <c r="AB129" s="72">
        <f t="shared" si="154"/>
        <v>0</v>
      </c>
      <c r="AD129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109,$HW$4:$IQ$4,0),MATCH($E$104,$X$7:$X$24,0)))*C109</f>
        <v>0</v>
      </c>
      <c r="AE129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109,$HW$4:$IQ$4,0),MATCH($E$104,$X$7:$X$24,0)))*C109</f>
        <v>0</v>
      </c>
      <c r="AF129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109,$HW$4:$IQ$4,0),MATCH($E$104,$X$7:$X$24,0)))*C109</f>
        <v>0</v>
      </c>
      <c r="AH129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136,$IT$4:$JN$4,0),MATCH($E$131,$X$7:$X$24,0))*C136</f>
        <v>0</v>
      </c>
      <c r="AI129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136,$IT$4:$JN$4,0),MATCH($E$131,$X$7:$X$24,0))*C136</f>
        <v>0</v>
      </c>
      <c r="AJ129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136,$IT$4:$JN$4,0),MATCH($E$131,$X$7:$X$24,0))*C136</f>
        <v>0</v>
      </c>
      <c r="GA129" s="125" t="s">
        <v>411</v>
      </c>
      <c r="GB129" s="64">
        <v>0</v>
      </c>
      <c r="GC129" s="72">
        <v>0</v>
      </c>
      <c r="GD129" s="64">
        <v>0</v>
      </c>
      <c r="GE129" s="64">
        <v>4</v>
      </c>
      <c r="GF129" s="64">
        <v>4</v>
      </c>
      <c r="GG129" s="64">
        <v>3</v>
      </c>
      <c r="GH129" s="64">
        <v>3</v>
      </c>
      <c r="GI129" s="64">
        <v>2</v>
      </c>
      <c r="GJ129" s="64">
        <v>2</v>
      </c>
      <c r="GK129" s="64">
        <v>1</v>
      </c>
      <c r="GL129" s="64">
        <v>1</v>
      </c>
      <c r="GM129" s="64">
        <v>0</v>
      </c>
      <c r="GN129" s="64">
        <v>0</v>
      </c>
      <c r="GO129" s="64">
        <v>5</v>
      </c>
      <c r="GP129" s="64">
        <v>5</v>
      </c>
      <c r="GQ129" s="64">
        <v>4</v>
      </c>
      <c r="GR129" s="64">
        <v>4</v>
      </c>
      <c r="GS129" s="64">
        <v>3</v>
      </c>
      <c r="GT129" s="64">
        <v>3</v>
      </c>
      <c r="GU129" s="64">
        <v>2</v>
      </c>
      <c r="GV129" s="64">
        <v>2</v>
      </c>
    </row>
    <row r="130" spans="1:204" x14ac:dyDescent="0.25">
      <c r="A130" s="8"/>
      <c r="B130" s="5" t="s">
        <v>61</v>
      </c>
      <c r="C130" s="8"/>
      <c r="D130" s="9"/>
      <c r="E130" s="9"/>
      <c r="F130" s="9"/>
      <c r="H130" s="9"/>
      <c r="I130" s="9"/>
      <c r="J130" s="9"/>
      <c r="K130" s="9"/>
      <c r="L130" s="5" t="s">
        <v>53</v>
      </c>
      <c r="M130" s="5" t="s">
        <v>559</v>
      </c>
      <c r="N130" s="5" t="s">
        <v>436</v>
      </c>
      <c r="O130" s="5" t="s">
        <v>442</v>
      </c>
      <c r="P130" s="5" t="s">
        <v>443</v>
      </c>
      <c r="Q130" s="5" t="s">
        <v>444</v>
      </c>
      <c r="R130" s="5" t="s">
        <v>445</v>
      </c>
      <c r="S130" s="5" t="s">
        <v>446</v>
      </c>
      <c r="T130" s="5" t="s">
        <v>447</v>
      </c>
      <c r="U130" s="5" t="s">
        <v>438</v>
      </c>
      <c r="Y130" s="72"/>
      <c r="Z130" s="72">
        <f t="shared" si="152"/>
        <v>0</v>
      </c>
      <c r="AA130" s="72">
        <f t="shared" si="153"/>
        <v>0</v>
      </c>
      <c r="AB130" s="72">
        <f t="shared" si="154"/>
        <v>0</v>
      </c>
      <c r="AD130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110,$HW$4:$IQ$4,0),MATCH($E$104,$X$7:$X$24,0)))*C110</f>
        <v>0</v>
      </c>
      <c r="AE130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110,$HW$4:$IQ$4,0),MATCH($E$104,$X$7:$X$24,0)))*C110</f>
        <v>0</v>
      </c>
      <c r="AF130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110,$HW$4:$IQ$4,0),MATCH($E$104,$X$7:$X$24,0)))*C110</f>
        <v>0</v>
      </c>
      <c r="AH130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137,$IT$4:$JN$4,0),MATCH($E$131,$X$7:$X$24,0))*C137</f>
        <v>0</v>
      </c>
      <c r="AI130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137,$IT$4:$JN$4,0),MATCH($E$131,$X$7:$X$24,0))*C137</f>
        <v>0</v>
      </c>
      <c r="AJ130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137,$IT$4:$JN$4,0),MATCH($E$131,$X$7:$X$24,0))*C137</f>
        <v>0</v>
      </c>
      <c r="GA130" s="125" t="s">
        <v>412</v>
      </c>
      <c r="GB130" s="64">
        <v>0</v>
      </c>
      <c r="GC130" s="72">
        <v>1</v>
      </c>
      <c r="GD130" s="64">
        <v>1</v>
      </c>
      <c r="GE130" s="64">
        <v>0</v>
      </c>
      <c r="GF130" s="64">
        <v>1</v>
      </c>
      <c r="GG130" s="64">
        <v>3</v>
      </c>
      <c r="GH130" s="64">
        <v>4</v>
      </c>
      <c r="GI130" s="64">
        <v>6</v>
      </c>
      <c r="GJ130" s="64">
        <v>7</v>
      </c>
      <c r="GK130" s="64">
        <v>9</v>
      </c>
      <c r="GL130" s="64">
        <v>10</v>
      </c>
      <c r="GM130" s="64">
        <v>12</v>
      </c>
      <c r="GN130" s="64">
        <v>13</v>
      </c>
      <c r="GO130" s="64">
        <v>10</v>
      </c>
      <c r="GP130" s="64">
        <v>11</v>
      </c>
      <c r="GQ130" s="64">
        <v>13</v>
      </c>
      <c r="GR130" s="64">
        <v>14</v>
      </c>
      <c r="GS130" s="64">
        <v>16</v>
      </c>
      <c r="GT130" s="64">
        <v>17</v>
      </c>
      <c r="GU130" s="64">
        <v>19</v>
      </c>
      <c r="GV130" s="64">
        <v>20</v>
      </c>
    </row>
    <row r="131" spans="1:204" x14ac:dyDescent="0.25">
      <c r="A131" s="8"/>
      <c r="B131" s="5" t="s">
        <v>61</v>
      </c>
      <c r="C131" s="8"/>
      <c r="D131" s="6" t="s">
        <v>452</v>
      </c>
      <c r="E131" s="8" t="s">
        <v>196</v>
      </c>
      <c r="F131" s="5" t="s">
        <v>61</v>
      </c>
      <c r="G131" s="8" t="s">
        <v>205</v>
      </c>
      <c r="H131" s="5" t="s">
        <v>61</v>
      </c>
      <c r="I131" s="8">
        <v>30</v>
      </c>
      <c r="J131" s="5" t="s">
        <v>62</v>
      </c>
      <c r="K131" s="9"/>
      <c r="L131" s="6" t="s">
        <v>379</v>
      </c>
      <c r="M131" s="11">
        <f>INDEX(cenník!$C$2:$I$568,MATCH($L131,cenník!$B$2:$B$557,0),MATCH(M$103,cenník!$C$1:$I$1,0))</f>
        <v>895333</v>
      </c>
      <c r="N131" s="11" t="str">
        <f>INDEX(cenník!$C$2:$I$568,MATCH($L131,cenník!$B$2:$B$557,0),MATCH(N$2,cenník!$C$1:$I$1,0))</f>
        <v>ks</v>
      </c>
      <c r="O131" s="11">
        <f>SUM(AJ123:AJ138)</f>
        <v>0</v>
      </c>
      <c r="P131" s="36">
        <f>INDEX(cenník!$C$2:$I$568,MATCH($L131,cenník!$B$2:$B$557,0),MATCH(P$2,cenník!$C$1:$I$1,0))</f>
        <v>29.56</v>
      </c>
      <c r="Q131" s="36">
        <f>O131*P131</f>
        <v>0</v>
      </c>
      <c r="R131" s="37">
        <f t="shared" ref="R131:R138" si="158">$E$134</f>
        <v>0</v>
      </c>
      <c r="S131" s="36">
        <f>P131*((100-$E$134)/100)</f>
        <v>29.56</v>
      </c>
      <c r="T131" s="36">
        <f>O131*S131</f>
        <v>0</v>
      </c>
      <c r="U131" s="36">
        <f>INDEX(cenník!$C$2:$I$568,MATCH($L131,cenník!$B$2:$B$557,0),MATCH(U$2,cenník!$C$1:$I$1,0))*O131</f>
        <v>0</v>
      </c>
      <c r="Y131" s="72"/>
      <c r="Z131" s="72">
        <f t="shared" si="152"/>
        <v>0</v>
      </c>
      <c r="AA131" s="72">
        <f t="shared" si="153"/>
        <v>0</v>
      </c>
      <c r="AB131" s="72">
        <f t="shared" si="154"/>
        <v>0</v>
      </c>
      <c r="AD131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111,$HW$4:$IQ$4,0),MATCH($E$104,$X$7:$X$24,0)))*C111</f>
        <v>0</v>
      </c>
      <c r="AE131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111,$HW$4:$IQ$4,0),MATCH($E$104,$X$7:$X$24,0)))*C111</f>
        <v>0</v>
      </c>
      <c r="AF131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111,$HW$4:$IQ$4,0),MATCH($E$104,$X$7:$X$24,0)))*C111</f>
        <v>0</v>
      </c>
      <c r="AH131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138,$IT$4:$JN$4,0),MATCH($E$131,$X$7:$X$24,0))*C138</f>
        <v>0</v>
      </c>
      <c r="AI131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138,$IT$4:$JN$4,0),MATCH($E$131,$X$7:$X$24,0))*C138</f>
        <v>0</v>
      </c>
      <c r="AJ131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138,$IT$4:$JN$4,0),MATCH($E$131,$X$7:$X$24,0))*C138</f>
        <v>0</v>
      </c>
      <c r="GA131" s="125" t="s">
        <v>413</v>
      </c>
      <c r="GB131" s="64">
        <v>0</v>
      </c>
      <c r="GC131" s="72">
        <v>0</v>
      </c>
      <c r="GD131" s="64">
        <v>1</v>
      </c>
      <c r="GE131" s="64">
        <v>0</v>
      </c>
      <c r="GF131" s="64">
        <v>0</v>
      </c>
      <c r="GG131" s="64">
        <v>0</v>
      </c>
      <c r="GH131" s="64">
        <v>0</v>
      </c>
      <c r="GI131" s="64">
        <v>0</v>
      </c>
      <c r="GJ131" s="64">
        <v>0</v>
      </c>
      <c r="GK131" s="64">
        <v>0</v>
      </c>
      <c r="GL131" s="64">
        <v>0</v>
      </c>
      <c r="GM131" s="64">
        <v>0</v>
      </c>
      <c r="GN131" s="64">
        <v>0</v>
      </c>
      <c r="GO131" s="64">
        <v>0</v>
      </c>
      <c r="GP131" s="64">
        <v>0</v>
      </c>
      <c r="GQ131" s="64">
        <v>0</v>
      </c>
      <c r="GR131" s="64">
        <v>0</v>
      </c>
      <c r="GS131" s="64">
        <v>0</v>
      </c>
      <c r="GT131" s="64">
        <v>0</v>
      </c>
      <c r="GU131" s="64">
        <v>0</v>
      </c>
      <c r="GV131" s="64">
        <v>0</v>
      </c>
    </row>
    <row r="132" spans="1:204" x14ac:dyDescent="0.25">
      <c r="A132" s="8"/>
      <c r="B132" s="5" t="s">
        <v>61</v>
      </c>
      <c r="C132" s="8"/>
      <c r="D132" s="6" t="s">
        <v>475</v>
      </c>
      <c r="E132" s="8" t="s">
        <v>483</v>
      </c>
      <c r="F132" s="224" t="str">
        <f>IF(E132=$Z$2,"hodnota záťaže je určená konštruktorom","")</f>
        <v/>
      </c>
      <c r="G132" s="224"/>
      <c r="H132" s="224"/>
      <c r="I132" s="224"/>
      <c r="J132" s="5" t="s">
        <v>62</v>
      </c>
      <c r="K132" s="9"/>
      <c r="L132" s="6" t="s">
        <v>380</v>
      </c>
      <c r="M132" s="11">
        <f>INDEX(cenník!$C$2:$I$568,MATCH($L132,cenník!$B$2:$B$557,0),MATCH(M$103,cenník!$C$1:$I$1,0))</f>
        <v>895322</v>
      </c>
      <c r="N132" s="11" t="str">
        <f>INDEX(cenník!$C$2:$I$568,MATCH($L132,cenník!$B$2:$B$557,0),MATCH(N$2,cenník!$C$1:$I$1,0))</f>
        <v>ks</v>
      </c>
      <c r="O132" s="11">
        <f>SUM(AI123:AI138)</f>
        <v>0</v>
      </c>
      <c r="P132" s="36">
        <f>INDEX(cenník!$C$2:$I$568,MATCH($L132,cenník!$B$2:$B$557,0),MATCH(P$2,cenník!$C$1:$I$1,0))</f>
        <v>19.71</v>
      </c>
      <c r="Q132" s="36">
        <f t="shared" ref="Q132:Q138" si="159">O132*P132</f>
        <v>0</v>
      </c>
      <c r="R132" s="37">
        <f t="shared" si="158"/>
        <v>0</v>
      </c>
      <c r="S132" s="36">
        <f t="shared" ref="S132:S153" si="160">P132*((100-$E$134)/100)</f>
        <v>19.71</v>
      </c>
      <c r="T132" s="36">
        <f>O132*S132</f>
        <v>0</v>
      </c>
      <c r="U132" s="36">
        <f>INDEX(cenník!$C$2:$I$568,MATCH($L132,cenník!$B$2:$B$557,0),MATCH(U$2,cenník!$C$1:$I$1,0))*O132</f>
        <v>0</v>
      </c>
      <c r="Y132" s="72"/>
      <c r="Z132" s="72">
        <f t="shared" si="152"/>
        <v>0</v>
      </c>
      <c r="AA132" s="72">
        <f t="shared" si="153"/>
        <v>0</v>
      </c>
      <c r="AB132" s="72">
        <f t="shared" si="154"/>
        <v>0</v>
      </c>
      <c r="AD132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112,$HW$4:$IQ$4,0),MATCH($E$104,$X$7:$X$24,0)))*C112</f>
        <v>0</v>
      </c>
      <c r="AE132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112,$HW$4:$IQ$4,0),MATCH($E$104,$X$7:$X$24,0)))*C112</f>
        <v>0</v>
      </c>
      <c r="AF132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112,$HW$4:$IQ$4,0),MATCH($E$104,$X$7:$X$24,0)))*C112</f>
        <v>0</v>
      </c>
      <c r="AH132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139,$IT$4:$JN$4,0),MATCH($E$131,$X$7:$X$24,0))*C139</f>
        <v>0</v>
      </c>
      <c r="AI132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139,$IT$4:$JN$4,0),MATCH($E$131,$X$7:$X$24,0))*C139</f>
        <v>0</v>
      </c>
      <c r="AJ132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139,$IT$4:$JN$4,0),MATCH($E$131,$X$7:$X$24,0))*C139</f>
        <v>0</v>
      </c>
    </row>
    <row r="133" spans="1:204" x14ac:dyDescent="0.25">
      <c r="A133" s="8"/>
      <c r="B133" s="5" t="s">
        <v>61</v>
      </c>
      <c r="C133" s="8"/>
      <c r="D133" s="6" t="s">
        <v>476</v>
      </c>
      <c r="E133" s="8">
        <v>10</v>
      </c>
      <c r="F133" s="224"/>
      <c r="G133" s="224"/>
      <c r="H133" s="224"/>
      <c r="I133" s="224"/>
      <c r="J133" s="5" t="s">
        <v>180</v>
      </c>
      <c r="K133" s="9"/>
      <c r="L133" s="6" t="s">
        <v>406</v>
      </c>
      <c r="M133" s="11">
        <f>INDEX(cenník!$C$2:$I$568,MATCH($L133,cenník!$B$2:$B$557,0),MATCH(M$103,cenník!$C$1:$I$1,0))</f>
        <v>620415</v>
      </c>
      <c r="N133" s="11" t="str">
        <f>INDEX(cenník!$C$2:$I$568,MATCH($L133,cenník!$B$2:$B$557,0),MATCH(N$2,cenník!$C$1:$I$1,0))</f>
        <v>ks</v>
      </c>
      <c r="O133" s="11">
        <f>SUM(AH123:AH138)</f>
        <v>0</v>
      </c>
      <c r="P133" s="36">
        <f>INDEX(cenník!$C$2:$I$568,MATCH($L133,cenník!$B$2:$B$557,0),MATCH(P$2,cenník!$C$1:$I$1,0))</f>
        <v>2.89</v>
      </c>
      <c r="Q133" s="36">
        <f t="shared" si="159"/>
        <v>0</v>
      </c>
      <c r="R133" s="37">
        <f t="shared" si="158"/>
        <v>0</v>
      </c>
      <c r="S133" s="36">
        <f t="shared" si="160"/>
        <v>2.89</v>
      </c>
      <c r="T133" s="36">
        <f t="shared" ref="T133:T138" si="161">O133*S133</f>
        <v>0</v>
      </c>
      <c r="U133" s="36">
        <f>INDEX(cenník!$C$2:$I$568,MATCH($L133,cenník!$B$2:$B$557,0),MATCH(U$2,cenník!$C$1:$I$1,0))*O133</f>
        <v>0</v>
      </c>
      <c r="Y133" s="72"/>
      <c r="Z133" s="72">
        <f t="shared" si="152"/>
        <v>0</v>
      </c>
      <c r="AA133" s="72">
        <f t="shared" si="153"/>
        <v>0</v>
      </c>
      <c r="AB133" s="72">
        <f t="shared" si="154"/>
        <v>0</v>
      </c>
      <c r="AD133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113,$HW$4:$IQ$4,0),MATCH($E$104,$X$7:$X$24,0)))*C113</f>
        <v>0</v>
      </c>
      <c r="AE133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113,$HW$4:$IQ$4,0),MATCH($E$104,$X$7:$X$24,0)))*C113</f>
        <v>0</v>
      </c>
      <c r="AF133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113,$HW$4:$IQ$4,0),MATCH($E$104,$X$7:$X$24,0)))*C113</f>
        <v>0</v>
      </c>
      <c r="AH133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140,$IT$4:$JN$4,0),MATCH($E$131,$X$7:$X$24,0))*C140</f>
        <v>0</v>
      </c>
      <c r="AI133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140,$IT$4:$JN$4,0),MATCH($E$131,$X$7:$X$24,0))*C140</f>
        <v>0</v>
      </c>
      <c r="AJ133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140,$IT$4:$JN$4,0),MATCH($E$131,$X$7:$X$24,0))*C140</f>
        <v>0</v>
      </c>
      <c r="GA133" s="64" t="s">
        <v>72</v>
      </c>
    </row>
    <row r="134" spans="1:204" x14ac:dyDescent="0.25">
      <c r="A134" s="8"/>
      <c r="B134" s="5" t="s">
        <v>61</v>
      </c>
      <c r="C134" s="8"/>
      <c r="D134" s="6" t="s">
        <v>458</v>
      </c>
      <c r="E134" s="8">
        <v>0</v>
      </c>
      <c r="F134" s="5"/>
      <c r="G134" s="5"/>
      <c r="H134" s="5"/>
      <c r="I134" s="5"/>
      <c r="J134" s="5" t="s">
        <v>95</v>
      </c>
      <c r="K134" s="9"/>
      <c r="L134" s="6" t="str">
        <f>IF($G$131=$X$26,"CC55H50/2,6MC",IF($G$131=$X$27,"CC55H50/2,6MC",IF($G$131=$X$28,"CC55H50/2,6MC",IF($G$131=$X$29,"CC55H50/2,6MC",IF($G$131=$X$30,"CC55H50/3MC",IF($G$131=$X$31,"CC55H50/3MC",IF($G$131=$X$32,"CC55H50/3MC",IF($G$131=$X$33,"CC55H50/3MC",0))))))))</f>
        <v>CC55H50/2,6MC</v>
      </c>
      <c r="M134" s="11">
        <f>INDEX(cenník!$C$2:$I$568,MATCH($L134,cenník!$B$2:$B$557,0),MATCH(M$103,cenník!$C$1:$I$1,0))</f>
        <v>895327</v>
      </c>
      <c r="N134" s="11" t="str">
        <f>INDEX(cenník!$C$2:$I$568,MATCH($L134,cenník!$B$2:$B$557,0),MATCH(N$2,cenník!$C$1:$I$1,0))</f>
        <v>ks</v>
      </c>
      <c r="O134" s="11">
        <f>SUM(AB123:AB138)</f>
        <v>0</v>
      </c>
      <c r="P134" s="36">
        <f>INDEX(cenník!$C$2:$I$568,MATCH($L134,cenník!$B$2:$B$557,0),MATCH(P$2,cenník!$C$1:$I$1,0))</f>
        <v>28.16</v>
      </c>
      <c r="Q134" s="36">
        <f t="shared" si="159"/>
        <v>0</v>
      </c>
      <c r="R134" s="37">
        <f t="shared" si="158"/>
        <v>0</v>
      </c>
      <c r="S134" s="36">
        <f t="shared" si="160"/>
        <v>28.16</v>
      </c>
      <c r="T134" s="36">
        <f t="shared" si="161"/>
        <v>0</v>
      </c>
      <c r="U134" s="36">
        <f>INDEX(cenník!$C$2:$I$568,MATCH($L134,cenník!$B$2:$B$557,0),MATCH(U$2,cenník!$C$1:$I$1,0))*O134</f>
        <v>0</v>
      </c>
      <c r="Y134" s="72"/>
      <c r="Z134" s="72">
        <f t="shared" si="152"/>
        <v>0</v>
      </c>
      <c r="AA134" s="72">
        <f t="shared" si="153"/>
        <v>0</v>
      </c>
      <c r="AB134" s="72">
        <f t="shared" si="154"/>
        <v>0</v>
      </c>
      <c r="AD134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114,$HW$4:$IQ$4,0),MATCH($E$104,$X$7:$X$24,0)))*C114</f>
        <v>0</v>
      </c>
      <c r="AE134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114,$HW$4:$IQ$4,0),MATCH($E$104,$X$7:$X$24,0)))*C114</f>
        <v>0</v>
      </c>
      <c r="AF134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114,$HW$4:$IQ$4,0),MATCH($E$104,$X$7:$X$24,0)))*C114</f>
        <v>0</v>
      </c>
      <c r="AH134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141,$IT$4:$JN$4,0),MATCH($E$131,$X$7:$X$24,0))*C141</f>
        <v>0</v>
      </c>
      <c r="AI134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141,$IT$4:$JN$4,0),MATCH($E$131,$X$7:$X$24,0))*C141</f>
        <v>0</v>
      </c>
      <c r="AJ134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141,$IT$4:$JN$4,0),MATCH($E$131,$X$7:$X$24,0))*C141</f>
        <v>0</v>
      </c>
      <c r="GB134" s="64">
        <v>0</v>
      </c>
      <c r="GC134" s="64">
        <v>1</v>
      </c>
      <c r="GD134" s="64">
        <v>2</v>
      </c>
      <c r="GE134" s="64">
        <v>3</v>
      </c>
      <c r="GF134" s="64">
        <v>4</v>
      </c>
      <c r="GG134" s="64">
        <v>5</v>
      </c>
      <c r="GH134" s="64">
        <v>6</v>
      </c>
      <c r="GI134" s="64">
        <v>7</v>
      </c>
      <c r="GJ134" s="64">
        <v>8</v>
      </c>
      <c r="GK134" s="64">
        <v>9</v>
      </c>
      <c r="GL134" s="64">
        <v>10</v>
      </c>
      <c r="GM134" s="64">
        <v>11</v>
      </c>
      <c r="GN134" s="64">
        <v>12</v>
      </c>
      <c r="GO134" s="64">
        <v>13</v>
      </c>
      <c r="GP134" s="64">
        <v>14</v>
      </c>
      <c r="GQ134" s="64">
        <v>15</v>
      </c>
      <c r="GR134" s="64">
        <v>16</v>
      </c>
      <c r="GS134" s="64">
        <v>17</v>
      </c>
      <c r="GT134" s="64">
        <v>18</v>
      </c>
      <c r="GU134" s="64">
        <v>19</v>
      </c>
      <c r="GV134" s="64">
        <v>20</v>
      </c>
    </row>
    <row r="135" spans="1:204" x14ac:dyDescent="0.25">
      <c r="A135" s="8"/>
      <c r="B135" s="5" t="s">
        <v>61</v>
      </c>
      <c r="C135" s="8"/>
      <c r="D135" s="6" t="s">
        <v>460</v>
      </c>
      <c r="E135" s="8">
        <v>0</v>
      </c>
      <c r="F135" s="5"/>
      <c r="G135" s="5"/>
      <c r="H135" s="5"/>
      <c r="I135" s="5"/>
      <c r="J135" s="5" t="s">
        <v>461</v>
      </c>
      <c r="K135" s="9"/>
      <c r="L135" s="6" t="str">
        <f>IF($G$131=$X$26,"CP50H35/1,3MC",IF($G$131=$X$27,"CP50H35/1,3MC",IF($G$131=$X$28,"CP50H35/1,3MC",IF($G$131=$X$29,"CP50H35/1,3MC",IF($G$131=$X$30,"CP50H35/1,5MC",IF($G$131=$X$31,"CP50H35/1,5MC",IF($G$131=$X$32,"CP50H35/1,5MC",IF($G$131=$X$33,"CP50H35/1,5MC",0))))))))</f>
        <v>CP50H35/1,3MC</v>
      </c>
      <c r="M135" s="11">
        <f>INDEX(cenník!$C$2:$I$568,MATCH($L135,cenník!$B$2:$B$557,0),MATCH(M$103,cenník!$C$1:$I$1,0))</f>
        <v>895613</v>
      </c>
      <c r="N135" s="11" t="str">
        <f>INDEX(cenník!$C$2:$I$568,MATCH($L135,cenník!$B$2:$B$557,0),MATCH(N$2,cenník!$C$1:$I$1,0))</f>
        <v>ks</v>
      </c>
      <c r="O135" s="10">
        <f>O134*2</f>
        <v>0</v>
      </c>
      <c r="P135" s="36">
        <f>INDEX(cenník!$C$2:$I$568,MATCH($L135,cenník!$B$2:$B$557,0),MATCH(P$2,cenník!$C$1:$I$1,0))</f>
        <v>10.220000000000001</v>
      </c>
      <c r="Q135" s="36">
        <f t="shared" si="159"/>
        <v>0</v>
      </c>
      <c r="R135" s="37">
        <f>$E$134</f>
        <v>0</v>
      </c>
      <c r="S135" s="36">
        <f t="shared" si="160"/>
        <v>10.220000000000001</v>
      </c>
      <c r="T135" s="36">
        <f t="shared" si="161"/>
        <v>0</v>
      </c>
      <c r="U135" s="36">
        <f>INDEX(cenník!$C$2:$I$568,MATCH($L135,cenník!$B$2:$B$557,0),MATCH(U$2,cenník!$C$1:$I$1,0))*O135</f>
        <v>0</v>
      </c>
      <c r="Y135" s="72"/>
      <c r="Z135" s="72">
        <f t="shared" si="152"/>
        <v>0</v>
      </c>
      <c r="AA135" s="72">
        <f t="shared" si="153"/>
        <v>0</v>
      </c>
      <c r="AB135" s="72">
        <f t="shared" si="154"/>
        <v>0</v>
      </c>
      <c r="AD135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115,$HW$4:$IQ$4,0),MATCH($E$104,$X$7:$X$24,0)))*C115</f>
        <v>0</v>
      </c>
      <c r="AE135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115,$HW$4:$IQ$4,0),MATCH($E$104,$X$7:$X$24,0)))*C115</f>
        <v>0</v>
      </c>
      <c r="AF135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115,$HW$4:$IQ$4,0),MATCH($E$104,$X$7:$X$24,0)))*C115</f>
        <v>0</v>
      </c>
      <c r="AH135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142,$IT$4:$JN$4,0),MATCH($E$131,$X$7:$X$24,0))*C142</f>
        <v>0</v>
      </c>
      <c r="AI135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142,$IT$4:$JN$4,0),MATCH($E$131,$X$7:$X$24,0))*C142</f>
        <v>0</v>
      </c>
      <c r="AJ135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142,$IT$4:$JN$4,0),MATCH($E$131,$X$7:$X$24,0))*C142</f>
        <v>0</v>
      </c>
      <c r="GA135" s="125" t="s">
        <v>411</v>
      </c>
      <c r="GB135" s="64">
        <v>0</v>
      </c>
      <c r="GC135" s="64">
        <v>0</v>
      </c>
      <c r="GD135" s="64">
        <v>0</v>
      </c>
      <c r="GE135" s="64">
        <v>4</v>
      </c>
      <c r="GF135" s="64">
        <v>3</v>
      </c>
      <c r="GG135" s="64">
        <v>2</v>
      </c>
      <c r="GH135" s="64">
        <v>2</v>
      </c>
      <c r="GI135" s="64">
        <v>1</v>
      </c>
      <c r="GJ135" s="64">
        <v>1</v>
      </c>
      <c r="GK135" s="64">
        <v>0</v>
      </c>
      <c r="GL135" s="64">
        <v>5</v>
      </c>
      <c r="GM135" s="64">
        <v>5</v>
      </c>
      <c r="GN135" s="64">
        <v>4</v>
      </c>
      <c r="GO135" s="64">
        <v>3</v>
      </c>
      <c r="GP135" s="64">
        <v>3</v>
      </c>
      <c r="GQ135" s="64">
        <v>2</v>
      </c>
      <c r="GR135" s="64">
        <v>1</v>
      </c>
      <c r="GS135" s="64">
        <v>1</v>
      </c>
      <c r="GT135" s="64">
        <v>0</v>
      </c>
      <c r="GU135" s="64">
        <v>0</v>
      </c>
      <c r="GV135" s="64">
        <v>5</v>
      </c>
    </row>
    <row r="136" spans="1:204" x14ac:dyDescent="0.25">
      <c r="A136" s="8"/>
      <c r="B136" s="5" t="s">
        <v>61</v>
      </c>
      <c r="C136" s="8"/>
      <c r="D136" s="6" t="s">
        <v>474</v>
      </c>
      <c r="E136" s="4"/>
      <c r="F136" s="5"/>
      <c r="G136" s="5"/>
      <c r="H136" s="5"/>
      <c r="I136" s="5"/>
      <c r="K136" s="9"/>
      <c r="L136" s="6" t="str">
        <f>INDEX(($BS$114:$BU$121),MATCH(G131,$BR$114:$BR$121,0),MATCH(E133,$BS$113:$BU$113,0),1)</f>
        <v>CP50H35/0,25MC</v>
      </c>
      <c r="M136" s="11">
        <f>INDEX(cenník!$C$2:$I$568,MATCH($L136,cenník!$B$2:$B$557,0),MATCH(M$103,cenník!$C$1:$I$1,0))</f>
        <v>895625</v>
      </c>
      <c r="N136" s="11" t="str">
        <f>INDEX(cenník!$C$2:$I$568,MATCH($L136,cenník!$B$2:$B$557,0),MATCH(N$2,cenník!$C$1:$I$1,0))</f>
        <v>ks</v>
      </c>
      <c r="O136" s="11">
        <f>O134</f>
        <v>0</v>
      </c>
      <c r="P136" s="36">
        <f>INDEX(cenník!$C$2:$I$568,MATCH($L136,cenník!$B$2:$B$557,0),MATCH(P$2,cenník!$C$1:$I$1,0))</f>
        <v>2.08</v>
      </c>
      <c r="Q136" s="36">
        <f t="shared" si="159"/>
        <v>0</v>
      </c>
      <c r="R136" s="37">
        <f>$E$134</f>
        <v>0</v>
      </c>
      <c r="S136" s="36">
        <f t="shared" si="160"/>
        <v>2.08</v>
      </c>
      <c r="T136" s="36">
        <f t="shared" si="161"/>
        <v>0</v>
      </c>
      <c r="U136" s="36">
        <f>INDEX(cenník!$C$2:$I$568,MATCH($L136,cenník!$B$2:$B$557,0),MATCH(U$2,cenník!$C$1:$I$1,0))*O136</f>
        <v>0</v>
      </c>
      <c r="Y136" s="72"/>
      <c r="Z136" s="72">
        <f t="shared" si="152"/>
        <v>0</v>
      </c>
      <c r="AA136" s="72">
        <f t="shared" si="153"/>
        <v>0</v>
      </c>
      <c r="AB136" s="72">
        <f t="shared" si="154"/>
        <v>0</v>
      </c>
      <c r="AD136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116,$HW$4:$IQ$4,0),MATCH($E$104,$X$7:$X$24,0)))*C116</f>
        <v>0</v>
      </c>
      <c r="AE136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116,$HW$4:$IQ$4,0),MATCH($E$104,$X$7:$X$24,0)))*C116</f>
        <v>0</v>
      </c>
      <c r="AF136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116,$HW$4:$IQ$4,0),MATCH($E$104,$X$7:$X$24,0)))*C116</f>
        <v>0</v>
      </c>
      <c r="AH136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143,$IT$4:$JN$4,0),MATCH($E$131,$X$7:$X$24,0))*C143</f>
        <v>0</v>
      </c>
      <c r="AI136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143,$IT$4:$JN$4,0),MATCH($E$131,$X$7:$X$24,0))*C143</f>
        <v>0</v>
      </c>
      <c r="AJ136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143,$IT$4:$JN$4,0),MATCH($E$131,$X$7:$X$24,0))*C143</f>
        <v>0</v>
      </c>
      <c r="GA136" s="125" t="s">
        <v>412</v>
      </c>
      <c r="GB136" s="64">
        <v>0</v>
      </c>
      <c r="GC136" s="64">
        <v>1</v>
      </c>
      <c r="GD136" s="64">
        <v>0</v>
      </c>
      <c r="GE136" s="64">
        <v>0</v>
      </c>
      <c r="GF136" s="64">
        <v>2</v>
      </c>
      <c r="GG136" s="64">
        <v>4</v>
      </c>
      <c r="GH136" s="64">
        <v>5</v>
      </c>
      <c r="GI136" s="64">
        <v>7</v>
      </c>
      <c r="GJ136" s="64">
        <v>8</v>
      </c>
      <c r="GK136" s="64">
        <v>10</v>
      </c>
      <c r="GL136" s="64">
        <v>7</v>
      </c>
      <c r="GM136" s="64">
        <v>8</v>
      </c>
      <c r="GN136" s="64">
        <v>10</v>
      </c>
      <c r="GO136" s="64">
        <v>12</v>
      </c>
      <c r="GP136" s="64">
        <v>13</v>
      </c>
      <c r="GQ136" s="64">
        <v>15</v>
      </c>
      <c r="GR136" s="64">
        <v>17</v>
      </c>
      <c r="GS136" s="64">
        <v>18</v>
      </c>
      <c r="GT136" s="64">
        <v>20</v>
      </c>
      <c r="GU136" s="64">
        <v>21</v>
      </c>
      <c r="GV136" s="64">
        <v>18</v>
      </c>
    </row>
    <row r="137" spans="1:204" x14ac:dyDescent="0.25">
      <c r="A137" s="8"/>
      <c r="B137" s="5" t="s">
        <v>61</v>
      </c>
      <c r="C137" s="8"/>
      <c r="D137" s="6" t="s">
        <v>477</v>
      </c>
      <c r="E137" s="56">
        <f>INDEX((AI117:AM119),MATCH(E138,AH117:AH119,0),MATCH(E139,AI116:AM116,0))</f>
        <v>2000</v>
      </c>
      <c r="F137" s="6"/>
      <c r="G137" s="6"/>
      <c r="H137" s="6"/>
      <c r="I137" s="6"/>
      <c r="J137" s="5" t="s">
        <v>62</v>
      </c>
      <c r="K137" s="9"/>
      <c r="L137" s="6" t="s">
        <v>409</v>
      </c>
      <c r="M137" s="11">
        <v>878000</v>
      </c>
      <c r="N137" s="11" t="str">
        <f>INDEX(cenník!$C$2:$I$568,MATCH($L137,cenník!$B$2:$B$557,0),MATCH(N$2,cenník!$C$1:$I$1,0))</f>
        <v>ks</v>
      </c>
      <c r="O137" s="11">
        <f>O134</f>
        <v>0</v>
      </c>
      <c r="P137" s="36">
        <f>INDEX(cenník!$C$2:$I$568,MATCH($L137,cenník!$B$2:$B$557,0),MATCH(P$2,cenník!$C$1:$I$1,0))</f>
        <v>5.41</v>
      </c>
      <c r="Q137" s="36">
        <f t="shared" ref="Q137" si="162">O137*P137</f>
        <v>0</v>
      </c>
      <c r="R137" s="37">
        <f>$E$134</f>
        <v>0</v>
      </c>
      <c r="S137" s="36">
        <f t="shared" si="160"/>
        <v>5.41</v>
      </c>
      <c r="T137" s="36">
        <f t="shared" ref="T137" si="163">O137*S137</f>
        <v>0</v>
      </c>
      <c r="U137" s="36">
        <f>INDEX(cenník!$C$2:$I$568,MATCH($L137,cenník!$B$2:$B$557,0),MATCH(U$2,cenník!$C$1:$I$1,0))*O137</f>
        <v>0</v>
      </c>
      <c r="Y137" s="72"/>
      <c r="Z137" s="72">
        <f t="shared" si="152"/>
        <v>0</v>
      </c>
      <c r="AA137" s="72">
        <f t="shared" si="153"/>
        <v>0</v>
      </c>
      <c r="AB137" s="72">
        <f t="shared" si="154"/>
        <v>0</v>
      </c>
      <c r="AD137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117,$HW$4:$IQ$4,0),MATCH($E$104,$X$7:$X$24,0)))*C117</f>
        <v>0</v>
      </c>
      <c r="AE137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117,$HW$4:$IQ$4,0),MATCH($E$104,$X$7:$X$24,0)))*C117</f>
        <v>0</v>
      </c>
      <c r="AF137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117,$HW$4:$IQ$4,0),MATCH($E$104,$X$7:$X$24,0)))*C117</f>
        <v>0</v>
      </c>
      <c r="AH137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144,$IT$4:$JN$4,0),MATCH($E$131,$X$7:$X$24,0))*C144</f>
        <v>0</v>
      </c>
      <c r="AI137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144,$IT$4:$JN$4,0),MATCH($E$131,$X$7:$X$24,0))*C144</f>
        <v>0</v>
      </c>
      <c r="AJ137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144,$IT$4:$JN$4,0),MATCH($E$131,$X$7:$X$24,0))*C144</f>
        <v>0</v>
      </c>
      <c r="GA137" s="125" t="s">
        <v>413</v>
      </c>
      <c r="GB137" s="64">
        <v>0</v>
      </c>
      <c r="GC137" s="64">
        <v>0</v>
      </c>
      <c r="GD137" s="64">
        <v>2</v>
      </c>
      <c r="GE137" s="64">
        <v>0</v>
      </c>
      <c r="GF137" s="64">
        <v>0</v>
      </c>
      <c r="GG137" s="64">
        <v>0</v>
      </c>
      <c r="GH137" s="64">
        <v>0</v>
      </c>
      <c r="GI137" s="64">
        <v>0</v>
      </c>
      <c r="GJ137" s="64">
        <v>0</v>
      </c>
      <c r="GK137" s="64">
        <v>0</v>
      </c>
      <c r="GL137" s="64">
        <v>0</v>
      </c>
      <c r="GM137" s="64">
        <v>0</v>
      </c>
      <c r="GN137" s="64">
        <v>0</v>
      </c>
      <c r="GO137" s="64">
        <v>0</v>
      </c>
      <c r="GP137" s="64">
        <v>0</v>
      </c>
      <c r="GQ137" s="64">
        <v>0</v>
      </c>
      <c r="GR137" s="64">
        <v>0</v>
      </c>
      <c r="GS137" s="64">
        <v>0</v>
      </c>
      <c r="GT137" s="64">
        <v>0</v>
      </c>
      <c r="GU137" s="64">
        <v>0</v>
      </c>
      <c r="GV137" s="64">
        <v>0</v>
      </c>
    </row>
    <row r="138" spans="1:204" x14ac:dyDescent="0.25">
      <c r="A138" s="8"/>
      <c r="B138" s="5" t="s">
        <v>61</v>
      </c>
      <c r="C138" s="8"/>
      <c r="D138" s="6" t="s">
        <v>478</v>
      </c>
      <c r="E138" s="8">
        <v>1</v>
      </c>
      <c r="F138" s="43" t="s">
        <v>480</v>
      </c>
      <c r="G138" s="16"/>
      <c r="H138" s="9"/>
      <c r="I138" s="9"/>
      <c r="J138" s="32"/>
      <c r="K138" s="9"/>
      <c r="L138" s="6" t="s">
        <v>407</v>
      </c>
      <c r="M138" s="11">
        <f>INDEX(cenník!$C$2:$I$568,MATCH($L138,cenník!$B$2:$B$557,0),MATCH(M$103,cenník!$C$1:$I$1,0))</f>
        <v>897334</v>
      </c>
      <c r="N138" s="11" t="str">
        <f>INDEX(cenník!$C$2:$I$568,MATCH($L138,cenník!$B$2:$B$557,0),MATCH(N$2,cenník!$C$1:$I$1,0))</f>
        <v>ks</v>
      </c>
      <c r="O138" s="11">
        <f>SUM(A130*4*C130,A131*4*C131,A132*4*C132,A133*4*C133,A134*4*C134,A135*4*C135,A136*4*C136,A137*4*C137,A138*4*C138,A139*4*C139,A140*4*C140,A141*4*C141,A142*4*C142,A143*4*C143,A144*4*C144,A145*4*C145)</f>
        <v>0</v>
      </c>
      <c r="P138" s="36">
        <f>INDEX(cenník!$C$2:$I$568,MATCH($L138,cenník!$B$2:$B$557,0),MATCH(P$2,cenník!$C$1:$I$1,0))</f>
        <v>1.79</v>
      </c>
      <c r="Q138" s="36">
        <f t="shared" si="159"/>
        <v>0</v>
      </c>
      <c r="R138" s="37">
        <f t="shared" si="158"/>
        <v>0</v>
      </c>
      <c r="S138" s="36">
        <f t="shared" si="160"/>
        <v>1.79</v>
      </c>
      <c r="T138" s="36">
        <f t="shared" si="161"/>
        <v>0</v>
      </c>
      <c r="U138" s="36">
        <f>INDEX(cenník!$C$2:$I$568,MATCH($L138,cenník!$B$2:$B$557,0),MATCH(U$2,cenník!$C$1:$I$1,0))*O138</f>
        <v>0</v>
      </c>
      <c r="Y138" s="72"/>
      <c r="Z138" s="72">
        <f t="shared" si="152"/>
        <v>0</v>
      </c>
      <c r="AA138" s="72">
        <f t="shared" si="153"/>
        <v>0</v>
      </c>
      <c r="AB138" s="72">
        <f t="shared" si="154"/>
        <v>0</v>
      </c>
      <c r="AD138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$106,$HV$5:$HV$7,0),MATCH(A118,$HW$4:$IQ$4,0),MATCH($E$104,$X$7:$X$24,0)))*C118</f>
        <v>0</v>
      </c>
      <c r="AE138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$105,$HV$5:$HV$7,0),MATCH(A118,$HW$4:$IQ$4,0),MATCH($E$104,$X$7:$X$24,0)))*C118</f>
        <v>0</v>
      </c>
      <c r="AF138" s="64">
        <f>(INDEX(($HW$5:$IQ$7,$HW$11:$IQ$13,$HW$17:$IQ$19,$HW$23:$IQ$25,$HW$29:$IQ$31,$HW$35:$IQ$37,$HW$41:$IQ$43,$HW$47:$IQ$49,$HW$53:$IQ$55,$HW$59:$IQ$61,$HW$65:$IQ$67,$HW$71:$IQ$73,$HW$77:$IQ$79,$HW$83:$IQ$85,$HW$89:$IQ$91,$HW$95:$IQ$97,$HW$101:$IQ$103,$HW$107:$IQ$109),MATCH($L$104,$HV$5:$HV$7,0),MATCH(A118,$HW$4:$IQ$4,0),MATCH($E$104,$X$7:$X$24,0)))*C118</f>
        <v>0</v>
      </c>
      <c r="AH138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$133,$IS$5:$IS$7,0),MATCH(A145,$IT$4:$JN$4,0),MATCH($E$131,$X$7:$X$24,0))*C145</f>
        <v>0</v>
      </c>
      <c r="AI138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$132,$IS$5:$IS$7,0),MATCH(A145,$IT$4:$JN$4,0),MATCH($E$131,$X$7:$X$24,0))*C145</f>
        <v>0</v>
      </c>
      <c r="AJ138" s="64">
        <f>INDEX(($IT$5:$JN$7,$IT$11:$JN$13,$IT$17:$JN$19,$IT$23:$JN$25,$IT$29:$JN$31,$IT$35:$JN$37,$IT$41:$JN$43,$IT$47:$JN$49,$IT$53:$JN$55,$IT$59:$JN$61,$IT$65:$JN$67,$IT$71:$JN$73,$IT$77:$JN$79,$IT$83:$JN$85,$IT$89:$JN$91,$IT$95:$JN$97,$IT$101:$JN$103,$IT$107:$JN$109),MATCH($L$131,$IS$5:$IS$7,0),MATCH(A145,$IT$4:$JN$4,0),MATCH($E$131,$X$7:$X$24,0))*C145</f>
        <v>0</v>
      </c>
    </row>
    <row r="139" spans="1:204" x14ac:dyDescent="0.25">
      <c r="A139" s="8"/>
      <c r="B139" s="5" t="s">
        <v>61</v>
      </c>
      <c r="C139" s="8"/>
      <c r="D139" s="6" t="s">
        <v>479</v>
      </c>
      <c r="E139" s="8">
        <v>1</v>
      </c>
      <c r="F139" s="43" t="s">
        <v>481</v>
      </c>
      <c r="G139" s="9"/>
      <c r="H139" s="9"/>
      <c r="I139" s="9"/>
      <c r="J139" s="9"/>
      <c r="K139" s="9"/>
      <c r="L139" s="6" t="s">
        <v>202</v>
      </c>
      <c r="M139" s="11">
        <f>INDEX(cenník!$C$2:$I$568,MATCH($L139,cenník!$B$2:$B$557,0),MATCH(M$103,cenník!$C$1:$I$1,0))</f>
        <v>898525</v>
      </c>
      <c r="N139" s="11" t="str">
        <f>INDEX(cenník!$C$2:$I$568,MATCH($L139,cenník!$B$2:$B$557,0),MATCH(N$2,cenník!$C$1:$I$1,0))</f>
        <v>ks</v>
      </c>
      <c r="O139" s="11">
        <f>O138</f>
        <v>0</v>
      </c>
      <c r="P139" s="36">
        <f>INDEX(cenník!$C$2:$I$568,MATCH($L139,cenník!$B$2:$B$557,0),MATCH(P$2,cenník!$C$1:$I$1,0))</f>
        <v>0.16</v>
      </c>
      <c r="Q139" s="36">
        <f t="shared" ref="Q139:Q142" si="164">O139*P139</f>
        <v>0</v>
      </c>
      <c r="R139" s="37">
        <f t="shared" ref="R139:R142" si="165">$E$134</f>
        <v>0</v>
      </c>
      <c r="S139" s="36">
        <f>P139*((100-$E$134)/100)</f>
        <v>0.16</v>
      </c>
      <c r="T139" s="36">
        <f t="shared" ref="T139:T142" si="166">O139*S139</f>
        <v>0</v>
      </c>
      <c r="U139" s="36">
        <f>INDEX(cenník!$C$2:$I$568,MATCH($L139,cenník!$B$2:$B$557,0),MATCH(U$2,cenník!$C$1:$I$1,0))*O139</f>
        <v>0</v>
      </c>
      <c r="GA139" s="64" t="s">
        <v>203</v>
      </c>
    </row>
    <row r="140" spans="1:204" x14ac:dyDescent="0.25">
      <c r="A140" s="8"/>
      <c r="B140" s="5" t="s">
        <v>61</v>
      </c>
      <c r="C140" s="8"/>
      <c r="D140" s="44" t="s">
        <v>573</v>
      </c>
      <c r="E140" s="34"/>
      <c r="F140" s="33"/>
      <c r="G140" s="33"/>
      <c r="H140" s="9"/>
      <c r="I140" s="9"/>
      <c r="J140" s="9"/>
      <c r="K140" s="9"/>
      <c r="L140" s="6" t="s">
        <v>402</v>
      </c>
      <c r="M140" s="11">
        <f>INDEX(cenník!$C$2:$I$568,MATCH($L140,cenník!$B$2:$B$557,0),MATCH(M$103,cenník!$C$1:$I$1,0))</f>
        <v>660246</v>
      </c>
      <c r="N140" s="11" t="str">
        <f>INDEX(cenník!$C$2:$I$568,MATCH($L140,cenník!$B$2:$B$557,0),MATCH(N$2,cenník!$C$1:$I$1,0))</f>
        <v>ks</v>
      </c>
      <c r="O140" s="11">
        <f>O138</f>
        <v>0</v>
      </c>
      <c r="P140" s="36">
        <f>INDEX(cenník!$C$2:$I$568,MATCH($L140,cenník!$B$2:$B$557,0),MATCH(P$2,cenník!$C$1:$I$1,0))</f>
        <v>0.55000000000000004</v>
      </c>
      <c r="Q140" s="36">
        <f t="shared" si="164"/>
        <v>0</v>
      </c>
      <c r="R140" s="37">
        <f t="shared" si="165"/>
        <v>0</v>
      </c>
      <c r="S140" s="36">
        <f t="shared" si="160"/>
        <v>0.55000000000000004</v>
      </c>
      <c r="T140" s="36">
        <f t="shared" si="166"/>
        <v>0</v>
      </c>
      <c r="U140" s="36">
        <f>INDEX(cenník!$C$2:$I$568,MATCH($L140,cenník!$B$2:$B$557,0),MATCH(U$2,cenník!$C$1:$I$1,0))*O140</f>
        <v>0</v>
      </c>
      <c r="GB140" s="64">
        <v>0</v>
      </c>
      <c r="GC140" s="64">
        <v>1</v>
      </c>
      <c r="GD140" s="64">
        <v>2</v>
      </c>
      <c r="GE140" s="64">
        <v>3</v>
      </c>
      <c r="GF140" s="64">
        <v>4</v>
      </c>
      <c r="GG140" s="64">
        <v>5</v>
      </c>
      <c r="GH140" s="64">
        <v>6</v>
      </c>
      <c r="GI140" s="64">
        <v>7</v>
      </c>
      <c r="GJ140" s="64">
        <v>8</v>
      </c>
      <c r="GK140" s="64">
        <v>9</v>
      </c>
      <c r="GL140" s="64">
        <v>10</v>
      </c>
      <c r="GM140" s="64">
        <v>11</v>
      </c>
      <c r="GN140" s="64">
        <v>12</v>
      </c>
      <c r="GO140" s="64">
        <v>13</v>
      </c>
      <c r="GP140" s="64">
        <v>14</v>
      </c>
      <c r="GQ140" s="64">
        <v>15</v>
      </c>
      <c r="GR140" s="64">
        <v>16</v>
      </c>
      <c r="GS140" s="64">
        <v>17</v>
      </c>
      <c r="GT140" s="64">
        <v>18</v>
      </c>
      <c r="GU140" s="64">
        <v>19</v>
      </c>
      <c r="GV140" s="64">
        <v>20</v>
      </c>
    </row>
    <row r="141" spans="1:204" x14ac:dyDescent="0.25">
      <c r="A141" s="8"/>
      <c r="B141" s="5" t="s">
        <v>61</v>
      </c>
      <c r="C141" s="8"/>
      <c r="D141" s="44" t="s">
        <v>520</v>
      </c>
      <c r="E141" s="9"/>
      <c r="G141" s="9"/>
      <c r="H141" s="9"/>
      <c r="I141" s="9"/>
      <c r="J141" s="9"/>
      <c r="K141" s="9"/>
      <c r="L141" s="6" t="s">
        <v>244</v>
      </c>
      <c r="M141" s="11">
        <f>INDEX(cenník!$C$2:$I$568,MATCH($L141,cenník!$B$2:$B$557,0),MATCH(M$103,cenník!$C$1:$I$1,0))</f>
        <v>166794</v>
      </c>
      <c r="N141" s="11" t="str">
        <f>INDEX(cenník!$C$2:$I$568,MATCH($L141,cenník!$B$2:$B$557,0),MATCH(N$2,cenník!$C$1:$I$1,0))</f>
        <v>100ks</v>
      </c>
      <c r="O141" s="11">
        <f>ROUNDUP(O138/100,0)</f>
        <v>0</v>
      </c>
      <c r="P141" s="36">
        <f>INDEX(cenník!$C$2:$I$568,MATCH($L141,cenník!$B$2:$B$557,0),MATCH(P$2,cenník!$C$1:$I$1,0))</f>
        <v>1.38</v>
      </c>
      <c r="Q141" s="36">
        <f t="shared" si="164"/>
        <v>0</v>
      </c>
      <c r="R141" s="37">
        <f t="shared" si="165"/>
        <v>0</v>
      </c>
      <c r="S141" s="36">
        <f t="shared" si="160"/>
        <v>1.38</v>
      </c>
      <c r="T141" s="36">
        <f t="shared" si="166"/>
        <v>0</v>
      </c>
      <c r="U141" s="36">
        <f>INDEX(cenník!$C$2:$I$568,MATCH($L141,cenník!$B$2:$B$557,0),MATCH(U$2,cenník!$C$1:$I$1,0))*O141</f>
        <v>0</v>
      </c>
      <c r="GA141" s="125" t="s">
        <v>411</v>
      </c>
      <c r="GB141" s="64">
        <v>0</v>
      </c>
      <c r="GC141" s="64">
        <v>0</v>
      </c>
      <c r="GD141" s="64">
        <v>0</v>
      </c>
      <c r="GE141" s="64">
        <v>3</v>
      </c>
      <c r="GF141" s="64">
        <v>2</v>
      </c>
      <c r="GG141" s="64">
        <v>2</v>
      </c>
      <c r="GH141" s="64">
        <v>1</v>
      </c>
      <c r="GI141" s="64">
        <v>0</v>
      </c>
      <c r="GJ141" s="64">
        <v>5</v>
      </c>
      <c r="GK141" s="64">
        <v>5</v>
      </c>
      <c r="GL141" s="64">
        <v>4</v>
      </c>
      <c r="GM141" s="64">
        <v>3</v>
      </c>
      <c r="GN141" s="64">
        <v>2</v>
      </c>
      <c r="GO141" s="64">
        <v>1</v>
      </c>
      <c r="GP141" s="64">
        <v>1</v>
      </c>
      <c r="GQ141" s="64">
        <v>0</v>
      </c>
      <c r="GR141" s="64">
        <v>5</v>
      </c>
      <c r="GS141" s="64">
        <v>4</v>
      </c>
      <c r="GT141" s="64">
        <v>4</v>
      </c>
      <c r="GU141" s="64">
        <v>2</v>
      </c>
      <c r="GV141" s="64">
        <v>2</v>
      </c>
    </row>
    <row r="142" spans="1:204" x14ac:dyDescent="0.25">
      <c r="A142" s="8"/>
      <c r="B142" s="5" t="s">
        <v>61</v>
      </c>
      <c r="C142" s="8"/>
      <c r="D142" s="44" t="s">
        <v>574</v>
      </c>
      <c r="E142" s="9"/>
      <c r="F142" s="9"/>
      <c r="G142" s="9"/>
      <c r="H142" s="9"/>
      <c r="I142" s="9"/>
      <c r="J142" s="9"/>
      <c r="K142" s="9"/>
      <c r="L142" s="6" t="s">
        <v>315</v>
      </c>
      <c r="M142" s="11">
        <f>INDEX(cenník!$C$2:$I$568,MATCH($L142,cenník!$B$2:$B$557,0),MATCH(M$103,cenník!$C$1:$I$1,0))</f>
        <v>660944</v>
      </c>
      <c r="N142" s="11" t="str">
        <f>INDEX(cenník!$C$2:$I$568,MATCH($L142,cenník!$B$2:$B$557,0),MATCH(N$2,cenník!$C$1:$I$1,0))</f>
        <v>bal</v>
      </c>
      <c r="O142" s="11">
        <f>ROUNDUP(O138/100,0)</f>
        <v>0</v>
      </c>
      <c r="P142" s="36">
        <f>INDEX(cenník!$C$2:$I$568,MATCH($L142,cenník!$B$2:$B$557,0),MATCH(P$2,cenník!$C$1:$I$1,0))</f>
        <v>8.24</v>
      </c>
      <c r="Q142" s="36">
        <f t="shared" si="164"/>
        <v>0</v>
      </c>
      <c r="R142" s="37">
        <f t="shared" si="165"/>
        <v>0</v>
      </c>
      <c r="S142" s="36">
        <f t="shared" si="160"/>
        <v>8.24</v>
      </c>
      <c r="T142" s="36">
        <f t="shared" si="166"/>
        <v>0</v>
      </c>
      <c r="U142" s="36">
        <f>INDEX(cenník!$C$2:$I$568,MATCH($L142,cenník!$B$2:$B$557,0),MATCH(U$2,cenník!$C$1:$I$1,0))*O142</f>
        <v>0</v>
      </c>
      <c r="GA142" s="125" t="s">
        <v>412</v>
      </c>
      <c r="GB142" s="64">
        <v>0</v>
      </c>
      <c r="GC142" s="64">
        <v>0</v>
      </c>
      <c r="GD142" s="64">
        <v>0</v>
      </c>
      <c r="GE142" s="64">
        <v>1</v>
      </c>
      <c r="GF142" s="64">
        <v>3</v>
      </c>
      <c r="GG142" s="64">
        <v>4</v>
      </c>
      <c r="GH142" s="64">
        <v>6</v>
      </c>
      <c r="GI142" s="64">
        <v>8</v>
      </c>
      <c r="GJ142" s="64">
        <v>5</v>
      </c>
      <c r="GK142" s="64">
        <v>6</v>
      </c>
      <c r="GL142" s="64">
        <v>8</v>
      </c>
      <c r="GM142" s="64">
        <v>10</v>
      </c>
      <c r="GN142" s="64">
        <v>12</v>
      </c>
      <c r="GO142" s="64">
        <v>14</v>
      </c>
      <c r="GP142" s="64">
        <v>15</v>
      </c>
      <c r="GQ142" s="64">
        <v>17</v>
      </c>
      <c r="GR142" s="64">
        <v>14</v>
      </c>
      <c r="GS142" s="64">
        <v>16</v>
      </c>
      <c r="GT142" s="64">
        <v>17</v>
      </c>
      <c r="GU142" s="64">
        <v>20</v>
      </c>
      <c r="GV142" s="64">
        <v>21</v>
      </c>
    </row>
    <row r="143" spans="1:204" x14ac:dyDescent="0.25">
      <c r="A143" s="8"/>
      <c r="B143" s="5" t="s">
        <v>61</v>
      </c>
      <c r="C143" s="8"/>
      <c r="D143" s="44" t="s">
        <v>575</v>
      </c>
      <c r="E143" s="9"/>
      <c r="F143" s="9"/>
      <c r="G143" s="9"/>
      <c r="H143" s="9"/>
      <c r="I143" s="9"/>
      <c r="J143" s="9"/>
      <c r="K143" s="9"/>
      <c r="L143" s="6" t="str">
        <f>IF(E132=$Z$2,"SBV250X350",IF(E132=$Z$3,"SBV50X500",IF(E132=$Z$4,"-------",IF(E132=$Z$5,"-------",0))))</f>
        <v>SBV50X500</v>
      </c>
      <c r="M143" s="11">
        <f>INDEX(cenník!$C$2:$I$568,MATCH($L143,cenník!$B$2:$B$557,0),MATCH(M$103,cenník!$C$1:$I$1,0))</f>
        <v>895501</v>
      </c>
      <c r="N143" s="11" t="str">
        <f>INDEX(cenník!$C$2:$I$568,MATCH($L143,cenník!$B$2:$B$557,0),MATCH(N$2,cenník!$C$1:$I$1,0))</f>
        <v>ks</v>
      </c>
      <c r="O143" s="11">
        <f>IF(E132=$Z$2,O134*2,IF(E132=$Z$3,O134*2,IF(E132=$Z$4,0,IF(E132=$Z$5,0,0))))</f>
        <v>0</v>
      </c>
      <c r="P143" s="36">
        <f>INDEX(cenník!$C$2:$I$568,MATCH($L143,cenník!$B$2:$B$557,0),MATCH(P$2,cenník!$C$1:$I$1,0))</f>
        <v>0.44</v>
      </c>
      <c r="Q143" s="36">
        <f>O143*P143</f>
        <v>0</v>
      </c>
      <c r="R143" s="37">
        <f t="shared" ref="R143:R149" si="167">$E$134</f>
        <v>0</v>
      </c>
      <c r="S143" s="36">
        <f t="shared" si="160"/>
        <v>0.44</v>
      </c>
      <c r="T143" s="36">
        <f>O143*S143</f>
        <v>0</v>
      </c>
      <c r="U143" s="36">
        <f>INDEX(cenník!$C$2:$I$568,MATCH($L143,cenník!$B$2:$B$557,0),MATCH(U$2,cenník!$C$1:$I$1,0))*O143</f>
        <v>0</v>
      </c>
      <c r="GA143" s="125" t="s">
        <v>413</v>
      </c>
      <c r="GB143" s="64">
        <v>0</v>
      </c>
      <c r="GC143" s="64">
        <v>1</v>
      </c>
      <c r="GD143" s="64">
        <v>2</v>
      </c>
      <c r="GE143" s="64">
        <v>0</v>
      </c>
      <c r="GF143" s="64">
        <v>0</v>
      </c>
      <c r="GG143" s="64">
        <v>0</v>
      </c>
      <c r="GH143" s="64">
        <v>0</v>
      </c>
      <c r="GI143" s="64">
        <v>0</v>
      </c>
      <c r="GJ143" s="64">
        <v>0</v>
      </c>
      <c r="GK143" s="64">
        <v>0</v>
      </c>
      <c r="GL143" s="64">
        <v>0</v>
      </c>
      <c r="GM143" s="64">
        <v>0</v>
      </c>
      <c r="GN143" s="64">
        <v>0</v>
      </c>
      <c r="GO143" s="64">
        <v>0</v>
      </c>
      <c r="GP143" s="64">
        <v>0</v>
      </c>
      <c r="GQ143" s="64">
        <v>0</v>
      </c>
      <c r="GR143" s="64">
        <v>0</v>
      </c>
      <c r="GS143" s="64">
        <v>0</v>
      </c>
      <c r="GT143" s="64">
        <v>0</v>
      </c>
      <c r="GU143" s="64">
        <v>0</v>
      </c>
      <c r="GV143" s="64">
        <v>0</v>
      </c>
    </row>
    <row r="144" spans="1:204" x14ac:dyDescent="0.25">
      <c r="A144" s="8"/>
      <c r="B144" s="5" t="s">
        <v>61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IF(E132=$Z$2,"PBK50MC",IF(E132=$Z$3,"-------",IF(E132=$Z$4,"SPM1",IF(E132=$Z$5,"SMA40/033",0))))</f>
        <v>-------</v>
      </c>
      <c r="M144" s="11" t="str">
        <f>INDEX(cenník!$C$2:$I$568,MATCH($L144,cenník!$B$2:$B$557,0),MATCH(M$103,cenník!$C$1:$I$1,0))</f>
        <v>-------</v>
      </c>
      <c r="N144" s="11">
        <f>INDEX(cenník!$C$2:$I$568,MATCH($L144,cenník!$B$2:$B$557,0),MATCH(N$2,cenník!$C$1:$I$1,0))</f>
        <v>0</v>
      </c>
      <c r="O144" s="11">
        <f>IF(E132=$Z$2,$O$134*2,IF(E132=$Z$3,0,IF(E132=$Z$4,O134*2,IF(E132=$Z$5,O134*4,0))))</f>
        <v>0</v>
      </c>
      <c r="P144" s="36">
        <f>INDEX(cenník!$C$2:$I$568,MATCH($L144,cenník!$B$2:$B$557,0),MATCH(P$2,cenník!$C$1:$I$1,0))</f>
        <v>0</v>
      </c>
      <c r="Q144" s="36">
        <f>O144*P144</f>
        <v>0</v>
      </c>
      <c r="R144" s="37">
        <f t="shared" si="167"/>
        <v>0</v>
      </c>
      <c r="S144" s="36">
        <f t="shared" si="160"/>
        <v>0</v>
      </c>
      <c r="T144" s="36">
        <f>O144*S144</f>
        <v>0</v>
      </c>
      <c r="U144" s="36">
        <f>INDEX(cenník!$C$2:$I$568,MATCH($L144,cenník!$B$2:$B$557,0),MATCH(U$2,cenník!$C$1:$I$1,0))*O144</f>
        <v>0</v>
      </c>
    </row>
    <row r="145" spans="1:206" x14ac:dyDescent="0.25">
      <c r="A145" s="8"/>
      <c r="B145" s="5" t="s">
        <v>61</v>
      </c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IF(E132=$Z$2,"-------",IF(E132=$Z$3,"-------",IF(E132=$Z$4,"-------",IF(E132=$Z$5,"SMDP6,0X25E",0))))</f>
        <v>-------</v>
      </c>
      <c r="M145" s="11" t="str">
        <f>INDEX(cenník!$C$2:$I$568,MATCH($L145,cenník!$B$2:$B$557,0),MATCH(M$103,cenník!$C$1:$I$1,0))</f>
        <v>-------</v>
      </c>
      <c r="N145" s="11">
        <f>INDEX(cenník!$C$2:$I$568,MATCH($L145,cenník!$B$2:$B$557,0),MATCH(N$2,cenník!$C$1:$I$1,0))</f>
        <v>0</v>
      </c>
      <c r="O145" s="11">
        <f>IF(E132=$Z$5,O144*4,0)</f>
        <v>0</v>
      </c>
      <c r="P145" s="36">
        <f>INDEX(cenník!$C$2:$I$568,MATCH($L145,cenník!$B$2:$B$557,0),MATCH(P$2,cenník!$C$1:$I$1,0))</f>
        <v>0</v>
      </c>
      <c r="Q145" s="36">
        <f>O145*P145</f>
        <v>0</v>
      </c>
      <c r="R145" s="37">
        <f t="shared" si="167"/>
        <v>0</v>
      </c>
      <c r="S145" s="36">
        <f t="shared" si="160"/>
        <v>0</v>
      </c>
      <c r="T145" s="36">
        <f>O145*S145</f>
        <v>0</v>
      </c>
      <c r="U145" s="36">
        <f>INDEX(cenník!$C$2:$I$568,MATCH($L145,cenník!$B$2:$B$557,0),MATCH(U$2,cenník!$C$1:$I$1,0))*O145</f>
        <v>0</v>
      </c>
    </row>
    <row r="146" spans="1:206" x14ac:dyDescent="0.25">
      <c r="A146" s="9"/>
      <c r="B146" s="6"/>
      <c r="C146" s="9"/>
      <c r="D146" s="9"/>
      <c r="E146" s="9"/>
      <c r="F146" s="57" t="str">
        <f>IF(L146="PSRM10X90F","NÁVRH KOTIEV - OVERÍ SA","")</f>
        <v>NÁVRH KOTIEV - OVERÍ SA</v>
      </c>
      <c r="G146" s="9"/>
      <c r="H146" s="9"/>
      <c r="I146" s="9"/>
      <c r="J146" s="9"/>
      <c r="K146" s="9"/>
      <c r="L146" s="6" t="str">
        <f>IF(E132=$Z$2,"-------",IF(E132=$Z$3,"PSRM10X90F",IF(E132=$Z$4,"-------",IF(E132=$Z$5,"SSZ8X30E A2",0))))</f>
        <v>PSRM10X90F</v>
      </c>
      <c r="M146" s="11">
        <f>INDEX(cenník!$C$2:$I$568,MATCH($L146,cenník!$B$2:$B$557,0),MATCH(M$103,cenník!$C$1:$I$1,0))</f>
        <v>650093</v>
      </c>
      <c r="N146" s="11" t="str">
        <f>INDEX(cenník!$C$2:$I$568,MATCH($L146,cenník!$B$2:$B$557,0),MATCH(N$2,cenník!$C$1:$I$1,0))</f>
        <v>ks</v>
      </c>
      <c r="O146" s="11">
        <f>IF(E132=$Z$2,0,IF(E132=$Z$3,O134*6,IF(E132=$Z$4,0,IF(E132=$Z$5,ROUNDUP((O134*4)/100,0),0))))</f>
        <v>0</v>
      </c>
      <c r="P146" s="36">
        <f>INDEX(cenník!$C$2:$I$568,MATCH($L146,cenník!$B$2:$B$557,0),MATCH(P$2,cenník!$C$1:$I$1,0))</f>
        <v>1.53</v>
      </c>
      <c r="Q146" s="36">
        <f t="shared" ref="Q146" si="168">O146*P146</f>
        <v>0</v>
      </c>
      <c r="R146" s="37">
        <f t="shared" si="167"/>
        <v>0</v>
      </c>
      <c r="S146" s="36">
        <f t="shared" si="160"/>
        <v>1.53</v>
      </c>
      <c r="T146" s="36">
        <f t="shared" ref="T146:T148" si="169">O146*S146</f>
        <v>0</v>
      </c>
      <c r="U146" s="36">
        <f>INDEX(cenník!$C$2:$I$568,MATCH($L146,cenník!$B$2:$B$557,0),MATCH(U$2,cenník!$C$1:$I$1,0))*O146</f>
        <v>0</v>
      </c>
    </row>
    <row r="147" spans="1:206" x14ac:dyDescent="0.25">
      <c r="A147" s="9"/>
      <c r="B147" s="9"/>
      <c r="C147" s="9"/>
      <c r="D147" s="9"/>
      <c r="E147" s="9"/>
      <c r="G147" s="9"/>
      <c r="H147" s="9"/>
      <c r="I147" s="9"/>
      <c r="J147" s="9"/>
      <c r="K147" s="9"/>
      <c r="L147" s="6" t="str">
        <f>IF(E132=$Z$2,"-------",IF(E132=$Z$3,"-------",IF(E132=$Z$4,"-------",IF(E132=$Z$5,"PW8E A2",0))))</f>
        <v>-------</v>
      </c>
      <c r="M147" s="11" t="str">
        <f>INDEX(cenník!$C$2:$I$568,MATCH($L147,cenník!$B$2:$B$557,0),MATCH(M$103,cenník!$C$1:$I$1,0))</f>
        <v>-------</v>
      </c>
      <c r="N147" s="11">
        <f>INDEX(cenník!$C$2:$I$568,MATCH($L147,cenník!$B$2:$B$557,0),MATCH(N$2,cenník!$C$1:$I$1,0))</f>
        <v>0</v>
      </c>
      <c r="O147" s="11">
        <f>IF(E132=$Z$2,0,IF(E132=$Z$3,0,IF(E132=$Z$4,0,IF(E132=$Z$5,ROUNDUP((O134*4)/100,0),0))))</f>
        <v>0</v>
      </c>
      <c r="P147" s="36">
        <f>INDEX(cenník!$C$2:$I$568,MATCH($L147,cenník!$B$2:$B$557,0),MATCH(P$2,cenník!$C$1:$I$1,0))</f>
        <v>0</v>
      </c>
      <c r="Q147" s="36">
        <f>O147*P147</f>
        <v>0</v>
      </c>
      <c r="R147" s="37">
        <f t="shared" si="167"/>
        <v>0</v>
      </c>
      <c r="S147" s="36">
        <f t="shared" si="160"/>
        <v>0</v>
      </c>
      <c r="T147" s="36">
        <f t="shared" si="169"/>
        <v>0</v>
      </c>
      <c r="U147" s="36">
        <f>INDEX(cenník!$C$2:$I$568,MATCH($L147,cenník!$B$2:$B$557,0),MATCH(U$2,cenník!$C$1:$I$1,0))*O147</f>
        <v>0</v>
      </c>
    </row>
    <row r="148" spans="1:206" x14ac:dyDescent="0.25">
      <c r="A148" s="9"/>
      <c r="B148" s="9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IF(E132=$Z$2,"-------",IF(E132=$Z$3,"-------",IF(E132=$Z$4,"-------",IF(E132=$Z$5,"NKZM8E A2",0))))</f>
        <v>-------</v>
      </c>
      <c r="M148" s="11" t="str">
        <f>INDEX(cenník!$C$2:$I$568,MATCH($L148,cenník!$B$2:$B$557,0),MATCH(M$103,cenník!$C$1:$I$1,0))</f>
        <v>-------</v>
      </c>
      <c r="N148" s="11">
        <f>INDEX(cenník!$C$2:$I$568,MATCH($L148,cenník!$B$2:$B$557,0),MATCH(N$2,cenník!$C$1:$I$1,0))</f>
        <v>0</v>
      </c>
      <c r="O148" s="11">
        <f>ROUNDUP((IF(L148="NKZM8E A2",O134*4,0)/100),0)</f>
        <v>0</v>
      </c>
      <c r="P148" s="36">
        <f>INDEX(cenník!$C$2:$I$568,MATCH($L148,cenník!$B$2:$B$557,0),MATCH(P$2,cenník!$C$1:$I$1,0))</f>
        <v>0</v>
      </c>
      <c r="Q148" s="36">
        <f t="shared" ref="Q148" si="170">O148*P148</f>
        <v>0</v>
      </c>
      <c r="R148" s="37">
        <f t="shared" si="167"/>
        <v>0</v>
      </c>
      <c r="S148" s="36">
        <f t="shared" si="160"/>
        <v>0</v>
      </c>
      <c r="T148" s="36">
        <f t="shared" si="169"/>
        <v>0</v>
      </c>
      <c r="U148" s="36">
        <f>INDEX(cenník!$C$2:$I$568,MATCH($L148,cenník!$B$2:$B$557,0),MATCH(U$2,cenník!$C$1:$I$1,0))*O148</f>
        <v>0</v>
      </c>
    </row>
    <row r="149" spans="1:206" x14ac:dyDescent="0.25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6" t="str">
        <f>IF(E132=$Z$2,"PC100C",IF(E132=$Z$3,"PC100C",IF(E132=$Z$4,"PC100C",IF(E132=$Z$5,"-------",0))))</f>
        <v>PC100C</v>
      </c>
      <c r="M149" s="11">
        <f>INDEX(cenník!$C$2:$I$568,MATCH($L149,cenník!$B$2:$B$557,0),MATCH(M$103,cenník!$C$1:$I$1,0))</f>
        <v>858433</v>
      </c>
      <c r="N149" s="11" t="str">
        <f>INDEX(cenník!$C$2:$I$568,MATCH($L149,cenník!$B$2:$B$557,0),MATCH(N$2,cenník!$C$1:$I$1,0))</f>
        <v>ks</v>
      </c>
      <c r="O149" s="11">
        <f>IF(E132=$Z$2,O134*3,IF(E132=$Z$3,O134*3,IF(E132=$Z$4,O134*3,0)))</f>
        <v>0</v>
      </c>
      <c r="P149" s="36">
        <f>INDEX(cenník!$C$2:$I$568,MATCH($L149,cenník!$B$2:$B$557,0),MATCH(P$2,cenník!$C$1:$I$1,0))</f>
        <v>2.34</v>
      </c>
      <c r="Q149" s="36">
        <f>O149*P149</f>
        <v>0</v>
      </c>
      <c r="R149" s="37">
        <f t="shared" si="167"/>
        <v>0</v>
      </c>
      <c r="S149" s="36">
        <f t="shared" si="160"/>
        <v>2.34</v>
      </c>
      <c r="T149" s="36">
        <f>O149*S149</f>
        <v>0</v>
      </c>
      <c r="U149" s="36">
        <f>INDEX(cenník!$C$2:$I$568,MATCH($L149,cenník!$B$2:$B$557,0),MATCH(U$2,cenník!$C$1:$I$1,0))*O149</f>
        <v>0</v>
      </c>
    </row>
    <row r="150" spans="1:206" x14ac:dyDescent="0.25">
      <c r="A150" s="9"/>
      <c r="B150" s="9"/>
      <c r="C150" s="9"/>
      <c r="D150" s="9"/>
      <c r="E150" s="9"/>
      <c r="F150" s="9"/>
      <c r="G150" s="9"/>
      <c r="H150" s="9"/>
      <c r="I150" s="9"/>
      <c r="J150" s="9"/>
      <c r="K150" s="9"/>
      <c r="L150" s="6" t="s">
        <v>178</v>
      </c>
      <c r="M150" s="11">
        <f>INDEX(cenník!$C$2:$I$568,MATCH($L150,cenník!$B$2:$B$557,0),MATCH(M$103,cenník!$C$1:$I$1,0))</f>
        <v>651643</v>
      </c>
      <c r="N150" s="11" t="str">
        <f>INDEX(cenník!$C$2:$I$568,MATCH($L150,cenník!$B$2:$B$557,0),MATCH(N$2,cenník!$C$1:$I$1,0))</f>
        <v>100ks</v>
      </c>
      <c r="O150" s="11">
        <f>ROUNDUP((O134*6+O133*8+IF(E132=$Z$2,O144*0,0)+E135)/100,0)</f>
        <v>0</v>
      </c>
      <c r="P150" s="36">
        <f>INDEX(cenník!$C$2:$I$568,MATCH($L150,cenník!$B$2:$B$557,0),MATCH(P$2,cenník!$C$1:$I$1,0))</f>
        <v>49.87</v>
      </c>
      <c r="Q150" s="36">
        <f>O150*P150</f>
        <v>0</v>
      </c>
      <c r="R150" s="37">
        <f t="shared" ref="R150:R153" si="171">$E$107</f>
        <v>0</v>
      </c>
      <c r="S150" s="36">
        <f t="shared" si="160"/>
        <v>49.87</v>
      </c>
      <c r="T150" s="36">
        <f>O150*S150</f>
        <v>0</v>
      </c>
      <c r="U150" s="36">
        <f>INDEX(cenník!$C$2:$I$568,MATCH($L150,cenník!$B$2:$B$557,0),MATCH(U$2,cenník!$C$1:$I$1,0))*O150</f>
        <v>0</v>
      </c>
    </row>
    <row r="151" spans="1:206" x14ac:dyDescent="0.25">
      <c r="A151" s="9"/>
      <c r="B151" s="9"/>
      <c r="C151" s="9"/>
      <c r="D151" s="9"/>
      <c r="E151" s="9"/>
      <c r="F151" s="9"/>
      <c r="G151" s="9"/>
      <c r="H151" s="9"/>
      <c r="I151" s="9"/>
      <c r="J151" s="9"/>
      <c r="K151" s="9"/>
      <c r="L151" s="6" t="s">
        <v>403</v>
      </c>
      <c r="M151" s="11">
        <f>INDEX(cenník!$C$2:$I$568,MATCH($L151,cenník!$B$2:$B$557,0),MATCH(M$103,cenník!$C$1:$I$1,0))</f>
        <v>65114197</v>
      </c>
      <c r="N151" s="11" t="str">
        <f>INDEX(cenník!$C$2:$I$568,MATCH($L151,cenník!$B$2:$B$557,0),MATCH(N$2,cenník!$C$1:$I$1,0))</f>
        <v>100ks</v>
      </c>
      <c r="O151" s="11">
        <f>ROUNDUP((O134*4)/100,0)</f>
        <v>0</v>
      </c>
      <c r="P151" s="36">
        <f>INDEX(cenník!$C$2:$I$568,MATCH($L151,cenník!$B$2:$B$557,0),MATCH(P$2,cenník!$C$1:$I$1,0))</f>
        <v>63.8</v>
      </c>
      <c r="Q151" s="36">
        <f t="shared" ref="Q151:Q152" si="172">O151*P151</f>
        <v>0</v>
      </c>
      <c r="R151" s="37">
        <f t="shared" si="171"/>
        <v>0</v>
      </c>
      <c r="S151" s="36">
        <f t="shared" si="160"/>
        <v>63.8</v>
      </c>
      <c r="T151" s="36">
        <f t="shared" ref="T151:T152" si="173">O151*S151</f>
        <v>0</v>
      </c>
      <c r="U151" s="36">
        <f>INDEX(cenník!$C$2:$I$568,MATCH($L151,cenník!$B$2:$B$557,0),MATCH(U$2,cenník!$C$1:$I$1,0))*O151</f>
        <v>0</v>
      </c>
    </row>
    <row r="152" spans="1:206" x14ac:dyDescent="0.25">
      <c r="A152" s="9"/>
      <c r="B152" s="9"/>
      <c r="C152" s="9"/>
      <c r="D152" s="9"/>
      <c r="E152" s="9"/>
      <c r="F152" s="16" t="str">
        <f>IF(L143="PSRM10X90F","NÁVRH KOTIEV - OVERÍ SA",IF(L143="-------","",""))</f>
        <v/>
      </c>
      <c r="G152" s="9"/>
      <c r="H152" s="9"/>
      <c r="I152" s="9"/>
      <c r="J152" s="9"/>
      <c r="K152" s="9"/>
      <c r="L152" s="6" t="s">
        <v>404</v>
      </c>
      <c r="M152" s="11">
        <f>INDEX(cenník!$C$2:$I$568,MATCH($L152,cenník!$B$2:$B$557,0),MATCH(M$103,cenník!$C$1:$I$1,0))</f>
        <v>6505443</v>
      </c>
      <c r="N152" s="11" t="str">
        <f>INDEX(cenník!$C$2:$I$568,MATCH($L152,cenník!$B$2:$B$557,0),MATCH(N$2,cenník!$C$1:$I$1,0))</f>
        <v>100ks</v>
      </c>
      <c r="O152" s="11">
        <f>O151</f>
        <v>0</v>
      </c>
      <c r="P152" s="36">
        <f>INDEX(cenník!$C$2:$I$568,MATCH($L152,cenník!$B$2:$B$557,0),MATCH(P$2,cenník!$C$1:$I$1,0))</f>
        <v>4.47</v>
      </c>
      <c r="Q152" s="36">
        <f t="shared" si="172"/>
        <v>0</v>
      </c>
      <c r="R152" s="37">
        <f t="shared" si="171"/>
        <v>0</v>
      </c>
      <c r="S152" s="36">
        <f t="shared" si="160"/>
        <v>4.47</v>
      </c>
      <c r="T152" s="36">
        <f t="shared" si="173"/>
        <v>0</v>
      </c>
      <c r="U152" s="36">
        <f>INDEX(cenník!$C$2:$I$568,MATCH($L152,cenník!$B$2:$B$557,0),MATCH(U$2,cenník!$C$1:$I$1,0))*O152</f>
        <v>0</v>
      </c>
    </row>
    <row r="153" spans="1:206" x14ac:dyDescent="0.25">
      <c r="L153" s="6" t="s">
        <v>410</v>
      </c>
      <c r="M153" s="11">
        <f>INDEX(cenník!$C$2:$I$568,MATCH($L153,cenník!$B$2:$B$557,0),MATCH(M$103,cenník!$C$1:$I$1,0))</f>
        <v>7041455</v>
      </c>
      <c r="N153" s="11" t="str">
        <f>INDEX(cenník!$C$2:$I$568,MATCH($L153,cenník!$B$2:$B$557,0),MATCH(N$2,cenník!$C$1:$I$1,0))</f>
        <v>ks</v>
      </c>
      <c r="O153" s="14">
        <f>O137</f>
        <v>0</v>
      </c>
      <c r="P153" s="36">
        <f>INDEX(cenník!$C$2:$I$568,MATCH($L153,cenník!$B$2:$B$557,0),MATCH(P$2,cenník!$C$1:$I$1,0))</f>
        <v>0.42</v>
      </c>
      <c r="Q153" s="36">
        <f t="shared" ref="Q153" si="174">O153*P153</f>
        <v>0</v>
      </c>
      <c r="R153" s="37">
        <f t="shared" si="171"/>
        <v>0</v>
      </c>
      <c r="S153" s="36">
        <f t="shared" si="160"/>
        <v>0.42</v>
      </c>
      <c r="T153" s="36">
        <f t="shared" ref="T153" si="175">O153*S153</f>
        <v>0</v>
      </c>
      <c r="U153" s="36">
        <f>INDEX(cenník!$C$2:$I$568,MATCH($L153,cenník!$B$2:$B$557,0),MATCH(U$2,cenník!$C$1:$I$1,0))*O153</f>
        <v>0</v>
      </c>
    </row>
    <row r="154" spans="1:206" x14ac:dyDescent="0.25">
      <c r="T154" s="36">
        <f>SUM(T131:T153)</f>
        <v>0</v>
      </c>
      <c r="U154" s="36">
        <f>SUM(U131:U153)</f>
        <v>0</v>
      </c>
    </row>
    <row r="155" spans="1:206" x14ac:dyDescent="0.25"/>
    <row r="156" spans="1:206" x14ac:dyDescent="0.25"/>
    <row r="157" spans="1:206" x14ac:dyDescent="0.25"/>
    <row r="158" spans="1:206" x14ac:dyDescent="0.25"/>
    <row r="159" spans="1:206" x14ac:dyDescent="0.25"/>
    <row r="160" spans="1:206" x14ac:dyDescent="0.25">
      <c r="GW160" s="72"/>
      <c r="GX160" s="72"/>
    </row>
    <row r="161" x14ac:dyDescent="0.25"/>
    <row r="162" x14ac:dyDescent="0.25"/>
    <row r="163" x14ac:dyDescent="0.25"/>
    <row r="164" x14ac:dyDescent="0.25"/>
    <row r="165" x14ac:dyDescent="0.25"/>
    <row r="166" x14ac:dyDescent="0.25"/>
    <row r="167" x14ac:dyDescent="0.25"/>
  </sheetData>
  <sheetProtection algorithmName="SHA-512" hashValue="hvpWNEGv1GTFHv/IT9OvnisRuGEZ0BedCCbAIp8uj/TEAhdkWd6xHZbKp+jdJPlHgRb5tufb2y0W4mV3QgbD5w==" saltValue="VX97nbKx3s1LZ2fxEJQtsg==" spinCount="100000" sheet="1" objects="1" scenarios="1"/>
  <mergeCells count="10">
    <mergeCell ref="L1:U1"/>
    <mergeCell ref="L26:U26"/>
    <mergeCell ref="L48:U48"/>
    <mergeCell ref="L75:U75"/>
    <mergeCell ref="L102:U102"/>
    <mergeCell ref="AD121:AF121"/>
    <mergeCell ref="AH121:AJ121"/>
    <mergeCell ref="L129:U129"/>
    <mergeCell ref="F132:I133"/>
    <mergeCell ref="F105:I106"/>
  </mergeCells>
  <conditionalFormatting sqref="AC40:AH40 Z40">
    <cfRule type="duplicateValues" dxfId="13" priority="3"/>
  </conditionalFormatting>
  <conditionalFormatting sqref="AF29:AH29 AC64:AE64 Z64">
    <cfRule type="duplicateValues" dxfId="12" priority="907"/>
  </conditionalFormatting>
  <conditionalFormatting sqref="AW98">
    <cfRule type="duplicateValues" dxfId="11" priority="1"/>
  </conditionalFormatting>
  <dataValidations count="22">
    <dataValidation type="list" allowBlank="1" showInputMessage="1" showErrorMessage="1" sqref="A27:A43" xr:uid="{00000000-0002-0000-0300-000000000000}">
      <formula1>$EA$1:$EA$26</formula1>
    </dataValidation>
    <dataValidation type="list" allowBlank="1" showInputMessage="1" showErrorMessage="1" sqref="E28 E3" xr:uid="{00000000-0002-0000-0300-000001000000}">
      <formula1>$X$7:$X$16</formula1>
    </dataValidation>
    <dataValidation type="whole" allowBlank="1" showInputMessage="1" showErrorMessage="1" sqref="E55 E108 E135" xr:uid="{00000000-0002-0000-0300-000002000000}">
      <formula1>0</formula1>
      <formula2>5000</formula2>
    </dataValidation>
    <dataValidation type="whole" allowBlank="1" showInputMessage="1" showErrorMessage="1" sqref="E83" xr:uid="{00000000-0002-0000-0300-000003000000}">
      <formula1>0</formula1>
      <formula2>1000</formula2>
    </dataValidation>
    <dataValidation type="list" allowBlank="1" showInputMessage="1" showErrorMessage="1" sqref="E6 E30 E105 E132" xr:uid="{00000000-0002-0000-0300-000004000000}">
      <formula1>$Z$2:$Z$5</formula1>
    </dataValidation>
    <dataValidation type="list" allowBlank="1" showInputMessage="1" showErrorMessage="1" sqref="E52 E80" xr:uid="{00000000-0002-0000-0300-000005000000}">
      <formula1>$Z$2:$Z$3</formula1>
    </dataValidation>
    <dataValidation type="list" allowBlank="1" showInputMessage="1" showErrorMessage="1" sqref="E50 E77" xr:uid="{00000000-0002-0000-0300-000006000000}">
      <formula1>$X$7:$X$9</formula1>
    </dataValidation>
    <dataValidation type="custom" showInputMessage="1" showErrorMessage="1" error="W pierwszej kolejności należy uzupełnić ilość modułów w rzędzie" sqref="C2:C17 C49:C64 C76 C27:C43 C103:C118 C130:C145" xr:uid="{00000000-0002-0000-0300-000007000000}">
      <formula1>A2&gt;0</formula1>
    </dataValidation>
    <dataValidation type="list" allowBlank="1" showInputMessage="1" showErrorMessage="1" sqref="E53 E81" xr:uid="{00000000-0002-0000-0300-000008000000}">
      <formula1>$EB$5:$EB$7</formula1>
    </dataValidation>
    <dataValidation type="list" allowBlank="1" showInputMessage="1" showErrorMessage="1" sqref="E31 E7 E106 E133" xr:uid="{00000000-0002-0000-0300-000009000000}">
      <formula1>$EB$2:$EB$4</formula1>
    </dataValidation>
    <dataValidation type="list" allowBlank="1" showInputMessage="1" showErrorMessage="1" sqref="E4 E78" xr:uid="{00000000-0002-0000-0300-00000A000000}">
      <formula1>$Y$4:$Y$5</formula1>
    </dataValidation>
    <dataValidation type="list" allowBlank="1" showInputMessage="1" showErrorMessage="1" sqref="E5 E51 E29 E79" xr:uid="{00000000-0002-0000-0300-00000B000000}">
      <formula1>$X$4:$X$5</formula1>
    </dataValidation>
    <dataValidation type="list" allowBlank="1" showInputMessage="1" showErrorMessage="1" sqref="I3 I77 I50 I28" xr:uid="{00000000-0002-0000-0300-00000C000000}">
      <formula1>$EB$30:$EB$37</formula1>
    </dataValidation>
    <dataValidation type="list" allowBlank="1" showInputMessage="1" showErrorMessage="1" sqref="E131 E104" xr:uid="{00000000-0002-0000-0300-00000D000000}">
      <formula1>$X$7:$X$24</formula1>
    </dataValidation>
    <dataValidation type="list" allowBlank="1" showInputMessage="1" showErrorMessage="1" sqref="I104 I131" xr:uid="{00000000-0002-0000-0300-00000E000000}">
      <formula1>$EB$30:$EB$34</formula1>
    </dataValidation>
    <dataValidation type="list" allowBlank="1" showInputMessage="1" showErrorMessage="1" sqref="G77 G50 G3 G28" xr:uid="{00000000-0002-0000-0300-00000F000000}">
      <formula1>$X$26:$X$29</formula1>
    </dataValidation>
    <dataValidation type="list" allowBlank="1" showInputMessage="1" showErrorMessage="1" sqref="G104 G131" xr:uid="{00000000-0002-0000-0300-000010000000}">
      <formula1>$X$26:$X$33</formula1>
    </dataValidation>
    <dataValidation type="list" allowBlank="1" showInputMessage="1" showErrorMessage="1" sqref="E59 E87 E112 E139" xr:uid="{00000000-0002-0000-0300-000011000000}">
      <formula1>$EB$40:$EB$44</formula1>
    </dataValidation>
    <dataValidation type="list" allowBlank="1" showInputMessage="1" showErrorMessage="1" sqref="E58 E86 E111 E138" xr:uid="{00000000-0002-0000-0300-000012000000}">
      <formula1>$EB$46:$EB$48</formula1>
    </dataValidation>
    <dataValidation type="list" allowBlank="1" showInputMessage="1" showErrorMessage="1" sqref="A2:A17 A103:A118" xr:uid="{00000000-0002-0000-0300-000013000000}">
      <formula1>$DZ$1:$DZ$21</formula1>
    </dataValidation>
    <dataValidation type="list" allowBlank="1" showInputMessage="1" showErrorMessage="1" sqref="A130:A145" xr:uid="{00000000-0002-0000-0300-000014000000}">
      <formula1>$EA$1:$EA$21</formula1>
    </dataValidation>
    <dataValidation type="list" allowBlank="1" showInputMessage="1" showErrorMessage="1" sqref="A49:A64 A76:A91" xr:uid="{00000000-0002-0000-0300-000015000000}">
      <formula1>$DZ$1:$DZ$31</formula1>
    </dataValidation>
  </dataValidations>
  <hyperlinks>
    <hyperlink ref="D11" r:id="rId1" xr:uid="{9169F555-6DA2-48D8-84D8-183F05EFE784}"/>
    <hyperlink ref="D12" r:id="rId2" xr:uid="{ED7172CA-9D68-4F68-BB2C-6C60EBA5A4BB}"/>
    <hyperlink ref="D13" r:id="rId3" xr:uid="{8248A609-BF83-43E0-A438-DA36FF6E5BAB}"/>
    <hyperlink ref="D14" r:id="rId4" xr:uid="{74D85AFF-0F3E-47BD-AB1A-A5020EFD6177}"/>
    <hyperlink ref="D35" r:id="rId5" xr:uid="{E90608C2-6EB1-444C-84A3-75012A1D0C6A}"/>
    <hyperlink ref="D36" r:id="rId6" xr:uid="{69EA741A-7B98-4E71-8F60-6AE1EB4B9C15}"/>
    <hyperlink ref="D37" r:id="rId7" xr:uid="{55A50417-4A19-46CC-B8B5-A92835ABF93B}"/>
    <hyperlink ref="D38" r:id="rId8" xr:uid="{26DAB263-B658-47C7-9D4A-B8D61C66284E}"/>
    <hyperlink ref="D60" r:id="rId9" xr:uid="{8302AA4E-7673-4E4B-AD18-D3D0E898A1A8}"/>
    <hyperlink ref="D61" r:id="rId10" xr:uid="{49B71BE9-B04F-4780-97C4-5A212C743B4D}"/>
    <hyperlink ref="D88" r:id="rId11" xr:uid="{3A730A8D-BEA4-4B78-AF7F-3A07B71D5258}"/>
    <hyperlink ref="D89" r:id="rId12" xr:uid="{79AA1108-7165-4F95-B55F-EA27EBD9DC12}"/>
    <hyperlink ref="D113" r:id="rId13" xr:uid="{233C2783-3EC1-45E2-A9A2-E33C70CF9F22}"/>
    <hyperlink ref="D114" r:id="rId14" xr:uid="{95299DB0-E601-42C6-A6A2-400663B41248}"/>
    <hyperlink ref="D115" r:id="rId15" xr:uid="{124427F6-4FEB-4A0D-8044-AC251C76D077}"/>
    <hyperlink ref="D116" r:id="rId16" xr:uid="{FF04178C-49CC-437D-84AA-8B2FFFD21768}"/>
    <hyperlink ref="D140" r:id="rId17" xr:uid="{7F8630A5-76D0-4079-B443-F4C8E69C377E}"/>
    <hyperlink ref="D141" r:id="rId18" xr:uid="{F2288FA6-582D-4D50-B76D-BDE4ABC40CAA}"/>
    <hyperlink ref="D142" r:id="rId19" xr:uid="{BDF1E739-48C0-4D8F-8117-88E6F074299C}"/>
    <hyperlink ref="D143" r:id="rId20" xr:uid="{DAE8870C-8ECA-41BD-BC66-BE681C358996}"/>
  </hyperlinks>
  <pageMargins left="0.7" right="0.7" top="0.75" bottom="0.75" header="0.3" footer="0.3"/>
  <pageSetup paperSize="9" orientation="portrait" r:id="rId21"/>
  <drawing r:id="rId22"/>
  <legacyDrawing r:id="rId2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Arkusz5"/>
  <dimension ref="A1:IT282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9.7109375" customWidth="1"/>
    <col min="2" max="2" width="2.140625" bestFit="1" customWidth="1"/>
    <col min="3" max="3" width="10.140625" customWidth="1"/>
    <col min="4" max="4" width="26.140625" customWidth="1"/>
    <col min="5" max="5" width="18.7109375" customWidth="1"/>
    <col min="6" max="6" width="2.140625" bestFit="1" customWidth="1"/>
    <col min="7" max="7" width="9.140625" customWidth="1"/>
    <col min="8" max="8" width="2.140625" bestFit="1" customWidth="1"/>
    <col min="9" max="9" width="3.42578125" bestFit="1" customWidth="1"/>
    <col min="10" max="11" width="9.140625" customWidth="1"/>
    <col min="12" max="12" width="20.85546875" bestFit="1" customWidth="1"/>
    <col min="13" max="13" width="13.85546875" bestFit="1" customWidth="1"/>
    <col min="14" max="14" width="7.42578125" bestFit="1" customWidth="1"/>
    <col min="15" max="15" width="6.7109375" customWidth="1"/>
    <col min="16" max="16" width="12.42578125" bestFit="1" customWidth="1"/>
    <col min="17" max="17" width="15" bestFit="1" customWidth="1"/>
    <col min="18" max="18" width="5.7109375" bestFit="1" customWidth="1"/>
    <col min="19" max="19" width="21.140625" bestFit="1" customWidth="1"/>
    <col min="20" max="20" width="23.85546875" bestFit="1" customWidth="1"/>
    <col min="21" max="21" width="13.5703125" bestFit="1" customWidth="1"/>
    <col min="22" max="34" width="9.140625" style="68" customWidth="1"/>
    <col min="35" max="42" width="9.140625" style="68" hidden="1" customWidth="1"/>
    <col min="43" max="43" width="17.140625" style="68" hidden="1" customWidth="1"/>
    <col min="44" max="44" width="16.140625" style="68" hidden="1" customWidth="1"/>
    <col min="45" max="45" width="14.7109375" style="68" hidden="1" customWidth="1"/>
    <col min="46" max="46" width="14.5703125" style="68" hidden="1" customWidth="1"/>
    <col min="47" max="60" width="9.140625" style="68" hidden="1" customWidth="1"/>
    <col min="61" max="61" width="2.42578125" style="68" hidden="1" customWidth="1"/>
    <col min="62" max="73" width="3.42578125" style="68" hidden="1" customWidth="1"/>
    <col min="74" max="75" width="9.140625" style="68" hidden="1" customWidth="1"/>
    <col min="76" max="88" width="3.42578125" style="68" hidden="1" customWidth="1"/>
    <col min="89" max="92" width="9.140625" style="68" hidden="1" customWidth="1"/>
    <col min="93" max="105" width="3.5703125" style="68" hidden="1" customWidth="1"/>
    <col min="106" max="107" width="9.140625" style="68" hidden="1" customWidth="1"/>
    <col min="108" max="118" width="3.5703125" style="68" hidden="1" customWidth="1"/>
    <col min="119" max="119" width="3.42578125" style="68" hidden="1" customWidth="1"/>
    <col min="120" max="120" width="3.5703125" style="68" hidden="1" customWidth="1"/>
    <col min="121" max="123" width="9.140625" style="160" hidden="1" customWidth="1"/>
    <col min="124" max="124" width="9.140625" style="68" hidden="1" customWidth="1"/>
    <col min="125" max="137" width="3.5703125" style="68" hidden="1" customWidth="1"/>
    <col min="138" max="141" width="9.140625" style="68" hidden="1" customWidth="1"/>
    <col min="142" max="154" width="3.5703125" style="68" hidden="1" customWidth="1"/>
    <col min="155" max="156" width="9.140625" style="68" hidden="1" customWidth="1"/>
    <col min="157" max="169" width="3.5703125" style="68" hidden="1" customWidth="1"/>
    <col min="170" max="171" width="9.140625" style="68" hidden="1" customWidth="1"/>
    <col min="172" max="184" width="3.5703125" style="68" hidden="1" customWidth="1"/>
    <col min="185" max="186" width="9.140625" style="68" hidden="1" customWidth="1"/>
    <col min="187" max="199" width="3.5703125" style="68" hidden="1" customWidth="1"/>
    <col min="200" max="201" width="9.140625" style="68" hidden="1" customWidth="1"/>
    <col min="202" max="252" width="3.5703125" style="68" hidden="1" customWidth="1"/>
    <col min="253" max="16384" width="9.140625" style="68" hidden="1"/>
  </cols>
  <sheetData>
    <row r="1" spans="1:216" ht="39" x14ac:dyDescent="0.25">
      <c r="A1" s="3" t="s">
        <v>554</v>
      </c>
      <c r="B1" s="3"/>
      <c r="C1" s="3" t="s">
        <v>555</v>
      </c>
      <c r="D1" s="9"/>
      <c r="E1" s="9"/>
      <c r="F1" s="9"/>
      <c r="G1" s="9"/>
      <c r="H1" s="9"/>
      <c r="I1" s="9"/>
      <c r="J1" s="9"/>
      <c r="K1" s="9"/>
      <c r="L1" s="221" t="str">
        <f>INDEX((AK33:AN34),MATCH(E10,AJ33:AJ34,0),MATCH(E5,AK32:AN32,0))</f>
        <v>KONŠTRUKCIA W-H5G2-30°</v>
      </c>
      <c r="M1" s="221"/>
      <c r="N1" s="221"/>
      <c r="O1" s="221"/>
      <c r="P1" s="221"/>
      <c r="Q1" s="221"/>
      <c r="R1" s="221"/>
      <c r="S1" s="221"/>
      <c r="T1" s="221"/>
      <c r="U1" s="221"/>
      <c r="V1" s="82"/>
      <c r="W1" s="82"/>
      <c r="X1" s="82"/>
      <c r="Y1" s="82"/>
      <c r="Z1" s="82"/>
      <c r="AA1" s="83" t="s">
        <v>124</v>
      </c>
      <c r="AB1" s="84" t="s">
        <v>126</v>
      </c>
      <c r="AC1" s="64"/>
      <c r="AD1" s="64"/>
      <c r="AE1" s="64"/>
      <c r="AF1" s="64"/>
      <c r="AG1" s="64"/>
      <c r="AH1" s="64"/>
      <c r="AI1" s="64"/>
      <c r="AJ1" s="64"/>
      <c r="AK1" s="64"/>
      <c r="AL1" s="64"/>
      <c r="AM1" s="64"/>
      <c r="AN1" s="64"/>
      <c r="AO1" s="64"/>
      <c r="AP1" s="64"/>
      <c r="AQ1" s="64"/>
      <c r="AR1" s="82" t="s">
        <v>332</v>
      </c>
      <c r="AS1" s="85"/>
      <c r="AT1" s="85"/>
      <c r="AU1" s="85"/>
      <c r="AV1" s="64"/>
      <c r="AX1" s="86"/>
      <c r="AY1" s="64"/>
      <c r="AZ1" s="64"/>
      <c r="BA1" s="64"/>
      <c r="BG1" s="84" t="s">
        <v>126</v>
      </c>
      <c r="BH1" s="64"/>
      <c r="BI1" s="64"/>
      <c r="BJ1" s="64"/>
      <c r="BK1" s="64"/>
      <c r="BL1" s="64"/>
      <c r="BM1" s="64"/>
      <c r="BN1" s="64"/>
      <c r="BO1" s="64"/>
      <c r="BP1" s="64"/>
      <c r="BQ1" s="64"/>
      <c r="BR1" s="64"/>
      <c r="BS1" s="64"/>
      <c r="BT1" s="64"/>
      <c r="BU1" s="64"/>
      <c r="BV1" s="64"/>
      <c r="BW1" s="64"/>
      <c r="BX1" s="64"/>
      <c r="BY1" s="64"/>
      <c r="BZ1" s="64"/>
      <c r="CA1" s="64"/>
      <c r="CB1" s="64"/>
      <c r="CC1" s="64"/>
      <c r="CD1" s="64"/>
      <c r="CE1" s="64"/>
      <c r="CF1" s="64"/>
      <c r="CG1" s="64"/>
      <c r="CH1" s="64"/>
      <c r="CI1" s="64"/>
      <c r="CJ1" s="64"/>
      <c r="CK1" s="64"/>
      <c r="CL1" s="64"/>
      <c r="CM1" s="64"/>
      <c r="CN1" s="64"/>
      <c r="CO1" s="64"/>
      <c r="CP1" s="64"/>
      <c r="CQ1" s="64"/>
      <c r="CR1" s="64"/>
      <c r="CS1" s="64"/>
      <c r="CT1" s="64"/>
      <c r="CU1" s="64"/>
      <c r="CV1" s="64"/>
      <c r="CW1" s="64"/>
      <c r="CX1" s="64"/>
      <c r="CY1" s="64"/>
      <c r="CZ1" s="64"/>
      <c r="DA1" s="64"/>
      <c r="DB1" s="64"/>
      <c r="DC1" s="64"/>
      <c r="DD1" s="64"/>
      <c r="DE1" s="64"/>
      <c r="DF1" s="64"/>
      <c r="DG1" s="64"/>
      <c r="DH1" s="64"/>
      <c r="DI1" s="64"/>
      <c r="DJ1" s="64"/>
      <c r="DK1" s="64"/>
      <c r="DL1" s="64"/>
      <c r="DM1" s="64"/>
      <c r="DN1" s="64"/>
      <c r="DO1" s="64"/>
      <c r="DP1" s="64"/>
      <c r="DQ1" s="80"/>
      <c r="DR1" s="80">
        <v>0</v>
      </c>
      <c r="DS1" s="80"/>
      <c r="DT1" s="64"/>
      <c r="DU1" s="64"/>
      <c r="DV1" s="64"/>
      <c r="DW1" s="64"/>
      <c r="DX1" s="64"/>
      <c r="DY1" s="64"/>
      <c r="DZ1" s="64"/>
      <c r="EA1" s="64"/>
      <c r="EB1" s="64"/>
      <c r="EC1" s="64"/>
      <c r="ED1" s="64"/>
      <c r="EE1" s="64"/>
      <c r="EF1" s="64"/>
      <c r="EG1" s="64"/>
      <c r="EH1" s="64"/>
      <c r="EI1" s="64"/>
      <c r="EJ1" s="65" t="s">
        <v>358</v>
      </c>
      <c r="EK1" s="66"/>
      <c r="EL1" s="66"/>
      <c r="EM1" s="66"/>
      <c r="EN1" s="66"/>
      <c r="EO1" s="66"/>
      <c r="EP1" s="66"/>
      <c r="EQ1" s="66"/>
      <c r="ER1" s="66"/>
      <c r="ES1" s="66"/>
      <c r="ET1" s="66"/>
      <c r="EU1" s="66"/>
      <c r="EV1" s="66"/>
      <c r="EW1" s="66"/>
      <c r="EX1" s="66"/>
      <c r="EY1" s="66"/>
      <c r="EZ1" s="66"/>
      <c r="FA1" s="66"/>
      <c r="FB1" s="66"/>
      <c r="FC1" s="66"/>
      <c r="FD1" s="66"/>
      <c r="FE1" s="66"/>
      <c r="FF1" s="66"/>
      <c r="FG1" s="66"/>
      <c r="FH1" s="66"/>
      <c r="FI1" s="66"/>
      <c r="FJ1" s="66"/>
      <c r="FK1" s="66"/>
      <c r="FL1" s="66"/>
      <c r="FM1" s="66"/>
      <c r="FN1" s="66"/>
      <c r="FO1" s="66"/>
      <c r="FP1" s="66"/>
      <c r="FQ1" s="66"/>
      <c r="FR1" s="66"/>
      <c r="FS1" s="66"/>
      <c r="FT1" s="66"/>
      <c r="FU1" s="66"/>
      <c r="FV1" s="66"/>
      <c r="FW1" s="66"/>
      <c r="FX1" s="66"/>
      <c r="FY1" s="66"/>
      <c r="FZ1" s="66"/>
      <c r="GA1" s="66"/>
      <c r="GB1" s="66"/>
      <c r="GC1" s="66"/>
      <c r="GD1" s="66"/>
      <c r="GE1" s="66"/>
      <c r="GF1" s="66"/>
      <c r="GG1" s="66"/>
      <c r="GH1" s="66"/>
      <c r="GI1" s="66"/>
      <c r="GJ1" s="66"/>
      <c r="GK1" s="66"/>
      <c r="GL1" s="66"/>
      <c r="GM1" s="66"/>
      <c r="GN1" s="66"/>
      <c r="GO1" s="66"/>
      <c r="GP1" s="66"/>
      <c r="GQ1" s="66"/>
      <c r="GR1" s="66"/>
      <c r="GS1" s="66"/>
      <c r="GT1" s="66"/>
      <c r="GU1" s="66"/>
      <c r="GV1" s="66"/>
      <c r="GW1" s="66"/>
      <c r="GX1" s="66"/>
      <c r="GY1" s="66"/>
      <c r="GZ1" s="66"/>
      <c r="HA1" s="66"/>
      <c r="HB1" s="66"/>
      <c r="HC1" s="66"/>
      <c r="HD1" s="66"/>
      <c r="HE1" s="66"/>
      <c r="HF1" s="66"/>
      <c r="HG1" s="67"/>
      <c r="HH1" s="64"/>
    </row>
    <row r="2" spans="1:216" x14ac:dyDescent="0.25">
      <c r="A2" s="8"/>
      <c r="B2" s="5" t="s">
        <v>61</v>
      </c>
      <c r="C2" s="8"/>
      <c r="D2" s="9"/>
      <c r="E2" s="1"/>
      <c r="F2" s="9"/>
      <c r="G2" s="9"/>
      <c r="H2" s="9"/>
      <c r="I2" s="9"/>
      <c r="J2" s="9"/>
      <c r="K2" s="9"/>
      <c r="L2" s="5" t="s">
        <v>53</v>
      </c>
      <c r="M2" s="5" t="s">
        <v>559</v>
      </c>
      <c r="N2" s="5" t="s">
        <v>436</v>
      </c>
      <c r="O2" s="5" t="s">
        <v>442</v>
      </c>
      <c r="P2" s="5" t="s">
        <v>443</v>
      </c>
      <c r="Q2" s="5" t="s">
        <v>444</v>
      </c>
      <c r="R2" s="5" t="s">
        <v>445</v>
      </c>
      <c r="S2" s="5" t="s">
        <v>446</v>
      </c>
      <c r="T2" s="5" t="s">
        <v>447</v>
      </c>
      <c r="U2" s="5" t="s">
        <v>438</v>
      </c>
      <c r="V2" s="82"/>
      <c r="W2" s="82"/>
      <c r="X2" s="82"/>
      <c r="Y2" s="82"/>
      <c r="Z2" s="82"/>
      <c r="AA2" s="64">
        <f>(VLOOKUP(BG2,$AY$5:$BA$9,3,1))*C2</f>
        <v>0</v>
      </c>
      <c r="AB2" s="64">
        <f t="shared" ref="AB2:AB17" si="0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0</v>
      </c>
      <c r="AC2" s="85" t="s">
        <v>466</v>
      </c>
      <c r="AD2" s="85" t="s">
        <v>66</v>
      </c>
      <c r="AE2" s="64"/>
      <c r="AF2" s="64"/>
      <c r="AG2" s="72" t="s">
        <v>66</v>
      </c>
      <c r="AH2" s="72" t="s">
        <v>466</v>
      </c>
      <c r="AI2" s="72" t="s">
        <v>467</v>
      </c>
      <c r="AJ2" s="82"/>
      <c r="AK2" s="82"/>
      <c r="AL2" s="72" t="s">
        <v>74</v>
      </c>
      <c r="AM2" s="72" t="s">
        <v>466</v>
      </c>
      <c r="AN2" s="72" t="s">
        <v>467</v>
      </c>
      <c r="AO2" s="82"/>
      <c r="AP2" s="82"/>
      <c r="AQ2" s="82"/>
      <c r="AR2" s="85">
        <v>25</v>
      </c>
      <c r="AS2" s="68" t="s">
        <v>515</v>
      </c>
      <c r="AT2" s="68" t="s">
        <v>516</v>
      </c>
      <c r="AU2" s="68" t="s">
        <v>483</v>
      </c>
      <c r="AV2" s="68" t="s">
        <v>517</v>
      </c>
      <c r="AX2" s="86"/>
      <c r="AY2" s="82"/>
      <c r="AZ2" s="82"/>
      <c r="BA2" s="64"/>
      <c r="BG2" s="87">
        <f t="shared" ref="BG2:BG17" si="1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1</v>
      </c>
      <c r="BH2" s="64" t="s">
        <v>56</v>
      </c>
      <c r="BI2" s="64">
        <v>0</v>
      </c>
      <c r="BJ2" s="64">
        <v>8</v>
      </c>
      <c r="BK2" s="64">
        <v>12</v>
      </c>
      <c r="BL2" s="64">
        <v>16</v>
      </c>
      <c r="BM2" s="64">
        <v>20</v>
      </c>
      <c r="BN2" s="64">
        <v>24</v>
      </c>
      <c r="BO2" s="64">
        <v>28</v>
      </c>
      <c r="BP2" s="64">
        <v>32</v>
      </c>
      <c r="BQ2" s="64">
        <v>36</v>
      </c>
      <c r="BR2" s="64">
        <v>40</v>
      </c>
      <c r="BS2" s="64">
        <v>44</v>
      </c>
      <c r="BT2" s="64">
        <v>48</v>
      </c>
      <c r="BU2" s="64">
        <v>52</v>
      </c>
      <c r="BV2" s="64"/>
      <c r="BW2" s="64" t="s">
        <v>195</v>
      </c>
      <c r="BX2" s="64">
        <v>0</v>
      </c>
      <c r="BY2" s="64">
        <v>8</v>
      </c>
      <c r="BZ2" s="64">
        <v>12</v>
      </c>
      <c r="CA2" s="64">
        <v>16</v>
      </c>
      <c r="CB2" s="64">
        <v>20</v>
      </c>
      <c r="CC2" s="64">
        <v>24</v>
      </c>
      <c r="CD2" s="64">
        <v>28</v>
      </c>
      <c r="CE2" s="64">
        <v>32</v>
      </c>
      <c r="CF2" s="64">
        <v>36</v>
      </c>
      <c r="CG2" s="64">
        <v>40</v>
      </c>
      <c r="CH2" s="64">
        <v>44</v>
      </c>
      <c r="CI2" s="64">
        <v>48</v>
      </c>
      <c r="CJ2" s="64">
        <v>52</v>
      </c>
      <c r="CK2" s="64"/>
      <c r="CL2" s="64"/>
      <c r="CM2" s="64"/>
      <c r="CN2" s="64" t="s">
        <v>198</v>
      </c>
      <c r="CO2" s="64">
        <v>0</v>
      </c>
      <c r="CP2" s="64">
        <v>8</v>
      </c>
      <c r="CQ2" s="64">
        <v>12</v>
      </c>
      <c r="CR2" s="64">
        <v>16</v>
      </c>
      <c r="CS2" s="64">
        <v>20</v>
      </c>
      <c r="CT2" s="64">
        <v>24</v>
      </c>
      <c r="CU2" s="64">
        <v>28</v>
      </c>
      <c r="CV2" s="64">
        <v>32</v>
      </c>
      <c r="CW2" s="64">
        <v>36</v>
      </c>
      <c r="CX2" s="64">
        <v>40</v>
      </c>
      <c r="CY2" s="64">
        <v>44</v>
      </c>
      <c r="CZ2" s="64">
        <v>48</v>
      </c>
      <c r="DA2" s="64">
        <v>52</v>
      </c>
      <c r="DB2" s="64"/>
      <c r="DC2" s="64" t="s">
        <v>72</v>
      </c>
      <c r="DD2" s="64">
        <v>0</v>
      </c>
      <c r="DE2" s="64">
        <v>8</v>
      </c>
      <c r="DF2" s="64">
        <v>12</v>
      </c>
      <c r="DG2" s="64">
        <v>16</v>
      </c>
      <c r="DH2" s="64">
        <v>20</v>
      </c>
      <c r="DI2" s="64">
        <v>24</v>
      </c>
      <c r="DJ2" s="64">
        <v>28</v>
      </c>
      <c r="DK2" s="64">
        <v>32</v>
      </c>
      <c r="DL2" s="64">
        <v>36</v>
      </c>
      <c r="DM2" s="64">
        <v>40</v>
      </c>
      <c r="DN2" s="64">
        <v>44</v>
      </c>
      <c r="DO2" s="64">
        <v>48</v>
      </c>
      <c r="DP2" s="64">
        <v>52</v>
      </c>
      <c r="DQ2" s="80"/>
      <c r="DR2" s="80">
        <v>8</v>
      </c>
      <c r="DS2" s="80"/>
      <c r="DT2" s="64" t="s">
        <v>232</v>
      </c>
      <c r="DU2" s="64">
        <v>0</v>
      </c>
      <c r="DV2" s="64">
        <v>8</v>
      </c>
      <c r="DW2" s="64">
        <v>12</v>
      </c>
      <c r="DX2" s="64">
        <v>16</v>
      </c>
      <c r="DY2" s="64">
        <v>20</v>
      </c>
      <c r="DZ2" s="64">
        <v>24</v>
      </c>
      <c r="EA2" s="64">
        <v>28</v>
      </c>
      <c r="EB2" s="64">
        <v>32</v>
      </c>
      <c r="EC2" s="64">
        <v>36</v>
      </c>
      <c r="ED2" s="64">
        <v>40</v>
      </c>
      <c r="EE2" s="64">
        <v>44</v>
      </c>
      <c r="EF2" s="64">
        <v>48</v>
      </c>
      <c r="EG2" s="64">
        <v>52</v>
      </c>
      <c r="EH2" s="64"/>
      <c r="EI2" s="64"/>
      <c r="EJ2" s="69"/>
      <c r="EK2" s="64" t="s">
        <v>56</v>
      </c>
      <c r="EL2" s="64">
        <v>0</v>
      </c>
      <c r="EM2" s="64">
        <v>8</v>
      </c>
      <c r="EN2" s="64">
        <v>12</v>
      </c>
      <c r="EO2" s="64">
        <v>16</v>
      </c>
      <c r="EP2" s="64">
        <v>20</v>
      </c>
      <c r="EQ2" s="64">
        <v>24</v>
      </c>
      <c r="ER2" s="64">
        <v>28</v>
      </c>
      <c r="ES2" s="64">
        <v>32</v>
      </c>
      <c r="ET2" s="64">
        <v>36</v>
      </c>
      <c r="EU2" s="64">
        <v>40</v>
      </c>
      <c r="EV2" s="64">
        <v>44</v>
      </c>
      <c r="EW2" s="64">
        <v>48</v>
      </c>
      <c r="EX2" s="64">
        <v>52</v>
      </c>
      <c r="EY2" s="64"/>
      <c r="EZ2" s="64" t="s">
        <v>195</v>
      </c>
      <c r="FA2" s="64">
        <v>0</v>
      </c>
      <c r="FB2" s="64">
        <v>8</v>
      </c>
      <c r="FC2" s="64">
        <v>12</v>
      </c>
      <c r="FD2" s="64">
        <v>16</v>
      </c>
      <c r="FE2" s="64">
        <v>20</v>
      </c>
      <c r="FF2" s="64">
        <v>24</v>
      </c>
      <c r="FG2" s="64">
        <v>28</v>
      </c>
      <c r="FH2" s="64">
        <v>32</v>
      </c>
      <c r="FI2" s="64">
        <v>36</v>
      </c>
      <c r="FJ2" s="64">
        <v>40</v>
      </c>
      <c r="FK2" s="64">
        <v>44</v>
      </c>
      <c r="FL2" s="64">
        <v>48</v>
      </c>
      <c r="FM2" s="64">
        <v>52</v>
      </c>
      <c r="FN2" s="64"/>
      <c r="FO2" s="64" t="s">
        <v>198</v>
      </c>
      <c r="FP2" s="64">
        <v>0</v>
      </c>
      <c r="FQ2" s="64">
        <v>8</v>
      </c>
      <c r="FR2" s="64">
        <v>12</v>
      </c>
      <c r="FS2" s="64">
        <v>16</v>
      </c>
      <c r="FT2" s="64">
        <v>20</v>
      </c>
      <c r="FU2" s="64">
        <v>24</v>
      </c>
      <c r="FV2" s="64">
        <v>28</v>
      </c>
      <c r="FW2" s="64">
        <v>32</v>
      </c>
      <c r="FX2" s="64">
        <v>36</v>
      </c>
      <c r="FY2" s="64">
        <v>40</v>
      </c>
      <c r="FZ2" s="64">
        <v>44</v>
      </c>
      <c r="GA2" s="64">
        <v>48</v>
      </c>
      <c r="GB2" s="64">
        <v>52</v>
      </c>
      <c r="GC2" s="64"/>
      <c r="GD2" s="64" t="s">
        <v>72</v>
      </c>
      <c r="GE2" s="64">
        <v>0</v>
      </c>
      <c r="GF2" s="64">
        <v>8</v>
      </c>
      <c r="GG2" s="64">
        <v>12</v>
      </c>
      <c r="GH2" s="64">
        <v>16</v>
      </c>
      <c r="GI2" s="64">
        <v>20</v>
      </c>
      <c r="GJ2" s="64">
        <v>24</v>
      </c>
      <c r="GK2" s="64">
        <v>28</v>
      </c>
      <c r="GL2" s="64">
        <v>32</v>
      </c>
      <c r="GM2" s="64">
        <v>36</v>
      </c>
      <c r="GN2" s="64">
        <v>40</v>
      </c>
      <c r="GO2" s="64">
        <v>44</v>
      </c>
      <c r="GP2" s="64">
        <v>48</v>
      </c>
      <c r="GQ2" s="64">
        <v>52</v>
      </c>
      <c r="GR2" s="64"/>
      <c r="GS2" s="64" t="s">
        <v>232</v>
      </c>
      <c r="GT2" s="64">
        <v>0</v>
      </c>
      <c r="GU2" s="64">
        <v>8</v>
      </c>
      <c r="GV2" s="64">
        <v>12</v>
      </c>
      <c r="GW2" s="64">
        <v>16</v>
      </c>
      <c r="GX2" s="64">
        <v>20</v>
      </c>
      <c r="GY2" s="64">
        <v>24</v>
      </c>
      <c r="GZ2" s="64">
        <v>28</v>
      </c>
      <c r="HA2" s="64">
        <v>32</v>
      </c>
      <c r="HB2" s="64">
        <v>36</v>
      </c>
      <c r="HC2" s="64">
        <v>40</v>
      </c>
      <c r="HD2" s="64">
        <v>44</v>
      </c>
      <c r="HE2" s="64">
        <v>48</v>
      </c>
      <c r="HF2" s="64">
        <v>52</v>
      </c>
      <c r="HG2" s="70"/>
      <c r="HH2" s="64"/>
    </row>
    <row r="3" spans="1:216" x14ac:dyDescent="0.25">
      <c r="A3" s="8"/>
      <c r="B3" s="5" t="s">
        <v>61</v>
      </c>
      <c r="C3" s="8"/>
      <c r="D3" s="6" t="s">
        <v>452</v>
      </c>
      <c r="E3" s="8" t="s">
        <v>195</v>
      </c>
      <c r="F3" s="5" t="s">
        <v>61</v>
      </c>
      <c r="G3" s="8" t="s">
        <v>205</v>
      </c>
      <c r="H3" s="5" t="s">
        <v>61</v>
      </c>
      <c r="I3" s="8">
        <v>30</v>
      </c>
      <c r="J3" s="5" t="s">
        <v>62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str">
        <f>INDEX(cenník!$C$2:$I$568,MATCH($L3,cenník!$B$2:$B$557,0),MATCH(M$2,cenník!$C$1:$I$1,0))</f>
        <v>-------</v>
      </c>
      <c r="N3" s="11">
        <f>INDEX(cenník!$C$2:$I$568,MATCH($L3,cenník!$B$2:$B$557,0),MATCH(N$2,cenník!$C$1:$I$1,0))</f>
        <v>0</v>
      </c>
      <c r="O3" s="11">
        <f>IF(L3="-------",0,SUM(O5:O6))</f>
        <v>0</v>
      </c>
      <c r="P3" s="36">
        <f>INDEX(cenník!$C$2:$I$568,MATCH($L3,cenník!$B$2:$B$557,0),MATCH(P$2,cenník!$C$1:$I$1,0))</f>
        <v>0</v>
      </c>
      <c r="Q3" s="36">
        <f>O3*P3</f>
        <v>0</v>
      </c>
      <c r="R3" s="37">
        <f t="shared" ref="R3:R28" si="2">$E$7</f>
        <v>0</v>
      </c>
      <c r="S3" s="36">
        <f>P3*((100-$E$7)/100)</f>
        <v>0</v>
      </c>
      <c r="T3" s="36">
        <f>O3*S3</f>
        <v>0</v>
      </c>
      <c r="U3" s="36">
        <f>INDEX(cenník!$C$2:$I$568,MATCH($L3,cenník!$B$2:$B$557,0),MATCH(U$2,cenník!$C$1:$I$1,0))*O3</f>
        <v>0</v>
      </c>
      <c r="V3" s="85"/>
      <c r="W3" s="72" t="s">
        <v>17</v>
      </c>
      <c r="X3" s="64" t="s">
        <v>104</v>
      </c>
      <c r="Y3" s="64" t="s">
        <v>103</v>
      </c>
      <c r="Z3" s="64" t="s">
        <v>16</v>
      </c>
      <c r="AA3" s="64">
        <f t="shared" ref="AA3:AA17" si="3">(VLOOKUP(BG3,$AY$5:$BA$9,3,1))*C3</f>
        <v>0</v>
      </c>
      <c r="AB3" s="64">
        <f t="shared" si="0"/>
        <v>0</v>
      </c>
      <c r="AC3" s="85" t="s">
        <v>467</v>
      </c>
      <c r="AD3" s="85" t="s">
        <v>74</v>
      </c>
      <c r="AE3" s="64"/>
      <c r="AF3" s="64"/>
      <c r="AG3" s="88">
        <v>30</v>
      </c>
      <c r="AH3" s="72" t="s">
        <v>200</v>
      </c>
      <c r="AI3" s="72" t="s">
        <v>201</v>
      </c>
      <c r="AJ3" s="72" t="s">
        <v>202</v>
      </c>
      <c r="AK3" s="72" t="s">
        <v>45</v>
      </c>
      <c r="AL3" s="72">
        <v>30</v>
      </c>
      <c r="AM3" s="72" t="s">
        <v>230</v>
      </c>
      <c r="AN3" s="72" t="s">
        <v>230</v>
      </c>
      <c r="AO3" s="86" t="s">
        <v>84</v>
      </c>
      <c r="AP3" s="86" t="s">
        <v>84</v>
      </c>
      <c r="AQ3" s="86"/>
      <c r="AR3" s="85" t="s">
        <v>59</v>
      </c>
      <c r="AS3" s="85" t="s">
        <v>295</v>
      </c>
      <c r="AT3" s="85" t="s">
        <v>294</v>
      </c>
      <c r="AU3" s="85" t="s">
        <v>292</v>
      </c>
      <c r="AV3" s="64" t="s">
        <v>292</v>
      </c>
      <c r="AX3" s="86"/>
      <c r="AY3" s="86"/>
      <c r="AZ3" s="86"/>
      <c r="BA3" s="64"/>
      <c r="BG3" s="87">
        <f t="shared" si="1"/>
        <v>1</v>
      </c>
      <c r="BH3" s="64" t="s">
        <v>104</v>
      </c>
      <c r="BI3" s="64">
        <v>0</v>
      </c>
      <c r="BJ3" s="64">
        <v>0</v>
      </c>
      <c r="BK3" s="64">
        <v>0</v>
      </c>
      <c r="BL3" s="64">
        <v>5</v>
      </c>
      <c r="BM3" s="64">
        <v>0</v>
      </c>
      <c r="BN3" s="64">
        <v>5</v>
      </c>
      <c r="BO3" s="64">
        <v>0</v>
      </c>
      <c r="BP3" s="64">
        <v>10</v>
      </c>
      <c r="BQ3" s="64">
        <v>5</v>
      </c>
      <c r="BR3" s="64">
        <v>10</v>
      </c>
      <c r="BS3" s="64">
        <v>5</v>
      </c>
      <c r="BT3" s="64">
        <v>10</v>
      </c>
      <c r="BU3" s="64">
        <v>10</v>
      </c>
      <c r="BV3" s="64"/>
      <c r="BW3" s="64" t="s">
        <v>104</v>
      </c>
      <c r="BX3" s="64">
        <v>0</v>
      </c>
      <c r="BY3" s="64">
        <v>0</v>
      </c>
      <c r="BZ3" s="64">
        <v>5</v>
      </c>
      <c r="CA3" s="64">
        <v>5</v>
      </c>
      <c r="CB3" s="64">
        <v>0</v>
      </c>
      <c r="CC3" s="64">
        <v>5</v>
      </c>
      <c r="CD3" s="64">
        <v>0</v>
      </c>
      <c r="CE3" s="64">
        <v>5</v>
      </c>
      <c r="CF3" s="64">
        <v>10</v>
      </c>
      <c r="CG3" s="64">
        <v>10</v>
      </c>
      <c r="CH3" s="64">
        <v>10</v>
      </c>
      <c r="CI3" s="64">
        <v>10</v>
      </c>
      <c r="CJ3" s="64">
        <v>15</v>
      </c>
      <c r="CK3" s="64"/>
      <c r="CL3" s="64"/>
      <c r="CM3" s="64"/>
      <c r="CN3" s="64" t="s">
        <v>104</v>
      </c>
      <c r="CO3" s="64">
        <v>0</v>
      </c>
      <c r="CP3" s="64">
        <v>0</v>
      </c>
      <c r="CQ3" s="64">
        <v>5</v>
      </c>
      <c r="CR3" s="64">
        <v>0</v>
      </c>
      <c r="CS3" s="64">
        <v>5</v>
      </c>
      <c r="CT3" s="64">
        <v>0</v>
      </c>
      <c r="CU3" s="64">
        <v>10</v>
      </c>
      <c r="CV3" s="64">
        <v>5</v>
      </c>
      <c r="CW3" s="64">
        <v>10</v>
      </c>
      <c r="CX3" s="64">
        <v>15</v>
      </c>
      <c r="CY3" s="64">
        <v>10</v>
      </c>
      <c r="CZ3" s="64">
        <v>15</v>
      </c>
      <c r="DA3" s="64">
        <v>20</v>
      </c>
      <c r="DB3" s="64"/>
      <c r="DC3" s="64" t="s">
        <v>104</v>
      </c>
      <c r="DD3" s="64">
        <v>0</v>
      </c>
      <c r="DE3" s="64">
        <v>0</v>
      </c>
      <c r="DF3" s="64">
        <v>5</v>
      </c>
      <c r="DG3" s="64">
        <v>0</v>
      </c>
      <c r="DH3" s="64">
        <v>5</v>
      </c>
      <c r="DI3" s="64">
        <v>0</v>
      </c>
      <c r="DJ3" s="64">
        <v>5</v>
      </c>
      <c r="DK3" s="64">
        <v>10</v>
      </c>
      <c r="DL3" s="64">
        <v>5</v>
      </c>
      <c r="DM3" s="64">
        <v>10</v>
      </c>
      <c r="DN3" s="64">
        <v>15</v>
      </c>
      <c r="DO3" s="64">
        <v>10</v>
      </c>
      <c r="DP3" s="64">
        <v>15</v>
      </c>
      <c r="DQ3" s="80"/>
      <c r="DR3" s="80">
        <v>12</v>
      </c>
      <c r="DS3" s="80"/>
      <c r="DT3" s="64" t="s">
        <v>104</v>
      </c>
      <c r="DU3" s="64">
        <v>0</v>
      </c>
      <c r="DV3" s="64">
        <v>0</v>
      </c>
      <c r="DW3" s="64">
        <v>5</v>
      </c>
      <c r="DX3" s="64">
        <v>0</v>
      </c>
      <c r="DY3" s="64">
        <v>0</v>
      </c>
      <c r="DZ3" s="64">
        <v>10</v>
      </c>
      <c r="EA3" s="64">
        <v>5</v>
      </c>
      <c r="EB3" s="64">
        <v>10</v>
      </c>
      <c r="EC3" s="64">
        <v>10</v>
      </c>
      <c r="ED3" s="64">
        <v>15</v>
      </c>
      <c r="EE3" s="64">
        <v>10</v>
      </c>
      <c r="EF3" s="64">
        <v>15</v>
      </c>
      <c r="EG3" s="64">
        <v>20</v>
      </c>
      <c r="EH3" s="64"/>
      <c r="EI3" s="64"/>
      <c r="EJ3" s="69"/>
      <c r="EK3" s="64" t="s">
        <v>286</v>
      </c>
      <c r="EL3" s="64">
        <v>0</v>
      </c>
      <c r="EM3" s="64">
        <v>0</v>
      </c>
      <c r="EN3" s="64">
        <v>0</v>
      </c>
      <c r="EO3" s="68">
        <v>5</v>
      </c>
      <c r="EP3" s="68">
        <v>0</v>
      </c>
      <c r="EQ3" s="68">
        <v>0</v>
      </c>
      <c r="ER3" s="68">
        <v>0</v>
      </c>
      <c r="ES3" s="68">
        <v>0</v>
      </c>
      <c r="ET3" s="68">
        <v>0</v>
      </c>
      <c r="EU3" s="68">
        <v>0</v>
      </c>
      <c r="EV3" s="68">
        <v>0</v>
      </c>
      <c r="EW3" s="68">
        <v>0</v>
      </c>
      <c r="EX3" s="68">
        <v>0</v>
      </c>
      <c r="EZ3" s="68" t="s">
        <v>286</v>
      </c>
      <c r="FA3" s="64">
        <v>0</v>
      </c>
      <c r="FB3" s="64">
        <v>0</v>
      </c>
      <c r="FC3" s="68">
        <v>5</v>
      </c>
      <c r="FD3" s="68">
        <v>5</v>
      </c>
      <c r="FE3" s="68">
        <v>0</v>
      </c>
      <c r="FF3" s="68">
        <v>0</v>
      </c>
      <c r="FG3" s="68">
        <v>0</v>
      </c>
      <c r="FH3" s="68">
        <v>0</v>
      </c>
      <c r="FI3" s="68">
        <v>0</v>
      </c>
      <c r="FJ3" s="68">
        <v>0</v>
      </c>
      <c r="FK3" s="68">
        <v>0</v>
      </c>
      <c r="FL3" s="68">
        <v>0</v>
      </c>
      <c r="FM3" s="68">
        <v>0</v>
      </c>
      <c r="FO3" s="68" t="s">
        <v>286</v>
      </c>
      <c r="FP3" s="64">
        <v>0</v>
      </c>
      <c r="FQ3" s="64">
        <v>0</v>
      </c>
      <c r="FR3" s="68">
        <v>5</v>
      </c>
      <c r="FS3" s="68">
        <v>0</v>
      </c>
      <c r="FT3" s="68">
        <v>0</v>
      </c>
      <c r="FU3" s="68">
        <v>0</v>
      </c>
      <c r="FV3" s="68">
        <v>0</v>
      </c>
      <c r="FW3" s="68">
        <v>0</v>
      </c>
      <c r="FX3" s="68">
        <v>0</v>
      </c>
      <c r="FY3" s="68">
        <v>0</v>
      </c>
      <c r="FZ3" s="68">
        <v>0</v>
      </c>
      <c r="GA3" s="68">
        <v>0</v>
      </c>
      <c r="GB3" s="68">
        <v>0</v>
      </c>
      <c r="GD3" s="68" t="s">
        <v>286</v>
      </c>
      <c r="GE3" s="64">
        <v>0</v>
      </c>
      <c r="GF3" s="64">
        <v>0</v>
      </c>
      <c r="GG3" s="68">
        <v>5</v>
      </c>
      <c r="GH3" s="68">
        <v>0</v>
      </c>
      <c r="GI3" s="68">
        <v>0</v>
      </c>
      <c r="GJ3" s="68">
        <v>0</v>
      </c>
      <c r="GK3" s="68">
        <v>0</v>
      </c>
      <c r="GL3" s="68">
        <v>0</v>
      </c>
      <c r="GM3" s="68">
        <v>0</v>
      </c>
      <c r="GN3" s="68">
        <v>0</v>
      </c>
      <c r="GO3" s="68">
        <v>0</v>
      </c>
      <c r="GP3" s="68">
        <v>0</v>
      </c>
      <c r="GQ3" s="68">
        <v>0</v>
      </c>
      <c r="GS3" s="68" t="s">
        <v>286</v>
      </c>
      <c r="GT3" s="64">
        <v>0</v>
      </c>
      <c r="GU3" s="64">
        <v>0</v>
      </c>
      <c r="GV3" s="68">
        <v>5</v>
      </c>
      <c r="GW3" s="68">
        <v>0</v>
      </c>
      <c r="GX3" s="68">
        <v>0</v>
      </c>
      <c r="GY3" s="68">
        <v>0</v>
      </c>
      <c r="GZ3" s="68">
        <v>0</v>
      </c>
      <c r="HA3" s="68">
        <v>0</v>
      </c>
      <c r="HB3" s="68">
        <v>0</v>
      </c>
      <c r="HC3" s="68">
        <v>0</v>
      </c>
      <c r="HD3" s="68">
        <v>0</v>
      </c>
      <c r="HE3" s="68">
        <v>0</v>
      </c>
      <c r="HF3" s="68">
        <v>0</v>
      </c>
      <c r="HG3" s="70"/>
      <c r="HH3" s="64"/>
    </row>
    <row r="4" spans="1:216" x14ac:dyDescent="0.25">
      <c r="A4" s="8"/>
      <c r="B4" s="5" t="s">
        <v>61</v>
      </c>
      <c r="C4" s="8"/>
      <c r="D4" s="6" t="s">
        <v>456</v>
      </c>
      <c r="E4" s="8" t="s">
        <v>466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str">
        <f>INDEX(cenník!$C$2:$I$568,MATCH($L4,cenník!$B$2:$B$557,0),MATCH(M$2,cenník!$C$1:$I$1,0))</f>
        <v>-------</v>
      </c>
      <c r="N4" s="11">
        <f>INDEX(cenník!$C$2:$I$568,MATCH($L4,cenník!$B$2:$B$557,0),MATCH(N$2,cenník!$C$1:$I$1,0))</f>
        <v>0</v>
      </c>
      <c r="O4" s="11">
        <f>IF(E5=AC7,SUM(O5:O6),IF(E5=AC8,SUM(O5:O6),IF(E5=AC5,0,IF(E5=AC6,0,0))))</f>
        <v>0</v>
      </c>
      <c r="P4" s="36">
        <f>INDEX(cenník!$C$2:$I$568,MATCH($L4,cenník!$B$2:$B$557,0),MATCH(P$2,cenník!$C$1:$I$1,0))</f>
        <v>0</v>
      </c>
      <c r="Q4" s="36">
        <f>O4*P4</f>
        <v>0</v>
      </c>
      <c r="R4" s="37">
        <f t="shared" si="2"/>
        <v>0</v>
      </c>
      <c r="S4" s="36">
        <f t="shared" ref="S4:S6" si="4">P4*((100-$E$7)/100)</f>
        <v>0</v>
      </c>
      <c r="T4" s="36">
        <f>O4*S4</f>
        <v>0</v>
      </c>
      <c r="U4" s="36">
        <f>INDEX(cenník!$C$2:$I$568,MATCH($L4,cenník!$B$2:$B$557,0),MATCH(U$2,cenník!$C$1:$I$1,0))*O4</f>
        <v>0</v>
      </c>
      <c r="V4" s="85"/>
      <c r="W4" s="64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X4" s="64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64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64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0</v>
      </c>
      <c r="AA4" s="64">
        <f t="shared" si="3"/>
        <v>0</v>
      </c>
      <c r="AB4" s="64">
        <f t="shared" si="0"/>
        <v>0</v>
      </c>
      <c r="AC4" s="64"/>
      <c r="AD4" s="64"/>
      <c r="AE4" s="64"/>
      <c r="AF4" s="64"/>
      <c r="AG4" s="88">
        <v>32</v>
      </c>
      <c r="AH4" s="72" t="s">
        <v>20</v>
      </c>
      <c r="AI4" s="72" t="s">
        <v>21</v>
      </c>
      <c r="AJ4" s="72" t="s">
        <v>55</v>
      </c>
      <c r="AK4" s="72" t="s">
        <v>45</v>
      </c>
      <c r="AL4" s="72">
        <v>32</v>
      </c>
      <c r="AM4" s="72" t="s">
        <v>32</v>
      </c>
      <c r="AN4" s="72" t="s">
        <v>33</v>
      </c>
      <c r="AO4" s="86" t="s">
        <v>84</v>
      </c>
      <c r="AP4" s="86" t="s">
        <v>84</v>
      </c>
      <c r="AQ4" s="86"/>
      <c r="AR4" s="85" t="s">
        <v>60</v>
      </c>
      <c r="AS4" s="85" t="s">
        <v>295</v>
      </c>
      <c r="AT4" s="85" t="s">
        <v>294</v>
      </c>
      <c r="AU4" s="85" t="s">
        <v>292</v>
      </c>
      <c r="AV4" s="64" t="s">
        <v>293</v>
      </c>
      <c r="AX4" s="86"/>
      <c r="AY4" s="86"/>
      <c r="AZ4" s="86"/>
      <c r="BA4" s="64"/>
      <c r="BG4" s="87">
        <f t="shared" si="1"/>
        <v>1</v>
      </c>
      <c r="BH4" s="64" t="s">
        <v>103</v>
      </c>
      <c r="BI4" s="64">
        <v>0</v>
      </c>
      <c r="BJ4" s="64">
        <v>0</v>
      </c>
      <c r="BK4" s="64">
        <v>5</v>
      </c>
      <c r="BL4" s="64">
        <v>0</v>
      </c>
      <c r="BM4" s="64">
        <v>10</v>
      </c>
      <c r="BN4" s="64">
        <v>0</v>
      </c>
      <c r="BO4" s="64">
        <v>10</v>
      </c>
      <c r="BP4" s="64">
        <v>0</v>
      </c>
      <c r="BQ4" s="64">
        <v>10</v>
      </c>
      <c r="BR4" s="64">
        <v>0</v>
      </c>
      <c r="BS4" s="64">
        <v>10</v>
      </c>
      <c r="BT4" s="64">
        <v>5</v>
      </c>
      <c r="BU4" s="64">
        <v>10</v>
      </c>
      <c r="BV4" s="64"/>
      <c r="BW4" s="64" t="s">
        <v>103</v>
      </c>
      <c r="BX4" s="64">
        <v>0</v>
      </c>
      <c r="BY4" s="64">
        <v>0</v>
      </c>
      <c r="BZ4" s="64">
        <v>0</v>
      </c>
      <c r="CA4" s="64">
        <v>0</v>
      </c>
      <c r="CB4" s="64">
        <v>10</v>
      </c>
      <c r="CC4" s="64">
        <v>5</v>
      </c>
      <c r="CD4" s="64">
        <v>10</v>
      </c>
      <c r="CE4" s="64">
        <v>10</v>
      </c>
      <c r="CF4" s="64">
        <v>0</v>
      </c>
      <c r="CG4" s="64">
        <v>5</v>
      </c>
      <c r="CH4" s="64">
        <v>5</v>
      </c>
      <c r="CI4" s="64">
        <v>10</v>
      </c>
      <c r="CJ4" s="64">
        <v>5</v>
      </c>
      <c r="CK4" s="64"/>
      <c r="CL4" s="64"/>
      <c r="CM4" s="64"/>
      <c r="CN4" s="64" t="s">
        <v>103</v>
      </c>
      <c r="CO4" s="64">
        <v>0</v>
      </c>
      <c r="CP4" s="64">
        <v>0</v>
      </c>
      <c r="CQ4" s="64">
        <v>0</v>
      </c>
      <c r="CR4" s="64">
        <v>5</v>
      </c>
      <c r="CS4" s="64">
        <v>0</v>
      </c>
      <c r="CT4" s="64">
        <v>10</v>
      </c>
      <c r="CU4" s="64">
        <v>0</v>
      </c>
      <c r="CV4" s="64">
        <v>10</v>
      </c>
      <c r="CW4" s="64">
        <v>5</v>
      </c>
      <c r="CX4" s="64">
        <v>0</v>
      </c>
      <c r="CY4" s="64">
        <v>10</v>
      </c>
      <c r="CZ4" s="64">
        <v>5</v>
      </c>
      <c r="DA4" s="64">
        <v>0</v>
      </c>
      <c r="DB4" s="64"/>
      <c r="DC4" s="64" t="s">
        <v>103</v>
      </c>
      <c r="DD4" s="64">
        <v>0</v>
      </c>
      <c r="DE4" s="64">
        <v>5</v>
      </c>
      <c r="DF4" s="64">
        <v>0</v>
      </c>
      <c r="DG4" s="64">
        <v>10</v>
      </c>
      <c r="DH4" s="64">
        <v>0</v>
      </c>
      <c r="DI4" s="64">
        <v>10</v>
      </c>
      <c r="DJ4" s="64">
        <v>10</v>
      </c>
      <c r="DK4" s="64">
        <v>5</v>
      </c>
      <c r="DL4" s="64">
        <v>10</v>
      </c>
      <c r="DM4" s="64">
        <v>5</v>
      </c>
      <c r="DN4" s="64">
        <v>5</v>
      </c>
      <c r="DO4" s="64">
        <v>10</v>
      </c>
      <c r="DP4" s="64">
        <v>5</v>
      </c>
      <c r="DQ4" s="80"/>
      <c r="DR4" s="80">
        <v>16</v>
      </c>
      <c r="DS4" s="80"/>
      <c r="DT4" s="64" t="s">
        <v>103</v>
      </c>
      <c r="DU4" s="64">
        <v>0</v>
      </c>
      <c r="DV4" s="64">
        <v>5</v>
      </c>
      <c r="DW4" s="64">
        <v>0</v>
      </c>
      <c r="DX4" s="64">
        <v>10</v>
      </c>
      <c r="DY4" s="64">
        <v>10</v>
      </c>
      <c r="DZ4" s="64">
        <v>0</v>
      </c>
      <c r="EA4" s="64">
        <v>10</v>
      </c>
      <c r="EB4" s="64">
        <v>5</v>
      </c>
      <c r="EC4" s="64">
        <v>5</v>
      </c>
      <c r="ED4" s="64">
        <v>5</v>
      </c>
      <c r="EE4" s="64">
        <v>10</v>
      </c>
      <c r="EF4" s="64">
        <v>5</v>
      </c>
      <c r="EG4" s="64">
        <v>0</v>
      </c>
      <c r="EH4" s="64"/>
      <c r="EI4" s="64"/>
      <c r="EJ4" s="69"/>
      <c r="EK4" s="64" t="s">
        <v>240</v>
      </c>
      <c r="EL4" s="64">
        <v>0</v>
      </c>
      <c r="EM4" s="64">
        <f>BJ4</f>
        <v>0</v>
      </c>
      <c r="EN4" s="64">
        <f>BK4</f>
        <v>5</v>
      </c>
      <c r="EO4" s="64">
        <v>0</v>
      </c>
      <c r="EP4" s="64">
        <f t="shared" ref="EP4:EX4" si="5">BM4</f>
        <v>10</v>
      </c>
      <c r="EQ4" s="64">
        <f t="shared" si="5"/>
        <v>0</v>
      </c>
      <c r="ER4" s="64">
        <f t="shared" si="5"/>
        <v>10</v>
      </c>
      <c r="ES4" s="64">
        <f t="shared" si="5"/>
        <v>0</v>
      </c>
      <c r="ET4" s="64">
        <f t="shared" si="5"/>
        <v>10</v>
      </c>
      <c r="EU4" s="64">
        <f t="shared" si="5"/>
        <v>0</v>
      </c>
      <c r="EV4" s="64">
        <f t="shared" si="5"/>
        <v>10</v>
      </c>
      <c r="EW4" s="64">
        <f t="shared" si="5"/>
        <v>5</v>
      </c>
      <c r="EX4" s="64">
        <f t="shared" si="5"/>
        <v>10</v>
      </c>
      <c r="EY4" s="64"/>
      <c r="EZ4" s="64" t="s">
        <v>240</v>
      </c>
      <c r="FA4" s="64">
        <v>0</v>
      </c>
      <c r="FB4" s="64">
        <f>BY4</f>
        <v>0</v>
      </c>
      <c r="FC4" s="64">
        <v>0</v>
      </c>
      <c r="FD4" s="64">
        <v>0</v>
      </c>
      <c r="FE4" s="64">
        <f t="shared" ref="FE4:FM4" si="6">CB4</f>
        <v>10</v>
      </c>
      <c r="FF4" s="64">
        <f t="shared" si="6"/>
        <v>5</v>
      </c>
      <c r="FG4" s="64">
        <f t="shared" si="6"/>
        <v>10</v>
      </c>
      <c r="FH4" s="64">
        <f t="shared" si="6"/>
        <v>10</v>
      </c>
      <c r="FI4" s="64">
        <f t="shared" si="6"/>
        <v>0</v>
      </c>
      <c r="FJ4" s="64">
        <f t="shared" si="6"/>
        <v>5</v>
      </c>
      <c r="FK4" s="64">
        <f t="shared" si="6"/>
        <v>5</v>
      </c>
      <c r="FL4" s="64">
        <f t="shared" si="6"/>
        <v>10</v>
      </c>
      <c r="FM4" s="64">
        <f t="shared" si="6"/>
        <v>5</v>
      </c>
      <c r="FN4" s="64"/>
      <c r="FO4" s="64" t="s">
        <v>240</v>
      </c>
      <c r="FP4" s="64">
        <v>0</v>
      </c>
      <c r="FQ4" s="64">
        <f>CP4</f>
        <v>0</v>
      </c>
      <c r="FR4" s="64">
        <v>0</v>
      </c>
      <c r="FS4" s="64">
        <f t="shared" ref="FS4:GB4" si="7">CR4</f>
        <v>5</v>
      </c>
      <c r="FT4" s="64">
        <f t="shared" si="7"/>
        <v>0</v>
      </c>
      <c r="FU4" s="64">
        <f t="shared" si="7"/>
        <v>10</v>
      </c>
      <c r="FV4" s="64">
        <f t="shared" si="7"/>
        <v>0</v>
      </c>
      <c r="FW4" s="64">
        <f t="shared" si="7"/>
        <v>10</v>
      </c>
      <c r="FX4" s="64">
        <f t="shared" si="7"/>
        <v>5</v>
      </c>
      <c r="FY4" s="64">
        <f t="shared" si="7"/>
        <v>0</v>
      </c>
      <c r="FZ4" s="64">
        <f t="shared" si="7"/>
        <v>10</v>
      </c>
      <c r="GA4" s="64">
        <f t="shared" si="7"/>
        <v>5</v>
      </c>
      <c r="GB4" s="64">
        <f t="shared" si="7"/>
        <v>0</v>
      </c>
      <c r="GC4" s="64"/>
      <c r="GD4" s="64" t="s">
        <v>240</v>
      </c>
      <c r="GE4" s="64">
        <v>0</v>
      </c>
      <c r="GF4" s="64">
        <f>DE4</f>
        <v>5</v>
      </c>
      <c r="GG4" s="64">
        <v>0</v>
      </c>
      <c r="GH4" s="64">
        <f t="shared" ref="GH4:GQ4" si="8">DG4</f>
        <v>10</v>
      </c>
      <c r="GI4" s="64">
        <f t="shared" si="8"/>
        <v>0</v>
      </c>
      <c r="GJ4" s="64">
        <f t="shared" si="8"/>
        <v>10</v>
      </c>
      <c r="GK4" s="64">
        <f t="shared" si="8"/>
        <v>10</v>
      </c>
      <c r="GL4" s="64">
        <f t="shared" si="8"/>
        <v>5</v>
      </c>
      <c r="GM4" s="64">
        <f t="shared" si="8"/>
        <v>10</v>
      </c>
      <c r="GN4" s="64">
        <f t="shared" si="8"/>
        <v>5</v>
      </c>
      <c r="GO4" s="64">
        <f t="shared" si="8"/>
        <v>5</v>
      </c>
      <c r="GP4" s="64">
        <f t="shared" si="8"/>
        <v>10</v>
      </c>
      <c r="GQ4" s="64">
        <f t="shared" si="8"/>
        <v>5</v>
      </c>
      <c r="GR4" s="64"/>
      <c r="GS4" s="64" t="s">
        <v>240</v>
      </c>
      <c r="GT4" s="64">
        <v>0</v>
      </c>
      <c r="GU4" s="64">
        <f>DV4</f>
        <v>5</v>
      </c>
      <c r="GV4" s="64">
        <v>0</v>
      </c>
      <c r="GW4" s="64">
        <f t="shared" ref="GW4:HF4" si="9">DX4</f>
        <v>10</v>
      </c>
      <c r="GX4" s="64">
        <f t="shared" si="9"/>
        <v>10</v>
      </c>
      <c r="GY4" s="64">
        <f t="shared" si="9"/>
        <v>0</v>
      </c>
      <c r="GZ4" s="64">
        <f t="shared" si="9"/>
        <v>10</v>
      </c>
      <c r="HA4" s="64">
        <f t="shared" si="9"/>
        <v>5</v>
      </c>
      <c r="HB4" s="64">
        <f t="shared" si="9"/>
        <v>5</v>
      </c>
      <c r="HC4" s="64">
        <f t="shared" si="9"/>
        <v>5</v>
      </c>
      <c r="HD4" s="64">
        <f t="shared" si="9"/>
        <v>10</v>
      </c>
      <c r="HE4" s="64">
        <f t="shared" si="9"/>
        <v>5</v>
      </c>
      <c r="HF4" s="64">
        <f t="shared" si="9"/>
        <v>0</v>
      </c>
      <c r="HG4" s="71"/>
      <c r="HH4" s="64"/>
    </row>
    <row r="5" spans="1:216" x14ac:dyDescent="0.25">
      <c r="A5" s="8"/>
      <c r="B5" s="5" t="s">
        <v>61</v>
      </c>
      <c r="C5" s="8"/>
      <c r="D5" s="6" t="s">
        <v>475</v>
      </c>
      <c r="E5" s="8" t="s">
        <v>515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CWT70H50/3NMC</v>
      </c>
      <c r="M5" s="11">
        <f>INDEX(cenník!$C$2:$I$568,MATCH($L5,cenník!$B$2:$B$557,0),MATCH(M$2,cenník!$C$1:$I$1,0))</f>
        <v>867830</v>
      </c>
      <c r="N5" s="11" t="str">
        <f>INDEX(cenník!$C$2:$I$568,MATCH($L5,cenník!$B$2:$B$557,0),MATCH(N$2,cenník!$C$1:$I$1,0))</f>
        <v>ks</v>
      </c>
      <c r="O5" s="10">
        <f>SUM(AB2:AB17)</f>
        <v>0</v>
      </c>
      <c r="P5" s="36">
        <f>INDEX(cenník!$C$2:$I$568,MATCH($L5,cenník!$B$2:$B$557,0),MATCH(P$2,cenník!$C$1:$I$1,0))</f>
        <v>52.49</v>
      </c>
      <c r="Q5" s="36">
        <f t="shared" ref="Q5:Q6" si="10">O5*P5</f>
        <v>0</v>
      </c>
      <c r="R5" s="37">
        <f t="shared" si="2"/>
        <v>0</v>
      </c>
      <c r="S5" s="36">
        <f t="shared" si="4"/>
        <v>52.49</v>
      </c>
      <c r="T5" s="36">
        <f t="shared" ref="T5:T6" si="11">O5*S5</f>
        <v>0</v>
      </c>
      <c r="U5" s="36">
        <f>INDEX(cenník!$C$2:$I$568,MATCH($L5,cenník!$B$2:$B$557,0),MATCH(U$2,cenník!$C$1:$I$1,0))*O5</f>
        <v>0</v>
      </c>
      <c r="V5" s="85"/>
      <c r="W5" s="64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64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64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64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64">
        <f t="shared" si="3"/>
        <v>0</v>
      </c>
      <c r="AB5" s="64">
        <f t="shared" si="0"/>
        <v>0</v>
      </c>
      <c r="AC5" s="64" t="s">
        <v>515</v>
      </c>
      <c r="AD5" s="64"/>
      <c r="AE5" s="64"/>
      <c r="AF5" s="64"/>
      <c r="AG5" s="88">
        <v>33</v>
      </c>
      <c r="AH5" s="72" t="s">
        <v>22</v>
      </c>
      <c r="AI5" s="72"/>
      <c r="AJ5" s="72" t="s">
        <v>55</v>
      </c>
      <c r="AK5" s="72" t="s">
        <v>45</v>
      </c>
      <c r="AL5" s="72">
        <v>33</v>
      </c>
      <c r="AM5" s="72"/>
      <c r="AN5" s="72"/>
      <c r="AO5" s="86" t="s">
        <v>84</v>
      </c>
      <c r="AP5" s="86" t="s">
        <v>84</v>
      </c>
      <c r="AQ5" s="86"/>
      <c r="AR5" s="85" t="s">
        <v>199</v>
      </c>
      <c r="AS5" s="64" t="s">
        <v>295</v>
      </c>
      <c r="AT5" s="85" t="s">
        <v>294</v>
      </c>
      <c r="AU5" s="85" t="s">
        <v>292</v>
      </c>
      <c r="AV5" s="64" t="s">
        <v>293</v>
      </c>
      <c r="AX5" s="86"/>
      <c r="AY5" s="89">
        <v>0</v>
      </c>
      <c r="AZ5" s="89">
        <v>0</v>
      </c>
      <c r="BA5" s="87">
        <v>0</v>
      </c>
      <c r="BG5" s="87">
        <f t="shared" si="1"/>
        <v>1</v>
      </c>
      <c r="BH5" s="64" t="s">
        <v>16</v>
      </c>
      <c r="BI5" s="64">
        <v>0</v>
      </c>
      <c r="BJ5" s="64">
        <v>5</v>
      </c>
      <c r="BK5" s="64">
        <v>0</v>
      </c>
      <c r="BL5" s="64">
        <v>0</v>
      </c>
      <c r="BM5" s="64">
        <v>0</v>
      </c>
      <c r="BN5" s="64">
        <v>5</v>
      </c>
      <c r="BO5" s="64">
        <v>5</v>
      </c>
      <c r="BP5" s="64">
        <v>0</v>
      </c>
      <c r="BQ5" s="64">
        <v>0</v>
      </c>
      <c r="BR5" s="64">
        <v>5</v>
      </c>
      <c r="BS5" s="64">
        <v>5</v>
      </c>
      <c r="BT5" s="64">
        <v>5</v>
      </c>
      <c r="BU5" s="64">
        <v>0</v>
      </c>
      <c r="BV5" s="64"/>
      <c r="BW5" s="64" t="s">
        <v>16</v>
      </c>
      <c r="BX5" s="64">
        <v>0</v>
      </c>
      <c r="BY5" s="64">
        <v>5</v>
      </c>
      <c r="BZ5" s="64">
        <v>0</v>
      </c>
      <c r="CA5" s="64">
        <v>0</v>
      </c>
      <c r="CB5" s="64">
        <v>0</v>
      </c>
      <c r="CC5" s="64">
        <v>0</v>
      </c>
      <c r="CD5" s="64">
        <v>5</v>
      </c>
      <c r="CE5" s="64">
        <v>0</v>
      </c>
      <c r="CF5" s="64">
        <v>5</v>
      </c>
      <c r="CG5" s="64">
        <v>0</v>
      </c>
      <c r="CH5" s="64">
        <v>5</v>
      </c>
      <c r="CI5" s="64">
        <v>0</v>
      </c>
      <c r="CJ5" s="64">
        <v>0</v>
      </c>
      <c r="CK5" s="64"/>
      <c r="CL5" s="64"/>
      <c r="CM5" s="64"/>
      <c r="CN5" s="64" t="s">
        <v>16</v>
      </c>
      <c r="CO5" s="64">
        <v>0</v>
      </c>
      <c r="CP5" s="64">
        <v>5</v>
      </c>
      <c r="CQ5" s="64">
        <v>0</v>
      </c>
      <c r="CR5" s="64">
        <v>5</v>
      </c>
      <c r="CS5" s="64">
        <v>5</v>
      </c>
      <c r="CT5" s="64">
        <v>5</v>
      </c>
      <c r="CU5" s="64">
        <v>0</v>
      </c>
      <c r="CV5" s="64">
        <v>0</v>
      </c>
      <c r="CW5" s="64">
        <v>0</v>
      </c>
      <c r="CX5" s="64">
        <v>0</v>
      </c>
      <c r="CY5" s="64">
        <v>0</v>
      </c>
      <c r="CZ5" s="64">
        <v>0</v>
      </c>
      <c r="DA5" s="64">
        <v>0</v>
      </c>
      <c r="DB5" s="64"/>
      <c r="DC5" s="64" t="s">
        <v>16</v>
      </c>
      <c r="DD5" s="64">
        <v>0</v>
      </c>
      <c r="DE5" s="64">
        <v>0</v>
      </c>
      <c r="DF5" s="64">
        <v>0</v>
      </c>
      <c r="DG5" s="64">
        <v>0</v>
      </c>
      <c r="DH5" s="64">
        <v>5</v>
      </c>
      <c r="DI5" s="64">
        <v>5</v>
      </c>
      <c r="DJ5" s="64">
        <v>0</v>
      </c>
      <c r="DK5" s="64">
        <v>0</v>
      </c>
      <c r="DL5" s="64">
        <v>5</v>
      </c>
      <c r="DM5" s="64">
        <v>5</v>
      </c>
      <c r="DN5" s="64">
        <v>0</v>
      </c>
      <c r="DO5" s="64">
        <v>5</v>
      </c>
      <c r="DP5" s="64">
        <v>5</v>
      </c>
      <c r="DQ5" s="80"/>
      <c r="DR5" s="80">
        <v>20</v>
      </c>
      <c r="DS5" s="80"/>
      <c r="DT5" s="64" t="s">
        <v>16</v>
      </c>
      <c r="DU5" s="64">
        <v>0</v>
      </c>
      <c r="DV5" s="64">
        <v>0</v>
      </c>
      <c r="DW5" s="64">
        <v>0</v>
      </c>
      <c r="DX5" s="64">
        <v>0</v>
      </c>
      <c r="DY5" s="64">
        <v>5</v>
      </c>
      <c r="DZ5" s="64">
        <v>0</v>
      </c>
      <c r="EA5" s="64">
        <v>0</v>
      </c>
      <c r="EB5" s="64">
        <v>0</v>
      </c>
      <c r="EC5" s="64">
        <v>5</v>
      </c>
      <c r="ED5" s="64">
        <v>0</v>
      </c>
      <c r="EE5" s="64">
        <v>5</v>
      </c>
      <c r="EF5" s="64">
        <v>5</v>
      </c>
      <c r="EG5" s="64">
        <v>5</v>
      </c>
      <c r="EH5" s="64"/>
      <c r="EI5" s="64"/>
      <c r="EJ5" s="69"/>
      <c r="EK5" s="64" t="s">
        <v>241</v>
      </c>
      <c r="EL5" s="64">
        <v>0</v>
      </c>
      <c r="EM5" s="64">
        <f>BJ5+(BJ3*2)</f>
        <v>5</v>
      </c>
      <c r="EN5" s="64">
        <f>BK5+(BK3*2)</f>
        <v>0</v>
      </c>
      <c r="EO5" s="64">
        <v>0</v>
      </c>
      <c r="EP5" s="64">
        <f t="shared" ref="EP5:EX5" si="12">BM5+(BM3*2)</f>
        <v>0</v>
      </c>
      <c r="EQ5" s="64">
        <f t="shared" si="12"/>
        <v>15</v>
      </c>
      <c r="ER5" s="64">
        <f t="shared" si="12"/>
        <v>5</v>
      </c>
      <c r="ES5" s="64">
        <f t="shared" si="12"/>
        <v>20</v>
      </c>
      <c r="ET5" s="64">
        <f t="shared" si="12"/>
        <v>10</v>
      </c>
      <c r="EU5" s="64">
        <f t="shared" si="12"/>
        <v>25</v>
      </c>
      <c r="EV5" s="64">
        <f t="shared" si="12"/>
        <v>15</v>
      </c>
      <c r="EW5" s="64">
        <f t="shared" si="12"/>
        <v>25</v>
      </c>
      <c r="EX5" s="64">
        <f t="shared" si="12"/>
        <v>20</v>
      </c>
      <c r="EY5" s="64"/>
      <c r="EZ5" s="64" t="s">
        <v>241</v>
      </c>
      <c r="FA5" s="64">
        <v>0</v>
      </c>
      <c r="FB5" s="64">
        <f>BY5+(BY3*2)</f>
        <v>5</v>
      </c>
      <c r="FC5" s="64">
        <v>0</v>
      </c>
      <c r="FD5" s="64">
        <v>0</v>
      </c>
      <c r="FE5" s="64">
        <f t="shared" ref="FE5:FM5" si="13">CB5+(CB3*2)</f>
        <v>0</v>
      </c>
      <c r="FF5" s="64">
        <f t="shared" si="13"/>
        <v>10</v>
      </c>
      <c r="FG5" s="64">
        <f t="shared" si="13"/>
        <v>5</v>
      </c>
      <c r="FH5" s="64">
        <f t="shared" si="13"/>
        <v>10</v>
      </c>
      <c r="FI5" s="64">
        <f t="shared" si="13"/>
        <v>25</v>
      </c>
      <c r="FJ5" s="64">
        <f t="shared" si="13"/>
        <v>20</v>
      </c>
      <c r="FK5" s="64">
        <f t="shared" si="13"/>
        <v>25</v>
      </c>
      <c r="FL5" s="64">
        <f t="shared" si="13"/>
        <v>20</v>
      </c>
      <c r="FM5" s="64">
        <f t="shared" si="13"/>
        <v>30</v>
      </c>
      <c r="FN5" s="64"/>
      <c r="FO5" s="64" t="s">
        <v>241</v>
      </c>
      <c r="FP5" s="64">
        <v>0</v>
      </c>
      <c r="FQ5" s="64">
        <f>CP5+(CP3*2)</f>
        <v>5</v>
      </c>
      <c r="FR5" s="64">
        <v>0</v>
      </c>
      <c r="FS5" s="64">
        <f t="shared" ref="FS5:GB5" si="14">CR5+(CR3*2)</f>
        <v>5</v>
      </c>
      <c r="FT5" s="64">
        <f t="shared" si="14"/>
        <v>15</v>
      </c>
      <c r="FU5" s="64">
        <f t="shared" si="14"/>
        <v>5</v>
      </c>
      <c r="FV5" s="64">
        <f t="shared" si="14"/>
        <v>20</v>
      </c>
      <c r="FW5" s="64">
        <f t="shared" si="14"/>
        <v>10</v>
      </c>
      <c r="FX5" s="64">
        <f t="shared" si="14"/>
        <v>20</v>
      </c>
      <c r="FY5" s="64">
        <f t="shared" si="14"/>
        <v>30</v>
      </c>
      <c r="FZ5" s="64">
        <f t="shared" si="14"/>
        <v>20</v>
      </c>
      <c r="GA5" s="64">
        <f t="shared" si="14"/>
        <v>30</v>
      </c>
      <c r="GB5" s="64">
        <f t="shared" si="14"/>
        <v>40</v>
      </c>
      <c r="GC5" s="64"/>
      <c r="GD5" s="64" t="s">
        <v>241</v>
      </c>
      <c r="GE5" s="64">
        <v>0</v>
      </c>
      <c r="GF5" s="64">
        <f>DE5+(DE3*2)</f>
        <v>0</v>
      </c>
      <c r="GG5" s="64">
        <v>0</v>
      </c>
      <c r="GH5" s="64">
        <f t="shared" ref="GH5:GQ5" si="15">DG5+(DG3*2)</f>
        <v>0</v>
      </c>
      <c r="GI5" s="64">
        <f t="shared" si="15"/>
        <v>15</v>
      </c>
      <c r="GJ5" s="64">
        <f t="shared" si="15"/>
        <v>5</v>
      </c>
      <c r="GK5" s="64">
        <f t="shared" si="15"/>
        <v>10</v>
      </c>
      <c r="GL5" s="64">
        <f t="shared" si="15"/>
        <v>20</v>
      </c>
      <c r="GM5" s="64">
        <f t="shared" si="15"/>
        <v>15</v>
      </c>
      <c r="GN5" s="64">
        <f t="shared" si="15"/>
        <v>25</v>
      </c>
      <c r="GO5" s="64">
        <f t="shared" si="15"/>
        <v>30</v>
      </c>
      <c r="GP5" s="64">
        <f t="shared" si="15"/>
        <v>25</v>
      </c>
      <c r="GQ5" s="64">
        <f t="shared" si="15"/>
        <v>35</v>
      </c>
      <c r="GR5" s="64"/>
      <c r="GS5" s="64" t="s">
        <v>241</v>
      </c>
      <c r="GT5" s="64">
        <v>0</v>
      </c>
      <c r="GU5" s="64">
        <f>DV5+(DV3*2)</f>
        <v>0</v>
      </c>
      <c r="GV5" s="64">
        <v>0</v>
      </c>
      <c r="GW5" s="64">
        <f t="shared" ref="GW5:HF5" si="16">DX5+(DX3*2)</f>
        <v>0</v>
      </c>
      <c r="GX5" s="64">
        <f t="shared" si="16"/>
        <v>5</v>
      </c>
      <c r="GY5" s="64">
        <f t="shared" si="16"/>
        <v>20</v>
      </c>
      <c r="GZ5" s="64">
        <f t="shared" si="16"/>
        <v>10</v>
      </c>
      <c r="HA5" s="64">
        <f t="shared" si="16"/>
        <v>20</v>
      </c>
      <c r="HB5" s="64">
        <f t="shared" si="16"/>
        <v>25</v>
      </c>
      <c r="HC5" s="64">
        <f t="shared" si="16"/>
        <v>30</v>
      </c>
      <c r="HD5" s="64">
        <f t="shared" si="16"/>
        <v>25</v>
      </c>
      <c r="HE5" s="64">
        <f t="shared" si="16"/>
        <v>35</v>
      </c>
      <c r="HF5" s="64">
        <f t="shared" si="16"/>
        <v>45</v>
      </c>
      <c r="HG5" s="71"/>
      <c r="HH5" s="64"/>
    </row>
    <row r="6" spans="1:216" x14ac:dyDescent="0.25">
      <c r="A6" s="8"/>
      <c r="B6" s="5" t="s">
        <v>61</v>
      </c>
      <c r="C6" s="8"/>
      <c r="D6" s="6" t="s">
        <v>488</v>
      </c>
      <c r="E6" s="8">
        <v>0</v>
      </c>
      <c r="F6" s="5"/>
      <c r="G6" s="5"/>
      <c r="H6" s="5"/>
      <c r="I6" s="5"/>
      <c r="J6" s="5" t="s">
        <v>461</v>
      </c>
      <c r="K6" s="9"/>
      <c r="L6" s="6" t="str">
        <f>INDEX((AS3:AV9,AS13:AV19),MATCH(G3,AR3:AR9,0),MATCH(E5,AS2:AV2,0),MATCH(E10,DS6:DS7,0))</f>
        <v>CWT70H50/3NMC</v>
      </c>
      <c r="M6" s="11">
        <f>INDEX(cenník!$C$2:$I$568,MATCH($L6,cenník!$B$2:$B$557,0),MATCH(M$2,cenník!$C$1:$I$1,0))</f>
        <v>867830</v>
      </c>
      <c r="N6" s="11" t="str">
        <f>INDEX(cenník!$C$2:$I$568,MATCH($L6,cenník!$B$2:$B$557,0),MATCH(N$2,cenník!$C$1:$I$1,0))</f>
        <v>ks</v>
      </c>
      <c r="O6" s="11">
        <f>O5</f>
        <v>0</v>
      </c>
      <c r="P6" s="36">
        <f>INDEX(cenník!$C$2:$I$568,MATCH($L6,cenník!$B$2:$B$557,0),MATCH(P$2,cenník!$C$1:$I$1,0))</f>
        <v>52.49</v>
      </c>
      <c r="Q6" s="36">
        <f t="shared" si="10"/>
        <v>0</v>
      </c>
      <c r="R6" s="37">
        <f t="shared" si="2"/>
        <v>0</v>
      </c>
      <c r="S6" s="36">
        <f t="shared" si="4"/>
        <v>52.49</v>
      </c>
      <c r="T6" s="36">
        <f t="shared" si="11"/>
        <v>0</v>
      </c>
      <c r="U6" s="36">
        <f>INDEX(cenník!$C$2:$I$568,MATCH($L6,cenník!$B$2:$B$557,0),MATCH(U$2,cenník!$C$1:$I$1,0))*O6</f>
        <v>0</v>
      </c>
      <c r="V6" s="85"/>
      <c r="W6" s="64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64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64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64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64">
        <f t="shared" si="3"/>
        <v>0</v>
      </c>
      <c r="AB6" s="64">
        <f t="shared" si="0"/>
        <v>0</v>
      </c>
      <c r="AC6" s="64" t="s">
        <v>516</v>
      </c>
      <c r="AD6" s="64"/>
      <c r="AE6" s="64"/>
      <c r="AF6" s="64"/>
      <c r="AG6" s="88">
        <v>34</v>
      </c>
      <c r="AH6" s="72"/>
      <c r="AI6" s="72"/>
      <c r="AJ6" s="72" t="s">
        <v>55</v>
      </c>
      <c r="AK6" s="72" t="s">
        <v>45</v>
      </c>
      <c r="AL6" s="72">
        <v>34</v>
      </c>
      <c r="AM6" s="72" t="s">
        <v>34</v>
      </c>
      <c r="AN6" s="72"/>
      <c r="AO6" s="86" t="s">
        <v>84</v>
      </c>
      <c r="AP6" s="86" t="s">
        <v>84</v>
      </c>
      <c r="AQ6" s="86"/>
      <c r="AR6" s="85" t="s">
        <v>205</v>
      </c>
      <c r="AS6" s="85" t="s">
        <v>295</v>
      </c>
      <c r="AT6" s="85" t="s">
        <v>295</v>
      </c>
      <c r="AU6" s="85" t="s">
        <v>293</v>
      </c>
      <c r="AV6" s="64" t="s">
        <v>293</v>
      </c>
      <c r="AX6" s="86"/>
      <c r="AY6" s="89">
        <v>1</v>
      </c>
      <c r="AZ6" s="89">
        <v>1</v>
      </c>
      <c r="BA6" s="87">
        <v>1</v>
      </c>
      <c r="BG6" s="87">
        <f t="shared" si="1"/>
        <v>1</v>
      </c>
      <c r="BH6" s="72" t="s">
        <v>364</v>
      </c>
      <c r="BI6" s="72">
        <v>0</v>
      </c>
      <c r="BJ6" s="64">
        <v>0</v>
      </c>
      <c r="BK6" s="64">
        <v>0</v>
      </c>
      <c r="BL6" s="64">
        <v>0</v>
      </c>
      <c r="BM6" s="64">
        <v>5</v>
      </c>
      <c r="BN6" s="64">
        <v>5</v>
      </c>
      <c r="BO6" s="64">
        <v>10</v>
      </c>
      <c r="BP6" s="64">
        <v>5</v>
      </c>
      <c r="BQ6" s="64">
        <v>10</v>
      </c>
      <c r="BR6" s="64">
        <v>10</v>
      </c>
      <c r="BS6" s="64">
        <v>15</v>
      </c>
      <c r="BT6" s="64">
        <v>15</v>
      </c>
      <c r="BU6" s="64">
        <v>15</v>
      </c>
      <c r="BV6" s="64"/>
      <c r="BW6" s="72" t="s">
        <v>364</v>
      </c>
      <c r="BX6" s="64">
        <v>0</v>
      </c>
      <c r="BY6" s="64">
        <v>0</v>
      </c>
      <c r="BZ6" s="64">
        <v>0</v>
      </c>
      <c r="CA6" s="64">
        <v>0</v>
      </c>
      <c r="CB6" s="64">
        <v>5</v>
      </c>
      <c r="CC6" s="64">
        <v>5</v>
      </c>
      <c r="CD6" s="64">
        <v>10</v>
      </c>
      <c r="CE6" s="64">
        <v>10</v>
      </c>
      <c r="CF6" s="64">
        <v>10</v>
      </c>
      <c r="CG6" s="64">
        <v>10</v>
      </c>
      <c r="CH6" s="64">
        <v>15</v>
      </c>
      <c r="CI6" s="64">
        <v>15</v>
      </c>
      <c r="CJ6" s="64">
        <v>15</v>
      </c>
      <c r="CK6" s="64"/>
      <c r="CL6" s="64"/>
      <c r="CM6" s="64"/>
      <c r="CN6" s="72" t="s">
        <v>364</v>
      </c>
      <c r="CO6" s="64">
        <v>0</v>
      </c>
      <c r="CP6" s="64">
        <v>0</v>
      </c>
      <c r="CQ6" s="64">
        <v>0</v>
      </c>
      <c r="CR6" s="64">
        <v>5</v>
      </c>
      <c r="CS6" s="64">
        <v>5</v>
      </c>
      <c r="CT6" s="64">
        <v>10</v>
      </c>
      <c r="CU6" s="64">
        <v>5</v>
      </c>
      <c r="CV6" s="64">
        <v>10</v>
      </c>
      <c r="CW6" s="64">
        <v>10</v>
      </c>
      <c r="CX6" s="64">
        <v>10</v>
      </c>
      <c r="CY6" s="64">
        <v>15</v>
      </c>
      <c r="CZ6" s="64">
        <v>15</v>
      </c>
      <c r="DA6" s="64">
        <v>15</v>
      </c>
      <c r="DB6" s="64"/>
      <c r="DC6" s="72" t="s">
        <v>364</v>
      </c>
      <c r="DD6" s="72">
        <v>0</v>
      </c>
      <c r="DE6" s="64">
        <v>0</v>
      </c>
      <c r="DF6" s="64">
        <v>0</v>
      </c>
      <c r="DG6" s="64">
        <v>5</v>
      </c>
      <c r="DH6" s="64">
        <v>5</v>
      </c>
      <c r="DI6" s="64">
        <v>10</v>
      </c>
      <c r="DJ6" s="64">
        <v>10</v>
      </c>
      <c r="DK6" s="64">
        <v>10</v>
      </c>
      <c r="DL6" s="64">
        <v>15</v>
      </c>
      <c r="DM6" s="64">
        <v>15</v>
      </c>
      <c r="DN6" s="64">
        <v>15</v>
      </c>
      <c r="DO6" s="64">
        <v>20</v>
      </c>
      <c r="DP6" s="64">
        <v>20</v>
      </c>
      <c r="DQ6" s="80"/>
      <c r="DR6" s="80">
        <v>24</v>
      </c>
      <c r="DS6" s="80">
        <v>25</v>
      </c>
      <c r="DT6" s="72" t="s">
        <v>364</v>
      </c>
      <c r="DU6" s="72">
        <v>0</v>
      </c>
      <c r="DV6" s="64">
        <v>0</v>
      </c>
      <c r="DW6" s="64">
        <v>0</v>
      </c>
      <c r="DX6" s="64">
        <v>5</v>
      </c>
      <c r="DY6" s="64">
        <v>10</v>
      </c>
      <c r="DZ6" s="64">
        <v>5</v>
      </c>
      <c r="EA6" s="64">
        <v>10</v>
      </c>
      <c r="EB6" s="64">
        <v>10</v>
      </c>
      <c r="EC6" s="64">
        <v>15</v>
      </c>
      <c r="ED6" s="64">
        <v>15</v>
      </c>
      <c r="EE6" s="64">
        <v>20</v>
      </c>
      <c r="EF6" s="64">
        <v>20</v>
      </c>
      <c r="EG6" s="64">
        <v>20</v>
      </c>
      <c r="EH6" s="64"/>
      <c r="EI6" s="64"/>
      <c r="EJ6" s="69"/>
      <c r="EK6" s="72" t="s">
        <v>364</v>
      </c>
      <c r="EL6" s="64">
        <v>0</v>
      </c>
      <c r="EM6" s="64">
        <f>((SUM(EM4:EM5)/5)-1)*5</f>
        <v>0</v>
      </c>
      <c r="EN6" s="64">
        <f t="shared" ref="EN6:EX6" si="17">((SUM(EN4:EN5)/5)-1)*5</f>
        <v>0</v>
      </c>
      <c r="EO6" s="64">
        <v>0</v>
      </c>
      <c r="EP6" s="64">
        <f t="shared" si="17"/>
        <v>5</v>
      </c>
      <c r="EQ6" s="64">
        <f t="shared" si="17"/>
        <v>10</v>
      </c>
      <c r="ER6" s="64">
        <f t="shared" si="17"/>
        <v>10</v>
      </c>
      <c r="ES6" s="64">
        <f t="shared" si="17"/>
        <v>15</v>
      </c>
      <c r="ET6" s="64">
        <f t="shared" si="17"/>
        <v>15</v>
      </c>
      <c r="EU6" s="64">
        <f t="shared" si="17"/>
        <v>20</v>
      </c>
      <c r="EV6" s="64">
        <f t="shared" si="17"/>
        <v>20</v>
      </c>
      <c r="EW6" s="64">
        <f t="shared" si="17"/>
        <v>25</v>
      </c>
      <c r="EX6" s="64">
        <f t="shared" si="17"/>
        <v>25</v>
      </c>
      <c r="EY6" s="64"/>
      <c r="EZ6" s="72" t="s">
        <v>364</v>
      </c>
      <c r="FA6" s="64">
        <v>0</v>
      </c>
      <c r="FB6" s="64">
        <f>((SUM(FB4:FB5)/5)-1)*5</f>
        <v>0</v>
      </c>
      <c r="FC6" s="64">
        <v>0</v>
      </c>
      <c r="FD6" s="64">
        <v>0</v>
      </c>
      <c r="FE6" s="64">
        <f t="shared" ref="FE6:FM6" si="18">((SUM(FE4:FE5)/5)-1)*5</f>
        <v>5</v>
      </c>
      <c r="FF6" s="64">
        <f t="shared" si="18"/>
        <v>10</v>
      </c>
      <c r="FG6" s="64">
        <f t="shared" si="18"/>
        <v>10</v>
      </c>
      <c r="FH6" s="64">
        <f t="shared" si="18"/>
        <v>15</v>
      </c>
      <c r="FI6" s="64">
        <f t="shared" si="18"/>
        <v>20</v>
      </c>
      <c r="FJ6" s="64">
        <f t="shared" si="18"/>
        <v>20</v>
      </c>
      <c r="FK6" s="64">
        <f t="shared" si="18"/>
        <v>25</v>
      </c>
      <c r="FL6" s="64">
        <f t="shared" si="18"/>
        <v>25</v>
      </c>
      <c r="FM6" s="64">
        <f t="shared" si="18"/>
        <v>30</v>
      </c>
      <c r="FN6" s="64"/>
      <c r="FO6" s="72" t="s">
        <v>364</v>
      </c>
      <c r="FP6" s="64">
        <v>0</v>
      </c>
      <c r="FQ6" s="64">
        <f>((SUM(FQ4:FQ5)/5)-1)*5</f>
        <v>0</v>
      </c>
      <c r="FR6" s="64">
        <v>0</v>
      </c>
      <c r="FS6" s="64">
        <f t="shared" ref="FS6:GB6" si="19">((SUM(FS4:FS5)/5)-1)*5</f>
        <v>5</v>
      </c>
      <c r="FT6" s="64">
        <f t="shared" si="19"/>
        <v>10</v>
      </c>
      <c r="FU6" s="64">
        <f t="shared" si="19"/>
        <v>10</v>
      </c>
      <c r="FV6" s="64">
        <f t="shared" si="19"/>
        <v>15</v>
      </c>
      <c r="FW6" s="64">
        <f t="shared" si="19"/>
        <v>15</v>
      </c>
      <c r="FX6" s="64">
        <f t="shared" si="19"/>
        <v>20</v>
      </c>
      <c r="FY6" s="64">
        <f t="shared" si="19"/>
        <v>25</v>
      </c>
      <c r="FZ6" s="64">
        <f t="shared" si="19"/>
        <v>25</v>
      </c>
      <c r="GA6" s="64">
        <f t="shared" si="19"/>
        <v>30</v>
      </c>
      <c r="GB6" s="64">
        <f t="shared" si="19"/>
        <v>35</v>
      </c>
      <c r="GC6" s="64"/>
      <c r="GD6" s="72" t="s">
        <v>364</v>
      </c>
      <c r="GE6" s="64">
        <v>0</v>
      </c>
      <c r="GF6" s="64">
        <f>((SUM(GF4:GF5)/5)-1)*5</f>
        <v>0</v>
      </c>
      <c r="GG6" s="64">
        <v>0</v>
      </c>
      <c r="GH6" s="64">
        <f t="shared" ref="GH6:GQ6" si="20">((SUM(GH4:GH5)/5)-1)*5</f>
        <v>5</v>
      </c>
      <c r="GI6" s="64">
        <f t="shared" si="20"/>
        <v>10</v>
      </c>
      <c r="GJ6" s="64">
        <f t="shared" si="20"/>
        <v>10</v>
      </c>
      <c r="GK6" s="64">
        <f t="shared" si="20"/>
        <v>15</v>
      </c>
      <c r="GL6" s="64">
        <f t="shared" si="20"/>
        <v>20</v>
      </c>
      <c r="GM6" s="64">
        <f t="shared" si="20"/>
        <v>20</v>
      </c>
      <c r="GN6" s="64">
        <f t="shared" si="20"/>
        <v>25</v>
      </c>
      <c r="GO6" s="64">
        <f t="shared" si="20"/>
        <v>30</v>
      </c>
      <c r="GP6" s="64">
        <f t="shared" si="20"/>
        <v>30</v>
      </c>
      <c r="GQ6" s="64">
        <f t="shared" si="20"/>
        <v>35</v>
      </c>
      <c r="GR6" s="64"/>
      <c r="GS6" s="72" t="s">
        <v>364</v>
      </c>
      <c r="GT6" s="72">
        <v>0</v>
      </c>
      <c r="GU6" s="64">
        <f>((SUM(GU4:GU5)/5)-1)*5</f>
        <v>0</v>
      </c>
      <c r="GV6" s="64">
        <v>0</v>
      </c>
      <c r="GW6" s="64">
        <f t="shared" ref="GW6:HF6" si="21">((SUM(GW4:GW5)/5)-1)*5</f>
        <v>5</v>
      </c>
      <c r="GX6" s="64">
        <f t="shared" si="21"/>
        <v>10</v>
      </c>
      <c r="GY6" s="64">
        <f t="shared" si="21"/>
        <v>15</v>
      </c>
      <c r="GZ6" s="64">
        <f t="shared" si="21"/>
        <v>15</v>
      </c>
      <c r="HA6" s="64">
        <f t="shared" si="21"/>
        <v>20</v>
      </c>
      <c r="HB6" s="64">
        <f t="shared" si="21"/>
        <v>25</v>
      </c>
      <c r="HC6" s="64">
        <f t="shared" si="21"/>
        <v>30</v>
      </c>
      <c r="HD6" s="64">
        <f t="shared" si="21"/>
        <v>30</v>
      </c>
      <c r="HE6" s="64">
        <f t="shared" si="21"/>
        <v>35</v>
      </c>
      <c r="HF6" s="64">
        <f t="shared" si="21"/>
        <v>40</v>
      </c>
      <c r="HG6" s="71"/>
      <c r="HH6" s="64"/>
    </row>
    <row r="7" spans="1:216" x14ac:dyDescent="0.25">
      <c r="A7" s="8"/>
      <c r="B7" s="5" t="s">
        <v>61</v>
      </c>
      <c r="C7" s="8"/>
      <c r="D7" s="6" t="s">
        <v>458</v>
      </c>
      <c r="E7" s="8">
        <v>0</v>
      </c>
      <c r="F7" s="5"/>
      <c r="G7" s="5"/>
      <c r="H7" s="5"/>
      <c r="I7" s="5"/>
      <c r="J7" s="5" t="s">
        <v>95</v>
      </c>
      <c r="K7" s="9"/>
      <c r="L7" s="6" t="str">
        <f>IF(E10=25,"-------",IF(E10=30,(INDEX((BC13:BF19),MATCH(G3,BB13:BB19,0),MATCH(E5,BC12:BF12,0))),0))</f>
        <v>CWT70H50/2NMC</v>
      </c>
      <c r="M7" s="11">
        <f>INDEX(cenník!$C$2:$I$568,MATCH($L7,cenník!$B$2:$B$557,0),MATCH(M$2,cenník!$C$1:$I$1,0))</f>
        <v>867820</v>
      </c>
      <c r="N7" s="11" t="str">
        <f>INDEX(cenník!$C$2:$I$568,MATCH($L7,cenník!$B$2:$B$557,0),MATCH(N$2,cenník!$C$1:$I$1,0))</f>
        <v>ks</v>
      </c>
      <c r="O7" s="11">
        <f>IF(L7="CWT70H50/2NMC",O6,0)</f>
        <v>0</v>
      </c>
      <c r="P7" s="36">
        <f>INDEX(cenník!$C$2:$I$568,MATCH($L7,cenník!$B$2:$B$557,0),MATCH(P$2,cenník!$C$1:$I$1,0))</f>
        <v>35</v>
      </c>
      <c r="Q7" s="36">
        <f t="shared" ref="Q7:Q13" si="22">O7*P7</f>
        <v>0</v>
      </c>
      <c r="R7" s="37">
        <f t="shared" si="2"/>
        <v>0</v>
      </c>
      <c r="S7" s="36">
        <f t="shared" ref="S7:S13" si="23">P7*((100-$E$7)/100)</f>
        <v>35</v>
      </c>
      <c r="T7" s="36">
        <f t="shared" ref="T7:T13" si="24">O7*S7</f>
        <v>0</v>
      </c>
      <c r="U7" s="36">
        <f>INDEX(cenník!$C$2:$I$568,MATCH($L7,cenník!$B$2:$B$557,0),MATCH(U$2,cenník!$C$1:$I$1,0))*O7</f>
        <v>0</v>
      </c>
      <c r="V7" s="85"/>
      <c r="W7" s="64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64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64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64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64">
        <f t="shared" si="3"/>
        <v>0</v>
      </c>
      <c r="AB7" s="64">
        <f t="shared" si="0"/>
        <v>0</v>
      </c>
      <c r="AC7" s="64" t="s">
        <v>483</v>
      </c>
      <c r="AD7" s="64"/>
      <c r="AE7" s="64"/>
      <c r="AF7" s="64"/>
      <c r="AG7" s="88">
        <v>35</v>
      </c>
      <c r="AH7" s="72" t="s">
        <v>23</v>
      </c>
      <c r="AI7" s="72" t="s">
        <v>24</v>
      </c>
      <c r="AJ7" s="72" t="s">
        <v>55</v>
      </c>
      <c r="AK7" s="72" t="s">
        <v>45</v>
      </c>
      <c r="AL7" s="72">
        <v>35</v>
      </c>
      <c r="AM7" s="72" t="s">
        <v>35</v>
      </c>
      <c r="AN7" s="72" t="s">
        <v>36</v>
      </c>
      <c r="AO7" s="86" t="s">
        <v>84</v>
      </c>
      <c r="AP7" s="86" t="s">
        <v>84</v>
      </c>
      <c r="AQ7" s="86"/>
      <c r="AR7" s="85" t="s">
        <v>329</v>
      </c>
      <c r="AS7" s="85" t="s">
        <v>295</v>
      </c>
      <c r="AT7" s="85" t="s">
        <v>295</v>
      </c>
      <c r="AU7" s="64" t="s">
        <v>293</v>
      </c>
      <c r="AV7" s="64" t="s">
        <v>293</v>
      </c>
      <c r="AX7" s="86"/>
      <c r="AY7" s="90">
        <v>2</v>
      </c>
      <c r="AZ7" s="90" t="s">
        <v>398</v>
      </c>
      <c r="BA7" s="90">
        <v>2</v>
      </c>
      <c r="BG7" s="87">
        <f t="shared" si="1"/>
        <v>1</v>
      </c>
      <c r="BH7" s="64"/>
      <c r="BI7" s="64"/>
      <c r="BJ7" s="64"/>
      <c r="BK7" s="64"/>
      <c r="BL7" s="64"/>
      <c r="BM7" s="64"/>
      <c r="BN7" s="64"/>
      <c r="BO7" s="64"/>
      <c r="BP7" s="64"/>
      <c r="BQ7" s="64"/>
      <c r="BR7" s="64"/>
      <c r="BS7" s="64"/>
      <c r="BT7" s="64"/>
      <c r="BU7" s="64"/>
      <c r="BV7" s="64"/>
      <c r="BW7" s="64"/>
      <c r="BX7" s="64"/>
      <c r="BY7" s="64"/>
      <c r="BZ7" s="64"/>
      <c r="CA7" s="64"/>
      <c r="CB7" s="64"/>
      <c r="CC7" s="64"/>
      <c r="CD7" s="64"/>
      <c r="CE7" s="64"/>
      <c r="CF7" s="64"/>
      <c r="CG7" s="64"/>
      <c r="CH7" s="64"/>
      <c r="CI7" s="64"/>
      <c r="CJ7" s="64"/>
      <c r="CK7" s="64"/>
      <c r="CL7" s="64"/>
      <c r="CM7" s="64"/>
      <c r="CN7" s="64"/>
      <c r="CO7" s="64"/>
      <c r="CP7" s="64"/>
      <c r="CQ7" s="64"/>
      <c r="CR7" s="64"/>
      <c r="CS7" s="64"/>
      <c r="CT7" s="64"/>
      <c r="CU7" s="64"/>
      <c r="CV7" s="64"/>
      <c r="CW7" s="64"/>
      <c r="CX7" s="64"/>
      <c r="CY7" s="64"/>
      <c r="CZ7" s="64"/>
      <c r="DA7" s="64"/>
      <c r="DB7" s="64"/>
      <c r="DC7" s="64"/>
      <c r="DD7" s="64"/>
      <c r="DE7" s="64"/>
      <c r="DF7" s="64"/>
      <c r="DG7" s="64"/>
      <c r="DH7" s="64"/>
      <c r="DI7" s="64"/>
      <c r="DJ7" s="64"/>
      <c r="DK7" s="64"/>
      <c r="DL7" s="64"/>
      <c r="DM7" s="64"/>
      <c r="DN7" s="64"/>
      <c r="DO7" s="64"/>
      <c r="DP7" s="64"/>
      <c r="DQ7" s="80"/>
      <c r="DR7" s="80">
        <v>28</v>
      </c>
      <c r="DS7" s="80">
        <v>30</v>
      </c>
      <c r="DT7" s="64"/>
      <c r="DU7" s="64"/>
      <c r="DV7" s="64"/>
      <c r="DW7" s="64"/>
      <c r="DX7" s="64"/>
      <c r="DY7" s="64"/>
      <c r="DZ7" s="64"/>
      <c r="EA7" s="64"/>
      <c r="EB7" s="64"/>
      <c r="EC7" s="64"/>
      <c r="ED7" s="64"/>
      <c r="EE7" s="64"/>
      <c r="EF7" s="64"/>
      <c r="EG7" s="64"/>
      <c r="EH7" s="64"/>
      <c r="EI7" s="64"/>
      <c r="EJ7" s="69"/>
      <c r="EK7" s="64"/>
      <c r="EL7" s="64"/>
      <c r="EM7" s="64"/>
      <c r="EN7" s="64"/>
      <c r="EO7" s="64"/>
      <c r="EP7" s="64"/>
      <c r="EQ7" s="64"/>
      <c r="ER7" s="64"/>
      <c r="ES7" s="64"/>
      <c r="ET7" s="64"/>
      <c r="EU7" s="64"/>
      <c r="EV7" s="64"/>
      <c r="EW7" s="64"/>
      <c r="EX7" s="64"/>
      <c r="EY7" s="64"/>
      <c r="EZ7" s="64"/>
      <c r="FA7" s="64"/>
      <c r="FB7" s="64"/>
      <c r="FC7" s="64"/>
      <c r="FD7" s="64"/>
      <c r="FE7" s="64"/>
      <c r="FF7" s="64"/>
      <c r="FG7" s="64"/>
      <c r="FH7" s="64"/>
      <c r="FI7" s="64"/>
      <c r="FJ7" s="64"/>
      <c r="FK7" s="64"/>
      <c r="FL7" s="64"/>
      <c r="FM7" s="64"/>
      <c r="FN7" s="64"/>
      <c r="FO7" s="64"/>
      <c r="FP7" s="64"/>
      <c r="FQ7" s="64"/>
      <c r="FR7" s="64"/>
      <c r="FS7" s="64"/>
      <c r="FT7" s="64"/>
      <c r="FU7" s="64"/>
      <c r="FV7" s="64"/>
      <c r="FW7" s="64"/>
      <c r="FX7" s="64"/>
      <c r="FY7" s="64"/>
      <c r="FZ7" s="64"/>
      <c r="GA7" s="64"/>
      <c r="GB7" s="64"/>
      <c r="GC7" s="64"/>
      <c r="GD7" s="64"/>
      <c r="GE7" s="64"/>
      <c r="GF7" s="64"/>
      <c r="GG7" s="64"/>
      <c r="GH7" s="64"/>
      <c r="GI7" s="64"/>
      <c r="GJ7" s="64"/>
      <c r="GK7" s="64"/>
      <c r="GL7" s="64"/>
      <c r="GM7" s="64"/>
      <c r="GN7" s="64"/>
      <c r="GO7" s="64"/>
      <c r="GP7" s="64"/>
      <c r="GQ7" s="64"/>
      <c r="GR7" s="64"/>
      <c r="GS7" s="64"/>
      <c r="GT7" s="64"/>
      <c r="GU7" s="64"/>
      <c r="GV7" s="64"/>
      <c r="GW7" s="64"/>
      <c r="GX7" s="64"/>
      <c r="GY7" s="64"/>
      <c r="GZ7" s="64"/>
      <c r="HA7" s="64"/>
      <c r="HB7" s="64"/>
      <c r="HC7" s="64"/>
      <c r="HD7" s="64"/>
      <c r="HE7" s="64"/>
      <c r="HF7" s="64"/>
      <c r="HG7" s="71"/>
      <c r="HH7" s="64"/>
    </row>
    <row r="8" spans="1:216" x14ac:dyDescent="0.25">
      <c r="A8" s="8"/>
      <c r="B8" s="5" t="s">
        <v>61</v>
      </c>
      <c r="C8" s="8"/>
      <c r="D8" s="6" t="s">
        <v>460</v>
      </c>
      <c r="E8" s="8">
        <v>0</v>
      </c>
      <c r="F8" s="5"/>
      <c r="G8" s="5"/>
      <c r="H8" s="5"/>
      <c r="I8" s="5"/>
      <c r="J8" s="5" t="s">
        <v>461</v>
      </c>
      <c r="K8" s="9"/>
      <c r="L8" s="38" t="str">
        <f>IF(L7="CWT70H50/2NMC","LCT70H50NMC","-------")</f>
        <v>LCT70H50NMC</v>
      </c>
      <c r="M8" s="11">
        <f>INDEX(cenník!$C$2:$I$568,MATCH($L8,cenník!$B$2:$B$557,0),MATCH(M$2,cenník!$C$1:$I$1,0))</f>
        <v>852002</v>
      </c>
      <c r="N8" s="11" t="str">
        <f>INDEX(cenník!$C$2:$I$568,MATCH($L8,cenník!$B$2:$B$557,0),MATCH(N$2,cenník!$C$1:$I$1,0))</f>
        <v>ks</v>
      </c>
      <c r="O8" s="11">
        <f>O7</f>
        <v>0</v>
      </c>
      <c r="P8" s="36">
        <f>INDEX(cenník!$C$2:$I$568,MATCH($L8,cenník!$B$2:$B$557,0),MATCH(P$2,cenník!$C$1:$I$1,0))</f>
        <v>7.8</v>
      </c>
      <c r="Q8" s="36">
        <f t="shared" si="22"/>
        <v>0</v>
      </c>
      <c r="R8" s="37">
        <f t="shared" si="2"/>
        <v>0</v>
      </c>
      <c r="S8" s="36">
        <f t="shared" si="23"/>
        <v>7.8</v>
      </c>
      <c r="T8" s="36">
        <f t="shared" si="24"/>
        <v>0</v>
      </c>
      <c r="U8" s="36">
        <f>INDEX(cenník!$C$2:$I$568,MATCH($L8,cenník!$B$2:$B$557,0),MATCH(U$2,cenník!$C$1:$I$1,0))*O8</f>
        <v>0</v>
      </c>
      <c r="V8" s="85"/>
      <c r="W8" s="64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64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64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64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64">
        <f t="shared" si="3"/>
        <v>0</v>
      </c>
      <c r="AB8" s="64">
        <f t="shared" si="0"/>
        <v>0</v>
      </c>
      <c r="AC8" s="64" t="s">
        <v>517</v>
      </c>
      <c r="AD8" s="64"/>
      <c r="AE8" s="64"/>
      <c r="AF8" s="64"/>
      <c r="AG8" s="88">
        <v>38</v>
      </c>
      <c r="AH8" s="72" t="s">
        <v>25</v>
      </c>
      <c r="AI8" s="72"/>
      <c r="AJ8" s="72" t="s">
        <v>55</v>
      </c>
      <c r="AK8" s="72" t="s">
        <v>45</v>
      </c>
      <c r="AL8" s="72">
        <v>38</v>
      </c>
      <c r="AM8" s="72" t="s">
        <v>37</v>
      </c>
      <c r="AN8" s="72"/>
      <c r="AO8" s="86" t="s">
        <v>84</v>
      </c>
      <c r="AP8" s="86" t="s">
        <v>84</v>
      </c>
      <c r="AQ8" s="86"/>
      <c r="AR8" s="64" t="s">
        <v>330</v>
      </c>
      <c r="AS8" s="85" t="s">
        <v>295</v>
      </c>
      <c r="AT8" s="85" t="s">
        <v>295</v>
      </c>
      <c r="AU8" s="64" t="s">
        <v>293</v>
      </c>
      <c r="AV8" s="64" t="s">
        <v>293</v>
      </c>
      <c r="AX8" s="86"/>
      <c r="AY8" s="90">
        <v>6</v>
      </c>
      <c r="AZ8" s="90" t="s">
        <v>399</v>
      </c>
      <c r="BA8" s="87">
        <v>3</v>
      </c>
      <c r="BG8" s="87">
        <f t="shared" si="1"/>
        <v>1</v>
      </c>
      <c r="BH8" s="64" t="s">
        <v>57</v>
      </c>
      <c r="BI8" s="64">
        <v>0</v>
      </c>
      <c r="BJ8" s="64">
        <v>8</v>
      </c>
      <c r="BK8" s="64">
        <v>12</v>
      </c>
      <c r="BL8" s="64">
        <v>16</v>
      </c>
      <c r="BM8" s="64">
        <v>20</v>
      </c>
      <c r="BN8" s="64">
        <v>24</v>
      </c>
      <c r="BO8" s="64">
        <v>28</v>
      </c>
      <c r="BP8" s="64">
        <v>32</v>
      </c>
      <c r="BQ8" s="64">
        <v>36</v>
      </c>
      <c r="BR8" s="64">
        <v>40</v>
      </c>
      <c r="BS8" s="64">
        <v>44</v>
      </c>
      <c r="BT8" s="64">
        <v>48</v>
      </c>
      <c r="BU8" s="64">
        <v>52</v>
      </c>
      <c r="BV8" s="64"/>
      <c r="BW8" s="64" t="s">
        <v>197</v>
      </c>
      <c r="BX8" s="64">
        <v>0</v>
      </c>
      <c r="BY8" s="64">
        <v>8</v>
      </c>
      <c r="BZ8" s="64">
        <v>12</v>
      </c>
      <c r="CA8" s="64">
        <v>16</v>
      </c>
      <c r="CB8" s="64">
        <v>20</v>
      </c>
      <c r="CC8" s="64">
        <v>24</v>
      </c>
      <c r="CD8" s="64">
        <v>28</v>
      </c>
      <c r="CE8" s="64">
        <v>32</v>
      </c>
      <c r="CF8" s="64">
        <v>36</v>
      </c>
      <c r="CG8" s="64">
        <v>40</v>
      </c>
      <c r="CH8" s="64">
        <v>44</v>
      </c>
      <c r="CI8" s="64">
        <v>48</v>
      </c>
      <c r="CJ8" s="64">
        <v>52</v>
      </c>
      <c r="CK8" s="64"/>
      <c r="CL8" s="64"/>
      <c r="CM8" s="64"/>
      <c r="CN8" s="64" t="s">
        <v>58</v>
      </c>
      <c r="CO8" s="64">
        <v>0</v>
      </c>
      <c r="CP8" s="64">
        <v>8</v>
      </c>
      <c r="CQ8" s="64">
        <v>12</v>
      </c>
      <c r="CR8" s="64">
        <v>16</v>
      </c>
      <c r="CS8" s="64">
        <v>20</v>
      </c>
      <c r="CT8" s="64">
        <v>24</v>
      </c>
      <c r="CU8" s="64">
        <v>28</v>
      </c>
      <c r="CV8" s="64">
        <v>32</v>
      </c>
      <c r="CW8" s="64">
        <v>36</v>
      </c>
      <c r="CX8" s="64">
        <v>40</v>
      </c>
      <c r="CY8" s="64">
        <v>44</v>
      </c>
      <c r="CZ8" s="64">
        <v>48</v>
      </c>
      <c r="DA8" s="64">
        <v>52</v>
      </c>
      <c r="DB8" s="64"/>
      <c r="DC8" s="64" t="s">
        <v>203</v>
      </c>
      <c r="DD8" s="64">
        <v>0</v>
      </c>
      <c r="DE8" s="64">
        <v>8</v>
      </c>
      <c r="DF8" s="64">
        <v>12</v>
      </c>
      <c r="DG8" s="64">
        <v>16</v>
      </c>
      <c r="DH8" s="64">
        <v>20</v>
      </c>
      <c r="DI8" s="64">
        <v>24</v>
      </c>
      <c r="DJ8" s="64">
        <v>28</v>
      </c>
      <c r="DK8" s="64">
        <v>32</v>
      </c>
      <c r="DL8" s="64">
        <v>36</v>
      </c>
      <c r="DM8" s="64">
        <v>40</v>
      </c>
      <c r="DN8" s="64">
        <v>44</v>
      </c>
      <c r="DO8" s="64">
        <v>48</v>
      </c>
      <c r="DP8" s="64">
        <v>52</v>
      </c>
      <c r="DQ8" s="80"/>
      <c r="DR8" s="80">
        <v>32</v>
      </c>
      <c r="DS8" s="80"/>
      <c r="DT8" s="64" t="s">
        <v>231</v>
      </c>
      <c r="DU8" s="64">
        <v>0</v>
      </c>
      <c r="DV8" s="64">
        <v>8</v>
      </c>
      <c r="DW8" s="64">
        <v>12</v>
      </c>
      <c r="DX8" s="64">
        <v>16</v>
      </c>
      <c r="DY8" s="64">
        <v>20</v>
      </c>
      <c r="DZ8" s="64">
        <v>24</v>
      </c>
      <c r="EA8" s="64">
        <v>28</v>
      </c>
      <c r="EB8" s="64">
        <v>32</v>
      </c>
      <c r="EC8" s="64">
        <v>36</v>
      </c>
      <c r="ED8" s="64">
        <v>40</v>
      </c>
      <c r="EE8" s="64">
        <v>44</v>
      </c>
      <c r="EF8" s="64">
        <v>48</v>
      </c>
      <c r="EG8" s="64">
        <v>52</v>
      </c>
      <c r="EH8" s="64"/>
      <c r="EI8" s="64"/>
      <c r="EJ8" s="69"/>
      <c r="EK8" s="64" t="s">
        <v>57</v>
      </c>
      <c r="EL8" s="64">
        <v>0</v>
      </c>
      <c r="EM8" s="64">
        <v>8</v>
      </c>
      <c r="EN8" s="64">
        <v>12</v>
      </c>
      <c r="EO8" s="64">
        <v>16</v>
      </c>
      <c r="EP8" s="64">
        <v>20</v>
      </c>
      <c r="EQ8" s="64">
        <v>24</v>
      </c>
      <c r="ER8" s="64">
        <v>28</v>
      </c>
      <c r="ES8" s="64">
        <v>32</v>
      </c>
      <c r="ET8" s="64">
        <v>36</v>
      </c>
      <c r="EU8" s="64">
        <v>40</v>
      </c>
      <c r="EV8" s="64">
        <v>44</v>
      </c>
      <c r="EW8" s="64">
        <v>48</v>
      </c>
      <c r="EX8" s="64">
        <v>52</v>
      </c>
      <c r="EY8" s="64"/>
      <c r="EZ8" s="64" t="s">
        <v>197</v>
      </c>
      <c r="FA8" s="64">
        <v>0</v>
      </c>
      <c r="FB8" s="64">
        <v>8</v>
      </c>
      <c r="FC8" s="64">
        <v>12</v>
      </c>
      <c r="FD8" s="64">
        <v>16</v>
      </c>
      <c r="FE8" s="64">
        <v>20</v>
      </c>
      <c r="FF8" s="64">
        <v>24</v>
      </c>
      <c r="FG8" s="64">
        <v>28</v>
      </c>
      <c r="FH8" s="64">
        <v>32</v>
      </c>
      <c r="FI8" s="64">
        <v>36</v>
      </c>
      <c r="FJ8" s="64">
        <v>40</v>
      </c>
      <c r="FK8" s="64">
        <v>44</v>
      </c>
      <c r="FL8" s="64">
        <v>48</v>
      </c>
      <c r="FM8" s="64">
        <v>52</v>
      </c>
      <c r="FN8" s="64"/>
      <c r="FO8" s="64" t="s">
        <v>58</v>
      </c>
      <c r="FP8" s="64">
        <v>0</v>
      </c>
      <c r="FQ8" s="64">
        <v>8</v>
      </c>
      <c r="FR8" s="64">
        <v>12</v>
      </c>
      <c r="FS8" s="64">
        <v>16</v>
      </c>
      <c r="FT8" s="64">
        <v>20</v>
      </c>
      <c r="FU8" s="64">
        <v>24</v>
      </c>
      <c r="FV8" s="64">
        <v>28</v>
      </c>
      <c r="FW8" s="64">
        <v>32</v>
      </c>
      <c r="FX8" s="64">
        <v>36</v>
      </c>
      <c r="FY8" s="64">
        <v>40</v>
      </c>
      <c r="FZ8" s="64">
        <v>44</v>
      </c>
      <c r="GA8" s="64">
        <v>48</v>
      </c>
      <c r="GB8" s="64">
        <v>52</v>
      </c>
      <c r="GC8" s="64"/>
      <c r="GD8" s="64" t="s">
        <v>203</v>
      </c>
      <c r="GE8" s="64">
        <v>0</v>
      </c>
      <c r="GF8" s="64">
        <v>8</v>
      </c>
      <c r="GG8" s="64">
        <v>12</v>
      </c>
      <c r="GH8" s="64">
        <v>16</v>
      </c>
      <c r="GI8" s="64">
        <v>20</v>
      </c>
      <c r="GJ8" s="64">
        <v>24</v>
      </c>
      <c r="GK8" s="64">
        <v>28</v>
      </c>
      <c r="GL8" s="64">
        <v>32</v>
      </c>
      <c r="GM8" s="64">
        <v>36</v>
      </c>
      <c r="GN8" s="64">
        <v>40</v>
      </c>
      <c r="GO8" s="64">
        <v>44</v>
      </c>
      <c r="GP8" s="64">
        <v>48</v>
      </c>
      <c r="GQ8" s="64">
        <v>52</v>
      </c>
      <c r="GR8" s="64"/>
      <c r="GS8" s="64" t="s">
        <v>231</v>
      </c>
      <c r="GT8" s="64">
        <v>0</v>
      </c>
      <c r="GU8" s="64">
        <v>8</v>
      </c>
      <c r="GV8" s="64">
        <v>12</v>
      </c>
      <c r="GW8" s="64">
        <v>16</v>
      </c>
      <c r="GX8" s="64">
        <v>20</v>
      </c>
      <c r="GY8" s="64">
        <v>24</v>
      </c>
      <c r="GZ8" s="64">
        <v>28</v>
      </c>
      <c r="HA8" s="64">
        <v>32</v>
      </c>
      <c r="HB8" s="64">
        <v>36</v>
      </c>
      <c r="HC8" s="64">
        <v>40</v>
      </c>
      <c r="HD8" s="64">
        <v>44</v>
      </c>
      <c r="HE8" s="64">
        <v>48</v>
      </c>
      <c r="HF8" s="64">
        <v>52</v>
      </c>
      <c r="HG8" s="71"/>
      <c r="HH8" s="64"/>
    </row>
    <row r="9" spans="1:216" x14ac:dyDescent="0.25">
      <c r="A9" s="8"/>
      <c r="B9" s="5" t="s">
        <v>61</v>
      </c>
      <c r="C9" s="8"/>
      <c r="D9" s="6" t="s">
        <v>474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>
        <f>INDEX(cenník!$C$2:$I$568,MATCH($L9,cenník!$B$2:$B$557,0),MATCH(M$2,cenník!$C$1:$I$1,0))</f>
        <v>863354</v>
      </c>
      <c r="N9" s="11" t="str">
        <f>INDEX(cenník!$C$2:$I$568,MATCH($L9,cenník!$B$2:$B$557,0),MATCH(N$2,cenník!$C$1:$I$1,0))</f>
        <v>ks</v>
      </c>
      <c r="O9" s="11">
        <f>O5</f>
        <v>0</v>
      </c>
      <c r="P9" s="36">
        <f>INDEX(cenník!$C$2:$I$568,MATCH($L9,cenník!$B$2:$B$557,0),MATCH(P$2,cenník!$C$1:$I$1,0))</f>
        <v>76.8</v>
      </c>
      <c r="Q9" s="36">
        <f t="shared" si="22"/>
        <v>0</v>
      </c>
      <c r="R9" s="37">
        <f t="shared" si="2"/>
        <v>0</v>
      </c>
      <c r="S9" s="36">
        <f t="shared" si="23"/>
        <v>76.8</v>
      </c>
      <c r="T9" s="36">
        <f t="shared" si="24"/>
        <v>0</v>
      </c>
      <c r="U9" s="36">
        <f>INDEX(cenník!$C$2:$I$568,MATCH($L9,cenník!$B$2:$B$557,0),MATCH(U$2,cenník!$C$1:$I$1,0))*O9</f>
        <v>0</v>
      </c>
      <c r="V9" s="85"/>
      <c r="W9" s="64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64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64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64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64">
        <f t="shared" si="3"/>
        <v>0</v>
      </c>
      <c r="AB9" s="64">
        <f t="shared" si="0"/>
        <v>0</v>
      </c>
      <c r="AC9" s="64"/>
      <c r="AD9" s="64"/>
      <c r="AE9" s="64"/>
      <c r="AF9" s="64"/>
      <c r="AG9" s="88">
        <v>40</v>
      </c>
      <c r="AH9" s="72" t="s">
        <v>26</v>
      </c>
      <c r="AI9" s="72" t="s">
        <v>27</v>
      </c>
      <c r="AJ9" s="72" t="s">
        <v>54</v>
      </c>
      <c r="AK9" s="72" t="s">
        <v>45</v>
      </c>
      <c r="AL9" s="72">
        <v>40</v>
      </c>
      <c r="AM9" s="72" t="s">
        <v>38</v>
      </c>
      <c r="AN9" s="72" t="s">
        <v>39</v>
      </c>
      <c r="AO9" s="86" t="s">
        <v>84</v>
      </c>
      <c r="AP9" s="86" t="s">
        <v>84</v>
      </c>
      <c r="AQ9" s="86"/>
      <c r="AR9" s="64" t="s">
        <v>331</v>
      </c>
      <c r="AS9" s="85" t="s">
        <v>295</v>
      </c>
      <c r="AT9" s="85" t="s">
        <v>295</v>
      </c>
      <c r="AU9" s="64" t="s">
        <v>293</v>
      </c>
      <c r="AV9" s="64" t="s">
        <v>293</v>
      </c>
      <c r="AX9" s="86"/>
      <c r="AY9" s="89">
        <v>10</v>
      </c>
      <c r="AZ9" s="89" t="s">
        <v>400</v>
      </c>
      <c r="BA9" s="87">
        <v>4</v>
      </c>
      <c r="BG9" s="87">
        <f t="shared" si="1"/>
        <v>1</v>
      </c>
      <c r="BH9" s="64" t="s">
        <v>104</v>
      </c>
      <c r="BI9" s="64">
        <v>0</v>
      </c>
      <c r="BJ9" s="64">
        <v>0</v>
      </c>
      <c r="BK9" s="64">
        <v>5</v>
      </c>
      <c r="BL9" s="64">
        <v>5</v>
      </c>
      <c r="BM9" s="64">
        <v>0</v>
      </c>
      <c r="BN9" s="64">
        <v>5</v>
      </c>
      <c r="BO9" s="64">
        <v>0</v>
      </c>
      <c r="BP9" s="64">
        <v>10</v>
      </c>
      <c r="BQ9" s="64">
        <v>5</v>
      </c>
      <c r="BR9" s="64">
        <v>10</v>
      </c>
      <c r="BS9" s="64">
        <v>5</v>
      </c>
      <c r="BT9" s="64">
        <v>10</v>
      </c>
      <c r="BU9" s="64">
        <v>10</v>
      </c>
      <c r="BV9" s="64"/>
      <c r="BW9" s="64" t="s">
        <v>104</v>
      </c>
      <c r="BX9" s="64">
        <v>0</v>
      </c>
      <c r="BY9" s="64">
        <v>0</v>
      </c>
      <c r="BZ9" s="64">
        <v>5</v>
      </c>
      <c r="CA9" s="64">
        <v>0</v>
      </c>
      <c r="CB9" s="64">
        <v>0</v>
      </c>
      <c r="CC9" s="64">
        <v>0</v>
      </c>
      <c r="CD9" s="64">
        <v>10</v>
      </c>
      <c r="CE9" s="64">
        <v>5</v>
      </c>
      <c r="CF9" s="64">
        <v>10</v>
      </c>
      <c r="CG9" s="64">
        <v>5</v>
      </c>
      <c r="CH9" s="64">
        <v>10</v>
      </c>
      <c r="CI9" s="64">
        <v>10</v>
      </c>
      <c r="CJ9" s="64">
        <v>15</v>
      </c>
      <c r="CK9" s="64"/>
      <c r="CL9" s="64"/>
      <c r="CM9" s="64"/>
      <c r="CN9" s="64" t="s">
        <v>104</v>
      </c>
      <c r="CO9" s="64">
        <v>0</v>
      </c>
      <c r="CP9" s="64">
        <v>0</v>
      </c>
      <c r="CQ9" s="64">
        <v>5</v>
      </c>
      <c r="CR9" s="64">
        <v>0</v>
      </c>
      <c r="CS9" s="64">
        <v>5</v>
      </c>
      <c r="CT9" s="64">
        <v>0</v>
      </c>
      <c r="CU9" s="64">
        <v>5</v>
      </c>
      <c r="CV9" s="64">
        <v>10</v>
      </c>
      <c r="CW9" s="64">
        <v>10</v>
      </c>
      <c r="CX9" s="64">
        <v>10</v>
      </c>
      <c r="CY9" s="64">
        <v>10</v>
      </c>
      <c r="CZ9" s="64">
        <v>15</v>
      </c>
      <c r="DA9" s="64">
        <v>20</v>
      </c>
      <c r="DB9" s="64"/>
      <c r="DC9" s="64" t="s">
        <v>104</v>
      </c>
      <c r="DD9" s="64">
        <v>0</v>
      </c>
      <c r="DE9" s="64">
        <v>0</v>
      </c>
      <c r="DF9" s="64">
        <v>5</v>
      </c>
      <c r="DG9" s="64">
        <v>0</v>
      </c>
      <c r="DH9" s="64">
        <v>5</v>
      </c>
      <c r="DI9" s="64">
        <v>10</v>
      </c>
      <c r="DJ9" s="64">
        <v>5</v>
      </c>
      <c r="DK9" s="64">
        <v>10</v>
      </c>
      <c r="DL9" s="64">
        <v>15</v>
      </c>
      <c r="DM9" s="64">
        <v>10</v>
      </c>
      <c r="DN9" s="64">
        <v>15</v>
      </c>
      <c r="DO9" s="64">
        <v>20</v>
      </c>
      <c r="DP9" s="64">
        <v>15</v>
      </c>
      <c r="DQ9" s="80"/>
      <c r="DR9" s="80">
        <v>36</v>
      </c>
      <c r="DS9" s="80"/>
      <c r="DT9" s="64" t="s">
        <v>104</v>
      </c>
      <c r="DU9" s="64">
        <v>0</v>
      </c>
      <c r="DV9" s="64">
        <v>0</v>
      </c>
      <c r="DW9" s="64">
        <v>5</v>
      </c>
      <c r="DX9" s="64">
        <v>0</v>
      </c>
      <c r="DY9" s="64">
        <v>0</v>
      </c>
      <c r="DZ9" s="64">
        <v>10</v>
      </c>
      <c r="EA9" s="64">
        <v>10</v>
      </c>
      <c r="EB9" s="64">
        <v>5</v>
      </c>
      <c r="EC9" s="64">
        <v>10</v>
      </c>
      <c r="ED9" s="64">
        <v>15</v>
      </c>
      <c r="EE9" s="64">
        <v>10</v>
      </c>
      <c r="EF9" s="64">
        <v>15</v>
      </c>
      <c r="EG9" s="64">
        <v>20</v>
      </c>
      <c r="EH9" s="64"/>
      <c r="EI9" s="64"/>
      <c r="EJ9" s="69"/>
      <c r="EK9" s="64" t="s">
        <v>286</v>
      </c>
      <c r="EL9" s="64">
        <v>0</v>
      </c>
      <c r="EM9" s="64">
        <v>0</v>
      </c>
      <c r="EN9" s="68">
        <v>5</v>
      </c>
      <c r="EO9" s="68">
        <v>5</v>
      </c>
      <c r="EP9" s="68">
        <v>0</v>
      </c>
      <c r="EQ9" s="68">
        <v>0</v>
      </c>
      <c r="ER9" s="68">
        <v>0</v>
      </c>
      <c r="ES9" s="68">
        <v>0</v>
      </c>
      <c r="ET9" s="68">
        <v>0</v>
      </c>
      <c r="EU9" s="68">
        <v>0</v>
      </c>
      <c r="EV9" s="68">
        <v>0</v>
      </c>
      <c r="EW9" s="68">
        <v>0</v>
      </c>
      <c r="EX9" s="68">
        <v>0</v>
      </c>
      <c r="EZ9" s="68" t="s">
        <v>286</v>
      </c>
      <c r="FA9" s="64">
        <v>0</v>
      </c>
      <c r="FB9" s="64">
        <v>0</v>
      </c>
      <c r="FC9" s="68">
        <v>5</v>
      </c>
      <c r="FD9" s="68">
        <v>0</v>
      </c>
      <c r="FE9" s="68">
        <v>0</v>
      </c>
      <c r="FF9" s="68">
        <v>0</v>
      </c>
      <c r="FG9" s="68">
        <v>0</v>
      </c>
      <c r="FH9" s="68">
        <v>0</v>
      </c>
      <c r="FI9" s="68">
        <v>0</v>
      </c>
      <c r="FJ9" s="68">
        <v>0</v>
      </c>
      <c r="FK9" s="68">
        <v>0</v>
      </c>
      <c r="FL9" s="68">
        <v>0</v>
      </c>
      <c r="FM9" s="68">
        <v>0</v>
      </c>
      <c r="FO9" s="68" t="s">
        <v>286</v>
      </c>
      <c r="FP9" s="64">
        <v>0</v>
      </c>
      <c r="FQ9" s="64">
        <v>0</v>
      </c>
      <c r="FR9" s="68">
        <v>5</v>
      </c>
      <c r="FS9" s="68">
        <v>0</v>
      </c>
      <c r="FT9" s="68">
        <v>0</v>
      </c>
      <c r="FU9" s="68">
        <v>0</v>
      </c>
      <c r="FV9" s="68">
        <v>0</v>
      </c>
      <c r="FW9" s="68">
        <v>0</v>
      </c>
      <c r="FX9" s="68">
        <v>0</v>
      </c>
      <c r="FY9" s="68">
        <v>0</v>
      </c>
      <c r="FZ9" s="68">
        <v>0</v>
      </c>
      <c r="GA9" s="68">
        <v>0</v>
      </c>
      <c r="GB9" s="68">
        <v>0</v>
      </c>
      <c r="GD9" s="68" t="s">
        <v>286</v>
      </c>
      <c r="GE9" s="64">
        <v>0</v>
      </c>
      <c r="GF9" s="64">
        <v>0</v>
      </c>
      <c r="GG9" s="68">
        <v>5</v>
      </c>
      <c r="GH9" s="68">
        <v>0</v>
      </c>
      <c r="GI9" s="68">
        <v>0</v>
      </c>
      <c r="GJ9" s="68">
        <v>0</v>
      </c>
      <c r="GK9" s="68">
        <v>0</v>
      </c>
      <c r="GL9" s="68">
        <v>0</v>
      </c>
      <c r="GM9" s="68">
        <v>0</v>
      </c>
      <c r="GN9" s="68">
        <v>0</v>
      </c>
      <c r="GO9" s="68">
        <v>0</v>
      </c>
      <c r="GP9" s="68">
        <v>0</v>
      </c>
      <c r="GQ9" s="68">
        <v>0</v>
      </c>
      <c r="GS9" s="68" t="s">
        <v>286</v>
      </c>
      <c r="GT9" s="64">
        <v>0</v>
      </c>
      <c r="GU9" s="64">
        <v>0</v>
      </c>
      <c r="GV9" s="68">
        <v>5</v>
      </c>
      <c r="GW9" s="68">
        <v>0</v>
      </c>
      <c r="GX9" s="68">
        <v>0</v>
      </c>
      <c r="GY9" s="68">
        <v>0</v>
      </c>
      <c r="GZ9" s="68">
        <v>0</v>
      </c>
      <c r="HA9" s="68">
        <v>0</v>
      </c>
      <c r="HB9" s="68">
        <v>0</v>
      </c>
      <c r="HC9" s="68">
        <v>0</v>
      </c>
      <c r="HD9" s="68">
        <v>0</v>
      </c>
      <c r="HE9" s="68">
        <v>0</v>
      </c>
      <c r="HF9" s="68">
        <v>0</v>
      </c>
      <c r="HG9" s="71"/>
      <c r="HH9" s="64"/>
    </row>
    <row r="10" spans="1:216" x14ac:dyDescent="0.25">
      <c r="A10" s="8"/>
      <c r="B10" s="5" t="s">
        <v>61</v>
      </c>
      <c r="C10" s="8"/>
      <c r="D10" s="6" t="s">
        <v>556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>
        <f>INDEX(cenník!$C$2:$I$568,MATCH($L10,cenník!$B$2:$B$557,0),MATCH(M$2,cenník!$C$1:$I$1,0))</f>
        <v>851122</v>
      </c>
      <c r="N10" s="11" t="str">
        <f>INDEX(cenník!$C$2:$I$568,MATCH($L10,cenník!$B$2:$B$557,0),MATCH(N$2,cenník!$C$1:$I$1,0))</f>
        <v>ks</v>
      </c>
      <c r="O10" s="11">
        <f>O5</f>
        <v>0</v>
      </c>
      <c r="P10" s="36">
        <f>INDEX(cenník!$C$2:$I$568,MATCH($L10,cenník!$B$2:$B$557,0),MATCH(P$2,cenník!$C$1:$I$1,0))</f>
        <v>15.99</v>
      </c>
      <c r="Q10" s="36">
        <f t="shared" si="22"/>
        <v>0</v>
      </c>
      <c r="R10" s="37">
        <f t="shared" si="2"/>
        <v>0</v>
      </c>
      <c r="S10" s="36">
        <f t="shared" si="23"/>
        <v>15.99</v>
      </c>
      <c r="T10" s="36">
        <f t="shared" si="24"/>
        <v>0</v>
      </c>
      <c r="U10" s="36">
        <f>INDEX(cenník!$C$2:$I$568,MATCH($L10,cenník!$B$2:$B$557,0),MATCH(U$2,cenník!$C$1:$I$1,0))*O10</f>
        <v>0</v>
      </c>
      <c r="V10" s="85"/>
      <c r="W10" s="64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64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64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64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64">
        <f t="shared" si="3"/>
        <v>0</v>
      </c>
      <c r="AB10" s="64">
        <f t="shared" si="0"/>
        <v>0</v>
      </c>
      <c r="AC10" s="64"/>
      <c r="AD10" s="64"/>
      <c r="AE10" s="64"/>
      <c r="AF10" s="64"/>
      <c r="AG10" s="88">
        <v>42</v>
      </c>
      <c r="AH10" s="72" t="s">
        <v>28</v>
      </c>
      <c r="AI10" s="72"/>
      <c r="AJ10" s="72" t="s">
        <v>54</v>
      </c>
      <c r="AK10" s="72" t="s">
        <v>45</v>
      </c>
      <c r="AL10" s="72">
        <v>42</v>
      </c>
      <c r="AM10" s="72" t="s">
        <v>40</v>
      </c>
      <c r="AN10" s="72"/>
      <c r="AO10" s="86" t="s">
        <v>84</v>
      </c>
      <c r="AP10" s="86" t="s">
        <v>84</v>
      </c>
      <c r="AQ10" s="86"/>
      <c r="AR10" s="72"/>
      <c r="AS10" s="72"/>
      <c r="AT10" s="72"/>
      <c r="AU10" s="72"/>
      <c r="AV10" s="72"/>
      <c r="AW10" s="72"/>
      <c r="AX10" s="72"/>
      <c r="AY10" s="89"/>
      <c r="BA10" s="87"/>
      <c r="BB10" s="72"/>
      <c r="BC10" s="72"/>
      <c r="BD10" s="72"/>
      <c r="BE10" s="72"/>
      <c r="BF10" s="72"/>
      <c r="BG10" s="87">
        <f t="shared" si="1"/>
        <v>1</v>
      </c>
      <c r="BH10" s="64" t="s">
        <v>103</v>
      </c>
      <c r="BI10" s="64">
        <v>0</v>
      </c>
      <c r="BJ10" s="64">
        <v>0</v>
      </c>
      <c r="BK10" s="64">
        <v>0</v>
      </c>
      <c r="BL10" s="64">
        <v>0</v>
      </c>
      <c r="BM10" s="64">
        <v>10</v>
      </c>
      <c r="BN10" s="64">
        <v>0</v>
      </c>
      <c r="BO10" s="64">
        <v>10</v>
      </c>
      <c r="BP10" s="64">
        <v>0</v>
      </c>
      <c r="BQ10" s="64">
        <v>10</v>
      </c>
      <c r="BR10" s="64">
        <v>0</v>
      </c>
      <c r="BS10" s="64">
        <v>10</v>
      </c>
      <c r="BT10" s="64">
        <v>5</v>
      </c>
      <c r="BU10" s="64">
        <v>10</v>
      </c>
      <c r="BV10" s="64"/>
      <c r="BW10" s="64" t="s">
        <v>103</v>
      </c>
      <c r="BX10" s="64">
        <v>0</v>
      </c>
      <c r="BY10" s="64">
        <v>0</v>
      </c>
      <c r="BZ10" s="64">
        <v>0</v>
      </c>
      <c r="CA10" s="64">
        <v>5</v>
      </c>
      <c r="CB10" s="64">
        <v>10</v>
      </c>
      <c r="CC10" s="64">
        <v>10</v>
      </c>
      <c r="CD10" s="64">
        <v>0</v>
      </c>
      <c r="CE10" s="64">
        <v>10</v>
      </c>
      <c r="CF10" s="64">
        <v>5</v>
      </c>
      <c r="CG10" s="64">
        <v>10</v>
      </c>
      <c r="CH10" s="64">
        <v>5</v>
      </c>
      <c r="CI10" s="64">
        <v>10</v>
      </c>
      <c r="CJ10" s="64">
        <v>5</v>
      </c>
      <c r="CK10" s="64"/>
      <c r="CL10" s="64"/>
      <c r="CM10" s="64"/>
      <c r="CN10" s="64" t="s">
        <v>103</v>
      </c>
      <c r="CO10" s="64">
        <v>0</v>
      </c>
      <c r="CP10" s="64">
        <v>5</v>
      </c>
      <c r="CQ10" s="64">
        <v>0</v>
      </c>
      <c r="CR10" s="64">
        <v>5</v>
      </c>
      <c r="CS10" s="64">
        <v>0</v>
      </c>
      <c r="CT10" s="64">
        <v>10</v>
      </c>
      <c r="CU10" s="64">
        <v>10</v>
      </c>
      <c r="CV10" s="64">
        <v>0</v>
      </c>
      <c r="CW10" s="64">
        <v>5</v>
      </c>
      <c r="CX10" s="64">
        <v>5</v>
      </c>
      <c r="CY10" s="64">
        <v>10</v>
      </c>
      <c r="CZ10" s="64">
        <v>5</v>
      </c>
      <c r="DA10" s="64">
        <v>0</v>
      </c>
      <c r="DB10" s="64"/>
      <c r="DC10" s="64" t="s">
        <v>103</v>
      </c>
      <c r="DD10" s="64">
        <v>0</v>
      </c>
      <c r="DE10" s="64">
        <v>5</v>
      </c>
      <c r="DF10" s="64">
        <v>0</v>
      </c>
      <c r="DG10" s="64">
        <v>10</v>
      </c>
      <c r="DH10" s="64">
        <v>5</v>
      </c>
      <c r="DI10" s="64">
        <v>0</v>
      </c>
      <c r="DJ10" s="64">
        <v>10</v>
      </c>
      <c r="DK10" s="64">
        <v>5</v>
      </c>
      <c r="DL10" s="64">
        <v>0</v>
      </c>
      <c r="DM10" s="64">
        <v>10</v>
      </c>
      <c r="DN10" s="64">
        <v>5</v>
      </c>
      <c r="DO10" s="64">
        <v>0</v>
      </c>
      <c r="DP10" s="64">
        <v>5</v>
      </c>
      <c r="DQ10" s="80"/>
      <c r="DR10" s="80">
        <v>40</v>
      </c>
      <c r="DS10" s="80">
        <v>1600</v>
      </c>
      <c r="DT10" s="64" t="s">
        <v>103</v>
      </c>
      <c r="DU10" s="64">
        <v>0</v>
      </c>
      <c r="DV10" s="64">
        <v>5</v>
      </c>
      <c r="DW10" s="64">
        <v>0</v>
      </c>
      <c r="DX10" s="64">
        <v>10</v>
      </c>
      <c r="DY10" s="64">
        <v>10</v>
      </c>
      <c r="DZ10" s="64">
        <v>0</v>
      </c>
      <c r="EA10" s="64">
        <v>0</v>
      </c>
      <c r="EB10" s="64">
        <v>10</v>
      </c>
      <c r="EC10" s="64">
        <v>5</v>
      </c>
      <c r="ED10" s="64">
        <v>5</v>
      </c>
      <c r="EE10" s="64">
        <v>10</v>
      </c>
      <c r="EF10" s="64">
        <v>5</v>
      </c>
      <c r="EG10" s="64">
        <v>0</v>
      </c>
      <c r="EH10" s="64"/>
      <c r="EI10" s="64"/>
      <c r="EJ10" s="69"/>
      <c r="EK10" s="64" t="s">
        <v>240</v>
      </c>
      <c r="EL10" s="64">
        <v>0</v>
      </c>
      <c r="EM10" s="64">
        <f>BJ10</f>
        <v>0</v>
      </c>
      <c r="EN10" s="64">
        <v>0</v>
      </c>
      <c r="EO10" s="64">
        <v>0</v>
      </c>
      <c r="EP10" s="64">
        <f t="shared" ref="EP10:EX10" si="25">BM10</f>
        <v>10</v>
      </c>
      <c r="EQ10" s="64">
        <f t="shared" si="25"/>
        <v>0</v>
      </c>
      <c r="ER10" s="64">
        <f t="shared" si="25"/>
        <v>10</v>
      </c>
      <c r="ES10" s="64">
        <f t="shared" si="25"/>
        <v>0</v>
      </c>
      <c r="ET10" s="64">
        <f t="shared" si="25"/>
        <v>10</v>
      </c>
      <c r="EU10" s="64">
        <f t="shared" si="25"/>
        <v>0</v>
      </c>
      <c r="EV10" s="64">
        <f t="shared" si="25"/>
        <v>10</v>
      </c>
      <c r="EW10" s="64">
        <f t="shared" si="25"/>
        <v>5</v>
      </c>
      <c r="EX10" s="64">
        <f t="shared" si="25"/>
        <v>10</v>
      </c>
      <c r="EY10" s="64"/>
      <c r="EZ10" s="64" t="s">
        <v>240</v>
      </c>
      <c r="FA10" s="64">
        <v>0</v>
      </c>
      <c r="FB10" s="64">
        <f>BY10</f>
        <v>0</v>
      </c>
      <c r="FC10" s="64">
        <v>0</v>
      </c>
      <c r="FD10" s="64">
        <f t="shared" ref="FD10:FM10" si="26">CA10</f>
        <v>5</v>
      </c>
      <c r="FE10" s="64">
        <f t="shared" si="26"/>
        <v>10</v>
      </c>
      <c r="FF10" s="64">
        <f t="shared" si="26"/>
        <v>10</v>
      </c>
      <c r="FG10" s="64">
        <f t="shared" si="26"/>
        <v>0</v>
      </c>
      <c r="FH10" s="64">
        <f t="shared" si="26"/>
        <v>10</v>
      </c>
      <c r="FI10" s="64">
        <f t="shared" si="26"/>
        <v>5</v>
      </c>
      <c r="FJ10" s="64">
        <f t="shared" si="26"/>
        <v>10</v>
      </c>
      <c r="FK10" s="64">
        <f t="shared" si="26"/>
        <v>5</v>
      </c>
      <c r="FL10" s="64">
        <f t="shared" si="26"/>
        <v>10</v>
      </c>
      <c r="FM10" s="64">
        <f t="shared" si="26"/>
        <v>5</v>
      </c>
      <c r="FN10" s="64"/>
      <c r="FO10" s="64" t="s">
        <v>240</v>
      </c>
      <c r="FP10" s="64">
        <v>0</v>
      </c>
      <c r="FQ10" s="64">
        <f>CP10</f>
        <v>5</v>
      </c>
      <c r="FR10" s="64">
        <v>0</v>
      </c>
      <c r="FS10" s="64">
        <f t="shared" ref="FS10:GB10" si="27">CR10</f>
        <v>5</v>
      </c>
      <c r="FT10" s="64">
        <f t="shared" si="27"/>
        <v>0</v>
      </c>
      <c r="FU10" s="64">
        <f t="shared" si="27"/>
        <v>10</v>
      </c>
      <c r="FV10" s="64">
        <f t="shared" si="27"/>
        <v>10</v>
      </c>
      <c r="FW10" s="64">
        <f t="shared" si="27"/>
        <v>0</v>
      </c>
      <c r="FX10" s="64">
        <f t="shared" si="27"/>
        <v>5</v>
      </c>
      <c r="FY10" s="64">
        <f t="shared" si="27"/>
        <v>5</v>
      </c>
      <c r="FZ10" s="64">
        <f t="shared" si="27"/>
        <v>10</v>
      </c>
      <c r="GA10" s="64">
        <f t="shared" si="27"/>
        <v>5</v>
      </c>
      <c r="GB10" s="64">
        <f t="shared" si="27"/>
        <v>0</v>
      </c>
      <c r="GC10" s="64"/>
      <c r="GD10" s="64" t="s">
        <v>240</v>
      </c>
      <c r="GE10" s="64">
        <v>0</v>
      </c>
      <c r="GF10" s="64">
        <f>DE10</f>
        <v>5</v>
      </c>
      <c r="GG10" s="64">
        <v>0</v>
      </c>
      <c r="GH10" s="64">
        <f t="shared" ref="GH10:GQ10" si="28">DG10</f>
        <v>10</v>
      </c>
      <c r="GI10" s="64">
        <f t="shared" si="28"/>
        <v>5</v>
      </c>
      <c r="GJ10" s="64">
        <f t="shared" si="28"/>
        <v>0</v>
      </c>
      <c r="GK10" s="64">
        <f t="shared" si="28"/>
        <v>10</v>
      </c>
      <c r="GL10" s="64">
        <f t="shared" si="28"/>
        <v>5</v>
      </c>
      <c r="GM10" s="64">
        <f t="shared" si="28"/>
        <v>0</v>
      </c>
      <c r="GN10" s="64">
        <f t="shared" si="28"/>
        <v>10</v>
      </c>
      <c r="GO10" s="64">
        <f t="shared" si="28"/>
        <v>5</v>
      </c>
      <c r="GP10" s="64">
        <f t="shared" si="28"/>
        <v>0</v>
      </c>
      <c r="GQ10" s="64">
        <f t="shared" si="28"/>
        <v>5</v>
      </c>
      <c r="GR10" s="64"/>
      <c r="GS10" s="64" t="s">
        <v>240</v>
      </c>
      <c r="GT10" s="64">
        <v>0</v>
      </c>
      <c r="GU10" s="64">
        <f>DV10</f>
        <v>5</v>
      </c>
      <c r="GV10" s="64">
        <v>0</v>
      </c>
      <c r="GW10" s="64">
        <f t="shared" ref="GW10:HF10" si="29">DX10</f>
        <v>10</v>
      </c>
      <c r="GX10" s="64">
        <f t="shared" si="29"/>
        <v>10</v>
      </c>
      <c r="GY10" s="64">
        <f t="shared" si="29"/>
        <v>0</v>
      </c>
      <c r="GZ10" s="64">
        <f t="shared" si="29"/>
        <v>0</v>
      </c>
      <c r="HA10" s="64">
        <f t="shared" si="29"/>
        <v>10</v>
      </c>
      <c r="HB10" s="64">
        <f t="shared" si="29"/>
        <v>5</v>
      </c>
      <c r="HC10" s="64">
        <f t="shared" si="29"/>
        <v>5</v>
      </c>
      <c r="HD10" s="64">
        <f t="shared" si="29"/>
        <v>10</v>
      </c>
      <c r="HE10" s="64">
        <f t="shared" si="29"/>
        <v>5</v>
      </c>
      <c r="HF10" s="64">
        <f t="shared" si="29"/>
        <v>0</v>
      </c>
      <c r="HG10" s="71"/>
      <c r="HH10" s="64"/>
    </row>
    <row r="11" spans="1:216" x14ac:dyDescent="0.25">
      <c r="A11" s="8"/>
      <c r="B11" s="5" t="s">
        <v>61</v>
      </c>
      <c r="C11" s="8"/>
      <c r="D11" s="6" t="s">
        <v>478</v>
      </c>
      <c r="E11" s="8">
        <v>1</v>
      </c>
      <c r="F11" s="43" t="s">
        <v>480</v>
      </c>
      <c r="G11" s="16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>
        <f>INDEX(cenník!$C$2:$I$568,MATCH($L11,cenník!$B$2:$B$557,0),MATCH(M$2,cenník!$C$1:$I$1,0))</f>
        <v>856211</v>
      </c>
      <c r="N11" s="11" t="str">
        <f>INDEX(cenník!$C$2:$I$568,MATCH($L11,cenník!$B$2:$B$557,0),MATCH(N$2,cenník!$C$1:$I$1,0))</f>
        <v>ks</v>
      </c>
      <c r="O11" s="11">
        <f>IF(L10="CMP41H41/2,2MC",O10,0)</f>
        <v>0</v>
      </c>
      <c r="P11" s="36">
        <f>INDEX(cenník!$C$2:$I$568,MATCH($L11,cenník!$B$2:$B$557,0),MATCH(P$2,cenník!$C$1:$I$1,0))</f>
        <v>8.7100000000000009</v>
      </c>
      <c r="Q11" s="36">
        <f t="shared" si="22"/>
        <v>0</v>
      </c>
      <c r="R11" s="37">
        <f t="shared" si="2"/>
        <v>0</v>
      </c>
      <c r="S11" s="36">
        <f t="shared" si="23"/>
        <v>8.7100000000000009</v>
      </c>
      <c r="T11" s="36">
        <f t="shared" si="24"/>
        <v>0</v>
      </c>
      <c r="U11" s="36">
        <f>INDEX(cenník!$C$2:$I$568,MATCH($L11,cenník!$B$2:$B$557,0),MATCH(U$2,cenník!$C$1:$I$1,0))*O11</f>
        <v>0</v>
      </c>
      <c r="V11" s="85"/>
      <c r="W11" s="64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64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64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64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64">
        <f t="shared" si="3"/>
        <v>0</v>
      </c>
      <c r="AB11" s="64">
        <f t="shared" si="0"/>
        <v>0</v>
      </c>
      <c r="AC11" s="72">
        <v>1650</v>
      </c>
      <c r="AD11" s="64">
        <f>((A2/4)*AC11)+((A2-1)*20)</f>
        <v>-20</v>
      </c>
      <c r="AE11" s="64">
        <f>INT(AD11/2900)</f>
        <v>-1</v>
      </c>
      <c r="AF11" s="64"/>
      <c r="AG11" s="88">
        <v>45</v>
      </c>
      <c r="AH11" s="72" t="s">
        <v>29</v>
      </c>
      <c r="AI11" s="72"/>
      <c r="AJ11" s="72" t="s">
        <v>82</v>
      </c>
      <c r="AK11" s="72" t="s">
        <v>45</v>
      </c>
      <c r="AL11" s="72">
        <v>45</v>
      </c>
      <c r="AM11" s="72" t="s">
        <v>41</v>
      </c>
      <c r="AN11" s="72"/>
      <c r="AO11" s="86" t="s">
        <v>84</v>
      </c>
      <c r="AP11" s="86" t="s">
        <v>84</v>
      </c>
      <c r="AQ11" s="86"/>
      <c r="AR11" s="82" t="s">
        <v>332</v>
      </c>
      <c r="AS11" s="85"/>
      <c r="AT11" s="85"/>
      <c r="AU11" s="85"/>
      <c r="AV11" s="64"/>
      <c r="AW11" s="64"/>
      <c r="AX11" s="64"/>
      <c r="AY11" s="86"/>
      <c r="AZ11" s="86"/>
      <c r="BA11" s="64"/>
      <c r="BB11" s="91" t="s">
        <v>332</v>
      </c>
      <c r="BG11" s="87">
        <f t="shared" si="1"/>
        <v>1</v>
      </c>
      <c r="BH11" s="64" t="s">
        <v>16</v>
      </c>
      <c r="BI11" s="64">
        <v>0</v>
      </c>
      <c r="BJ11" s="64">
        <v>5</v>
      </c>
      <c r="BK11" s="64">
        <v>0</v>
      </c>
      <c r="BL11" s="64">
        <v>0</v>
      </c>
      <c r="BM11" s="64">
        <v>0</v>
      </c>
      <c r="BN11" s="64">
        <v>5</v>
      </c>
      <c r="BO11" s="64">
        <v>5</v>
      </c>
      <c r="BP11" s="64">
        <v>0</v>
      </c>
      <c r="BQ11" s="64">
        <v>0</v>
      </c>
      <c r="BR11" s="64">
        <v>5</v>
      </c>
      <c r="BS11" s="64">
        <v>5</v>
      </c>
      <c r="BT11" s="64">
        <v>5</v>
      </c>
      <c r="BU11" s="64">
        <v>0</v>
      </c>
      <c r="BV11" s="64"/>
      <c r="BW11" s="64" t="s">
        <v>16</v>
      </c>
      <c r="BX11" s="64">
        <v>0</v>
      </c>
      <c r="BY11" s="64">
        <v>5</v>
      </c>
      <c r="BZ11" s="64">
        <v>0</v>
      </c>
      <c r="CA11" s="64">
        <v>5</v>
      </c>
      <c r="CB11" s="64">
        <v>0</v>
      </c>
      <c r="CC11" s="64">
        <v>5</v>
      </c>
      <c r="CD11" s="64">
        <v>0</v>
      </c>
      <c r="CE11" s="64">
        <v>0</v>
      </c>
      <c r="CF11" s="64">
        <v>0</v>
      </c>
      <c r="CG11" s="64">
        <v>5</v>
      </c>
      <c r="CH11" s="64">
        <v>5</v>
      </c>
      <c r="CI11" s="64">
        <v>0</v>
      </c>
      <c r="CJ11" s="64">
        <v>0</v>
      </c>
      <c r="CK11" s="64"/>
      <c r="CL11" s="64"/>
      <c r="CM11" s="64"/>
      <c r="CN11" s="64" t="s">
        <v>16</v>
      </c>
      <c r="CO11" s="64">
        <v>0</v>
      </c>
      <c r="CP11" s="64">
        <v>0</v>
      </c>
      <c r="CQ11" s="64">
        <v>0</v>
      </c>
      <c r="CR11" s="64">
        <v>5</v>
      </c>
      <c r="CS11" s="64">
        <v>5</v>
      </c>
      <c r="CT11" s="64">
        <v>5</v>
      </c>
      <c r="CU11" s="64">
        <v>0</v>
      </c>
      <c r="CV11" s="64">
        <v>5</v>
      </c>
      <c r="CW11" s="64">
        <v>0</v>
      </c>
      <c r="CX11" s="64">
        <v>5</v>
      </c>
      <c r="CY11" s="64">
        <v>0</v>
      </c>
      <c r="CZ11" s="64">
        <v>0</v>
      </c>
      <c r="DA11" s="64">
        <v>0</v>
      </c>
      <c r="DB11" s="64"/>
      <c r="DC11" s="64" t="s">
        <v>16</v>
      </c>
      <c r="DD11" s="64">
        <v>0</v>
      </c>
      <c r="DE11" s="64">
        <v>0</v>
      </c>
      <c r="DF11" s="64">
        <v>0</v>
      </c>
      <c r="DG11" s="64">
        <v>0</v>
      </c>
      <c r="DH11" s="64">
        <v>0</v>
      </c>
      <c r="DI11" s="64">
        <v>0</v>
      </c>
      <c r="DJ11" s="64">
        <v>0</v>
      </c>
      <c r="DK11" s="64">
        <v>0</v>
      </c>
      <c r="DL11" s="64">
        <v>0</v>
      </c>
      <c r="DM11" s="64">
        <v>0</v>
      </c>
      <c r="DN11" s="64">
        <v>0</v>
      </c>
      <c r="DO11" s="64">
        <v>0</v>
      </c>
      <c r="DP11" s="64">
        <v>5</v>
      </c>
      <c r="DQ11" s="80"/>
      <c r="DR11" s="80">
        <v>44</v>
      </c>
      <c r="DS11" s="80">
        <v>2200</v>
      </c>
      <c r="DT11" s="64" t="s">
        <v>16</v>
      </c>
      <c r="DU11" s="64">
        <v>0</v>
      </c>
      <c r="DV11" s="64">
        <v>0</v>
      </c>
      <c r="DW11" s="64">
        <v>0</v>
      </c>
      <c r="DX11" s="64">
        <v>0</v>
      </c>
      <c r="DY11" s="64">
        <v>5</v>
      </c>
      <c r="DZ11" s="64">
        <v>0</v>
      </c>
      <c r="EA11" s="64">
        <v>5</v>
      </c>
      <c r="EB11" s="64">
        <v>5</v>
      </c>
      <c r="EC11" s="64">
        <v>5</v>
      </c>
      <c r="ED11" s="64">
        <v>0</v>
      </c>
      <c r="EE11" s="64">
        <v>5</v>
      </c>
      <c r="EF11" s="64">
        <v>5</v>
      </c>
      <c r="EG11" s="64">
        <v>5</v>
      </c>
      <c r="EH11" s="64"/>
      <c r="EI11" s="64"/>
      <c r="EJ11" s="69"/>
      <c r="EK11" s="64" t="s">
        <v>241</v>
      </c>
      <c r="EL11" s="64">
        <v>0</v>
      </c>
      <c r="EM11" s="64">
        <f>BJ11+(BJ9*2)</f>
        <v>5</v>
      </c>
      <c r="EN11" s="64">
        <v>0</v>
      </c>
      <c r="EO11" s="64">
        <v>0</v>
      </c>
      <c r="EP11" s="64">
        <f t="shared" ref="EP11:EX11" si="30">BM11+(BM9*2)</f>
        <v>0</v>
      </c>
      <c r="EQ11" s="64">
        <f t="shared" si="30"/>
        <v>15</v>
      </c>
      <c r="ER11" s="64">
        <f t="shared" si="30"/>
        <v>5</v>
      </c>
      <c r="ES11" s="64">
        <f t="shared" si="30"/>
        <v>20</v>
      </c>
      <c r="ET11" s="64">
        <f t="shared" si="30"/>
        <v>10</v>
      </c>
      <c r="EU11" s="64">
        <f t="shared" si="30"/>
        <v>25</v>
      </c>
      <c r="EV11" s="64">
        <f t="shared" si="30"/>
        <v>15</v>
      </c>
      <c r="EW11" s="64">
        <f t="shared" si="30"/>
        <v>25</v>
      </c>
      <c r="EX11" s="64">
        <f t="shared" si="30"/>
        <v>20</v>
      </c>
      <c r="EY11" s="64"/>
      <c r="EZ11" s="64" t="s">
        <v>241</v>
      </c>
      <c r="FA11" s="64">
        <v>0</v>
      </c>
      <c r="FB11" s="64">
        <f>BY11+(BY9*2)</f>
        <v>5</v>
      </c>
      <c r="FC11" s="64">
        <v>0</v>
      </c>
      <c r="FD11" s="64">
        <f t="shared" ref="FD11:FM11" si="31">CA11+(CA9*2)</f>
        <v>5</v>
      </c>
      <c r="FE11" s="64">
        <f t="shared" si="31"/>
        <v>0</v>
      </c>
      <c r="FF11" s="64">
        <f t="shared" si="31"/>
        <v>5</v>
      </c>
      <c r="FG11" s="64">
        <f t="shared" si="31"/>
        <v>20</v>
      </c>
      <c r="FH11" s="64">
        <f t="shared" si="31"/>
        <v>10</v>
      </c>
      <c r="FI11" s="64">
        <f t="shared" si="31"/>
        <v>20</v>
      </c>
      <c r="FJ11" s="64">
        <f t="shared" si="31"/>
        <v>15</v>
      </c>
      <c r="FK11" s="64">
        <f t="shared" si="31"/>
        <v>25</v>
      </c>
      <c r="FL11" s="64">
        <f t="shared" si="31"/>
        <v>20</v>
      </c>
      <c r="FM11" s="64">
        <f t="shared" si="31"/>
        <v>30</v>
      </c>
      <c r="FN11" s="64"/>
      <c r="FO11" s="64" t="s">
        <v>241</v>
      </c>
      <c r="FP11" s="64">
        <v>0</v>
      </c>
      <c r="FQ11" s="64">
        <f>CP11+(CP9*2)</f>
        <v>0</v>
      </c>
      <c r="FR11" s="64">
        <v>0</v>
      </c>
      <c r="FS11" s="64">
        <f t="shared" ref="FS11:GB11" si="32">CR11+(CR9*2)</f>
        <v>5</v>
      </c>
      <c r="FT11" s="64">
        <f t="shared" si="32"/>
        <v>15</v>
      </c>
      <c r="FU11" s="64">
        <f t="shared" si="32"/>
        <v>5</v>
      </c>
      <c r="FV11" s="64">
        <f t="shared" si="32"/>
        <v>10</v>
      </c>
      <c r="FW11" s="64">
        <f t="shared" si="32"/>
        <v>25</v>
      </c>
      <c r="FX11" s="64">
        <f t="shared" si="32"/>
        <v>20</v>
      </c>
      <c r="FY11" s="64">
        <f t="shared" si="32"/>
        <v>25</v>
      </c>
      <c r="FZ11" s="64">
        <f t="shared" si="32"/>
        <v>20</v>
      </c>
      <c r="GA11" s="64">
        <f t="shared" si="32"/>
        <v>30</v>
      </c>
      <c r="GB11" s="64">
        <f t="shared" si="32"/>
        <v>40</v>
      </c>
      <c r="GC11" s="64"/>
      <c r="GD11" s="64" t="s">
        <v>241</v>
      </c>
      <c r="GE11" s="64">
        <v>0</v>
      </c>
      <c r="GF11" s="64">
        <f>DE11+(DE9*2)</f>
        <v>0</v>
      </c>
      <c r="GG11" s="64">
        <v>0</v>
      </c>
      <c r="GH11" s="64">
        <f t="shared" ref="GH11:GQ11" si="33">DG11+(DG9*2)</f>
        <v>0</v>
      </c>
      <c r="GI11" s="64">
        <f t="shared" si="33"/>
        <v>10</v>
      </c>
      <c r="GJ11" s="64">
        <f t="shared" si="33"/>
        <v>20</v>
      </c>
      <c r="GK11" s="64">
        <f t="shared" si="33"/>
        <v>10</v>
      </c>
      <c r="GL11" s="64">
        <f t="shared" si="33"/>
        <v>20</v>
      </c>
      <c r="GM11" s="64">
        <f t="shared" si="33"/>
        <v>30</v>
      </c>
      <c r="GN11" s="64">
        <f t="shared" si="33"/>
        <v>20</v>
      </c>
      <c r="GO11" s="64">
        <f t="shared" si="33"/>
        <v>30</v>
      </c>
      <c r="GP11" s="64">
        <f t="shared" si="33"/>
        <v>40</v>
      </c>
      <c r="GQ11" s="64">
        <f t="shared" si="33"/>
        <v>35</v>
      </c>
      <c r="GR11" s="64"/>
      <c r="GS11" s="64" t="s">
        <v>241</v>
      </c>
      <c r="GT11" s="64">
        <v>0</v>
      </c>
      <c r="GU11" s="64">
        <f>DV11+(DV9*2)</f>
        <v>0</v>
      </c>
      <c r="GV11" s="64">
        <v>0</v>
      </c>
      <c r="GW11" s="64">
        <f t="shared" ref="GW11:HF11" si="34">DX11+(DX9*2)</f>
        <v>0</v>
      </c>
      <c r="GX11" s="64">
        <f t="shared" si="34"/>
        <v>5</v>
      </c>
      <c r="GY11" s="64">
        <f t="shared" si="34"/>
        <v>20</v>
      </c>
      <c r="GZ11" s="64">
        <f t="shared" si="34"/>
        <v>25</v>
      </c>
      <c r="HA11" s="64">
        <f t="shared" si="34"/>
        <v>15</v>
      </c>
      <c r="HB11" s="64">
        <f t="shared" si="34"/>
        <v>25</v>
      </c>
      <c r="HC11" s="64">
        <f t="shared" si="34"/>
        <v>30</v>
      </c>
      <c r="HD11" s="64">
        <f t="shared" si="34"/>
        <v>25</v>
      </c>
      <c r="HE11" s="64">
        <f t="shared" si="34"/>
        <v>35</v>
      </c>
      <c r="HF11" s="64">
        <f t="shared" si="34"/>
        <v>45</v>
      </c>
      <c r="HG11" s="71"/>
      <c r="HH11" s="64"/>
    </row>
    <row r="12" spans="1:216" x14ac:dyDescent="0.25">
      <c r="A12" s="8"/>
      <c r="B12" s="5" t="s">
        <v>61</v>
      </c>
      <c r="C12" s="8"/>
      <c r="D12" s="6" t="s">
        <v>479</v>
      </c>
      <c r="E12" s="8">
        <v>1</v>
      </c>
      <c r="F12" s="43" t="s">
        <v>481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>
        <f>INDEX(cenník!$C$2:$I$568,MATCH($L12,cenník!$B$2:$B$557,0),MATCH(M$2,cenník!$C$1:$I$1,0))</f>
        <v>851135</v>
      </c>
      <c r="N12" s="11" t="str">
        <f>INDEX(cenník!$C$2:$I$568,MATCH($L12,cenník!$B$2:$B$557,0),MATCH(N$2,cenník!$C$1:$I$1,0))</f>
        <v>ks</v>
      </c>
      <c r="O12" s="11">
        <f>SUM(AA2:AA17)</f>
        <v>0</v>
      </c>
      <c r="P12" s="36">
        <f>INDEX(cenník!$C$2:$I$568,MATCH($L12,cenník!$B$2:$B$557,0),MATCH(P$2,cenník!$C$1:$I$1,0))</f>
        <v>25.4</v>
      </c>
      <c r="Q12" s="36">
        <f t="shared" si="22"/>
        <v>0</v>
      </c>
      <c r="R12" s="37">
        <f>$E$7</f>
        <v>0</v>
      </c>
      <c r="S12" s="36">
        <f>P12*((100-$E$7)/100)</f>
        <v>25.4</v>
      </c>
      <c r="T12" s="36">
        <f t="shared" si="24"/>
        <v>0</v>
      </c>
      <c r="U12" s="36">
        <f>INDEX(cenník!$C$2:$I$568,MATCH($L12,cenník!$B$2:$B$557,0),MATCH(U$2,cenník!$C$1:$I$1,0))*O12</f>
        <v>0</v>
      </c>
      <c r="V12" s="85"/>
      <c r="W12" s="64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64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64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64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64">
        <f t="shared" si="3"/>
        <v>0</v>
      </c>
      <c r="AB12" s="64">
        <f t="shared" si="0"/>
        <v>0</v>
      </c>
      <c r="AC12" s="64"/>
      <c r="AD12" s="64">
        <f>AE11*2900</f>
        <v>-2900</v>
      </c>
      <c r="AE12" s="64"/>
      <c r="AF12" s="64"/>
      <c r="AG12" s="88">
        <v>50</v>
      </c>
      <c r="AH12" s="72" t="s">
        <v>30</v>
      </c>
      <c r="AI12" s="72" t="s">
        <v>31</v>
      </c>
      <c r="AJ12" s="72" t="s">
        <v>83</v>
      </c>
      <c r="AK12" s="72" t="s">
        <v>45</v>
      </c>
      <c r="AL12" s="72">
        <v>50</v>
      </c>
      <c r="AM12" s="72" t="s">
        <v>42</v>
      </c>
      <c r="AN12" s="72"/>
      <c r="AO12" s="86" t="s">
        <v>84</v>
      </c>
      <c r="AP12" s="86" t="s">
        <v>84</v>
      </c>
      <c r="AQ12" s="86"/>
      <c r="AR12" s="85">
        <v>30</v>
      </c>
      <c r="AS12" s="68" t="s">
        <v>515</v>
      </c>
      <c r="AT12" s="68" t="s">
        <v>516</v>
      </c>
      <c r="AU12" s="68" t="s">
        <v>483</v>
      </c>
      <c r="AV12" s="68" t="s">
        <v>517</v>
      </c>
      <c r="AW12" s="64"/>
      <c r="AX12" s="64"/>
      <c r="AY12" s="86"/>
      <c r="AZ12" s="86"/>
      <c r="BA12" s="64"/>
      <c r="BB12" s="68">
        <v>30</v>
      </c>
      <c r="BC12" s="68" t="s">
        <v>515</v>
      </c>
      <c r="BD12" s="68" t="s">
        <v>516</v>
      </c>
      <c r="BE12" s="68" t="s">
        <v>483</v>
      </c>
      <c r="BF12" s="68" t="s">
        <v>517</v>
      </c>
      <c r="BG12" s="87">
        <f t="shared" si="1"/>
        <v>1</v>
      </c>
      <c r="BH12" s="72" t="s">
        <v>364</v>
      </c>
      <c r="BI12" s="72">
        <v>0</v>
      </c>
      <c r="BJ12" s="64">
        <v>0</v>
      </c>
      <c r="BK12" s="64">
        <v>0</v>
      </c>
      <c r="BL12" s="64">
        <v>0</v>
      </c>
      <c r="BM12" s="64">
        <v>5</v>
      </c>
      <c r="BN12" s="64">
        <v>5</v>
      </c>
      <c r="BO12" s="64">
        <v>10</v>
      </c>
      <c r="BP12" s="64">
        <v>5</v>
      </c>
      <c r="BQ12" s="64">
        <v>10</v>
      </c>
      <c r="BR12" s="64">
        <v>10</v>
      </c>
      <c r="BS12" s="64">
        <v>15</v>
      </c>
      <c r="BT12" s="64">
        <v>15</v>
      </c>
      <c r="BU12" s="64">
        <v>15</v>
      </c>
      <c r="BV12" s="64"/>
      <c r="BW12" s="72" t="s">
        <v>364</v>
      </c>
      <c r="BX12" s="64">
        <v>0</v>
      </c>
      <c r="BY12" s="64">
        <v>0</v>
      </c>
      <c r="BZ12" s="64">
        <v>0</v>
      </c>
      <c r="CA12" s="64">
        <v>5</v>
      </c>
      <c r="CB12" s="64">
        <v>5</v>
      </c>
      <c r="CC12" s="64">
        <v>10</v>
      </c>
      <c r="CD12" s="64">
        <v>5</v>
      </c>
      <c r="CE12" s="64">
        <v>10</v>
      </c>
      <c r="CF12" s="64">
        <v>10</v>
      </c>
      <c r="CG12" s="64">
        <v>15</v>
      </c>
      <c r="CH12" s="64">
        <v>15</v>
      </c>
      <c r="CI12" s="64">
        <v>15</v>
      </c>
      <c r="CJ12" s="64">
        <v>15</v>
      </c>
      <c r="CK12" s="64"/>
      <c r="CL12" s="64"/>
      <c r="CM12" s="64"/>
      <c r="CN12" s="72" t="s">
        <v>364</v>
      </c>
      <c r="CO12" s="72">
        <v>0</v>
      </c>
      <c r="CP12" s="64">
        <v>0</v>
      </c>
      <c r="CQ12" s="64">
        <v>0</v>
      </c>
      <c r="CR12" s="64">
        <v>5</v>
      </c>
      <c r="CS12" s="64">
        <v>5</v>
      </c>
      <c r="CT12" s="64">
        <v>10</v>
      </c>
      <c r="CU12" s="64">
        <v>10</v>
      </c>
      <c r="CV12" s="64">
        <v>10</v>
      </c>
      <c r="CW12" s="64">
        <v>10</v>
      </c>
      <c r="CX12" s="64">
        <v>15</v>
      </c>
      <c r="CY12" s="64">
        <v>15</v>
      </c>
      <c r="CZ12" s="64">
        <v>15</v>
      </c>
      <c r="DA12" s="64">
        <v>15</v>
      </c>
      <c r="DB12" s="64"/>
      <c r="DC12" s="72" t="s">
        <v>364</v>
      </c>
      <c r="DD12" s="64">
        <v>0</v>
      </c>
      <c r="DE12" s="64">
        <v>0</v>
      </c>
      <c r="DF12" s="64">
        <v>0</v>
      </c>
      <c r="DG12" s="64">
        <v>5</v>
      </c>
      <c r="DH12" s="64">
        <v>5</v>
      </c>
      <c r="DI12" s="64">
        <v>5</v>
      </c>
      <c r="DJ12" s="64">
        <v>10</v>
      </c>
      <c r="DK12" s="64">
        <v>10</v>
      </c>
      <c r="DL12" s="64">
        <v>10</v>
      </c>
      <c r="DM12" s="64">
        <v>15</v>
      </c>
      <c r="DN12" s="64">
        <v>15</v>
      </c>
      <c r="DO12" s="64">
        <v>15</v>
      </c>
      <c r="DP12" s="64">
        <v>20</v>
      </c>
      <c r="DQ12" s="80"/>
      <c r="DR12" s="80">
        <v>48</v>
      </c>
      <c r="DS12" s="80"/>
      <c r="DT12" s="72" t="s">
        <v>364</v>
      </c>
      <c r="DU12" s="72">
        <v>0</v>
      </c>
      <c r="DV12" s="64">
        <v>0</v>
      </c>
      <c r="DW12" s="64">
        <v>0</v>
      </c>
      <c r="DX12" s="64">
        <v>5</v>
      </c>
      <c r="DY12" s="64">
        <v>10</v>
      </c>
      <c r="DZ12" s="64">
        <v>5</v>
      </c>
      <c r="EA12" s="64">
        <v>10</v>
      </c>
      <c r="EB12" s="64">
        <v>15</v>
      </c>
      <c r="EC12" s="64">
        <v>15</v>
      </c>
      <c r="ED12" s="64">
        <v>15</v>
      </c>
      <c r="EE12" s="64">
        <v>20</v>
      </c>
      <c r="EF12" s="64">
        <v>20</v>
      </c>
      <c r="EG12" s="64">
        <v>20</v>
      </c>
      <c r="EH12" s="64"/>
      <c r="EI12" s="64"/>
      <c r="EJ12" s="69"/>
      <c r="EK12" s="72" t="s">
        <v>364</v>
      </c>
      <c r="EL12" s="64">
        <v>0</v>
      </c>
      <c r="EM12" s="64">
        <f>((SUM(EM10:EM11)/5)-1)*5</f>
        <v>0</v>
      </c>
      <c r="EN12" s="64">
        <v>0</v>
      </c>
      <c r="EO12" s="64">
        <v>0</v>
      </c>
      <c r="EP12" s="64">
        <f t="shared" ref="EP12:EX12" si="35">((SUM(EP10:EP11)/5)-1)*5</f>
        <v>5</v>
      </c>
      <c r="EQ12" s="64">
        <f t="shared" si="35"/>
        <v>10</v>
      </c>
      <c r="ER12" s="64">
        <f t="shared" si="35"/>
        <v>10</v>
      </c>
      <c r="ES12" s="64">
        <f t="shared" si="35"/>
        <v>15</v>
      </c>
      <c r="ET12" s="64">
        <f t="shared" si="35"/>
        <v>15</v>
      </c>
      <c r="EU12" s="64">
        <f t="shared" si="35"/>
        <v>20</v>
      </c>
      <c r="EV12" s="64">
        <f t="shared" si="35"/>
        <v>20</v>
      </c>
      <c r="EW12" s="64">
        <f t="shared" si="35"/>
        <v>25</v>
      </c>
      <c r="EX12" s="64">
        <f t="shared" si="35"/>
        <v>25</v>
      </c>
      <c r="EY12" s="64"/>
      <c r="EZ12" s="72" t="s">
        <v>364</v>
      </c>
      <c r="FA12" s="64">
        <v>0</v>
      </c>
      <c r="FB12" s="64">
        <f>((SUM(FB10:FB11)/5)-1)*5</f>
        <v>0</v>
      </c>
      <c r="FC12" s="64">
        <v>0</v>
      </c>
      <c r="FD12" s="64">
        <f t="shared" ref="FD12:FM12" si="36">((SUM(FD10:FD11)/5)-1)*5</f>
        <v>5</v>
      </c>
      <c r="FE12" s="64">
        <f t="shared" si="36"/>
        <v>5</v>
      </c>
      <c r="FF12" s="64">
        <f t="shared" si="36"/>
        <v>10</v>
      </c>
      <c r="FG12" s="64">
        <f t="shared" si="36"/>
        <v>15</v>
      </c>
      <c r="FH12" s="64">
        <f t="shared" si="36"/>
        <v>15</v>
      </c>
      <c r="FI12" s="64">
        <f t="shared" si="36"/>
        <v>20</v>
      </c>
      <c r="FJ12" s="64">
        <f t="shared" si="36"/>
        <v>20</v>
      </c>
      <c r="FK12" s="64">
        <f t="shared" si="36"/>
        <v>25</v>
      </c>
      <c r="FL12" s="64">
        <f t="shared" si="36"/>
        <v>25</v>
      </c>
      <c r="FM12" s="64">
        <f t="shared" si="36"/>
        <v>30</v>
      </c>
      <c r="FN12" s="64"/>
      <c r="FO12" s="72" t="s">
        <v>364</v>
      </c>
      <c r="FP12" s="64">
        <v>0</v>
      </c>
      <c r="FQ12" s="64">
        <f>((SUM(FQ10:FQ11)/5)-1)*5</f>
        <v>0</v>
      </c>
      <c r="FR12" s="64">
        <v>0</v>
      </c>
      <c r="FS12" s="64">
        <f t="shared" ref="FS12:GB12" si="37">((SUM(FS10:FS11)/5)-1)*5</f>
        <v>5</v>
      </c>
      <c r="FT12" s="64">
        <f t="shared" si="37"/>
        <v>10</v>
      </c>
      <c r="FU12" s="64">
        <f t="shared" si="37"/>
        <v>10</v>
      </c>
      <c r="FV12" s="64">
        <f t="shared" si="37"/>
        <v>15</v>
      </c>
      <c r="FW12" s="64">
        <f t="shared" si="37"/>
        <v>20</v>
      </c>
      <c r="FX12" s="64">
        <f t="shared" si="37"/>
        <v>20</v>
      </c>
      <c r="FY12" s="64">
        <f t="shared" si="37"/>
        <v>25</v>
      </c>
      <c r="FZ12" s="64">
        <f t="shared" si="37"/>
        <v>25</v>
      </c>
      <c r="GA12" s="64">
        <f t="shared" si="37"/>
        <v>30</v>
      </c>
      <c r="GB12" s="64">
        <f t="shared" si="37"/>
        <v>35</v>
      </c>
      <c r="GC12" s="64"/>
      <c r="GD12" s="72" t="s">
        <v>364</v>
      </c>
      <c r="GE12" s="64">
        <v>0</v>
      </c>
      <c r="GF12" s="64">
        <f>((SUM(GF10:GF11)/5)-1)*5</f>
        <v>0</v>
      </c>
      <c r="GG12" s="64">
        <v>0</v>
      </c>
      <c r="GH12" s="64">
        <f t="shared" ref="GH12:GQ12" si="38">((SUM(GH10:GH11)/5)-1)*5</f>
        <v>5</v>
      </c>
      <c r="GI12" s="64">
        <f t="shared" si="38"/>
        <v>10</v>
      </c>
      <c r="GJ12" s="64">
        <f t="shared" si="38"/>
        <v>15</v>
      </c>
      <c r="GK12" s="64">
        <f t="shared" si="38"/>
        <v>15</v>
      </c>
      <c r="GL12" s="64">
        <f t="shared" si="38"/>
        <v>20</v>
      </c>
      <c r="GM12" s="64">
        <f t="shared" si="38"/>
        <v>25</v>
      </c>
      <c r="GN12" s="64">
        <f t="shared" si="38"/>
        <v>25</v>
      </c>
      <c r="GO12" s="64">
        <f t="shared" si="38"/>
        <v>30</v>
      </c>
      <c r="GP12" s="64">
        <f t="shared" si="38"/>
        <v>35</v>
      </c>
      <c r="GQ12" s="64">
        <f t="shared" si="38"/>
        <v>35</v>
      </c>
      <c r="GR12" s="64"/>
      <c r="GS12" s="72" t="s">
        <v>364</v>
      </c>
      <c r="GT12" s="72">
        <v>0</v>
      </c>
      <c r="GU12" s="64">
        <f>((SUM(GU10:GU11)/5)-1)*5</f>
        <v>0</v>
      </c>
      <c r="GV12" s="64">
        <v>0</v>
      </c>
      <c r="GW12" s="64">
        <f t="shared" ref="GW12:HF12" si="39">((SUM(GW10:GW11)/5)-1)*5</f>
        <v>5</v>
      </c>
      <c r="GX12" s="64">
        <f t="shared" si="39"/>
        <v>10</v>
      </c>
      <c r="GY12" s="64">
        <f t="shared" si="39"/>
        <v>15</v>
      </c>
      <c r="GZ12" s="64">
        <f t="shared" si="39"/>
        <v>20</v>
      </c>
      <c r="HA12" s="64">
        <f t="shared" si="39"/>
        <v>20</v>
      </c>
      <c r="HB12" s="64">
        <f t="shared" si="39"/>
        <v>25</v>
      </c>
      <c r="HC12" s="64">
        <f t="shared" si="39"/>
        <v>30</v>
      </c>
      <c r="HD12" s="64">
        <f t="shared" si="39"/>
        <v>30</v>
      </c>
      <c r="HE12" s="64">
        <f t="shared" si="39"/>
        <v>35</v>
      </c>
      <c r="HF12" s="64">
        <f t="shared" si="39"/>
        <v>40</v>
      </c>
      <c r="HG12" s="71"/>
      <c r="HH12" s="64"/>
    </row>
    <row r="13" spans="1:216" x14ac:dyDescent="0.25">
      <c r="A13" s="8"/>
      <c r="B13" s="5" t="s">
        <v>61</v>
      </c>
      <c r="C13" s="8"/>
      <c r="D13" s="6" t="s">
        <v>489</v>
      </c>
      <c r="E13" s="34">
        <f>INDEX((AS23:AW25),MATCH(E11,AR23:AR25,0),MATCH(E12,AS22:AW22,0))</f>
        <v>2900</v>
      </c>
      <c r="F13" s="33"/>
      <c r="G13" s="33"/>
      <c r="H13" s="33"/>
      <c r="I13" s="33"/>
      <c r="J13" s="31" t="s">
        <v>62</v>
      </c>
      <c r="K13" s="9"/>
      <c r="L13" s="6" t="s">
        <v>1457</v>
      </c>
      <c r="M13" s="11">
        <f>INDEX(cenník!$C$2:$I$568,MATCH($L13,cenník!$B$2:$B$557,0),MATCH(M$2,cenník!$C$1:$I$1,0))</f>
        <v>850252</v>
      </c>
      <c r="N13" s="11" t="str">
        <f>INDEX(cenník!$C$2:$I$568,MATCH($L13,cenník!$B$2:$B$557,0),MATCH(N$2,cenník!$C$1:$I$1,0))</f>
        <v>ks</v>
      </c>
      <c r="O13" s="11">
        <f>O5+O11</f>
        <v>0</v>
      </c>
      <c r="P13" s="36">
        <f>INDEX(cenník!$C$2:$I$568,MATCH($L13,cenník!$B$2:$B$557,0),MATCH(P$2,cenník!$C$1:$I$1,0))</f>
        <v>2.11</v>
      </c>
      <c r="Q13" s="36">
        <f t="shared" si="22"/>
        <v>0</v>
      </c>
      <c r="R13" s="37">
        <f t="shared" si="2"/>
        <v>0</v>
      </c>
      <c r="S13" s="36">
        <f t="shared" si="23"/>
        <v>2.11</v>
      </c>
      <c r="T13" s="36">
        <f t="shared" si="24"/>
        <v>0</v>
      </c>
      <c r="U13" s="36">
        <f>INDEX(cenník!$C$2:$I$568,MATCH($L13,cenník!$B$2:$B$557,0),MATCH(U$2,cenník!$C$1:$I$1,0))*O13</f>
        <v>0</v>
      </c>
      <c r="V13" s="85"/>
      <c r="W13" s="64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64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64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64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64">
        <f t="shared" si="3"/>
        <v>0</v>
      </c>
      <c r="AB13" s="64">
        <f t="shared" si="0"/>
        <v>0</v>
      </c>
      <c r="AC13" s="64"/>
      <c r="AD13" s="64">
        <f>IF(AD12+2000&gt;AD11,AE11+1,IF(AD12+2000&lt;AD11,AE11+2,0))</f>
        <v>1</v>
      </c>
      <c r="AE13" s="64"/>
      <c r="AF13" s="64"/>
      <c r="AG13" s="88"/>
      <c r="AH13" s="72" t="s">
        <v>12</v>
      </c>
      <c r="AI13" s="72" t="s">
        <v>47</v>
      </c>
      <c r="AJ13" s="72"/>
      <c r="AK13" s="72"/>
      <c r="AL13" s="72"/>
      <c r="AM13" s="72" t="s">
        <v>6</v>
      </c>
      <c r="AN13" s="72" t="s">
        <v>48</v>
      </c>
      <c r="AO13" s="72"/>
      <c r="AP13" s="72"/>
      <c r="AQ13" s="72"/>
      <c r="AR13" s="85" t="s">
        <v>59</v>
      </c>
      <c r="AS13" s="85" t="s">
        <v>295</v>
      </c>
      <c r="AT13" s="85" t="s">
        <v>294</v>
      </c>
      <c r="AU13" s="85" t="s">
        <v>292</v>
      </c>
      <c r="AV13" s="64" t="s">
        <v>292</v>
      </c>
      <c r="AW13" s="64"/>
      <c r="AX13" s="64"/>
      <c r="AY13" s="72"/>
      <c r="AZ13" s="72"/>
      <c r="BA13" s="64"/>
      <c r="BB13" s="68" t="s">
        <v>59</v>
      </c>
      <c r="BC13" s="68" t="s">
        <v>84</v>
      </c>
      <c r="BD13" s="68" t="s">
        <v>84</v>
      </c>
      <c r="BE13" s="68" t="s">
        <v>84</v>
      </c>
      <c r="BF13" s="68" t="s">
        <v>84</v>
      </c>
      <c r="BG13" s="87">
        <f t="shared" si="1"/>
        <v>1</v>
      </c>
      <c r="BH13" s="64"/>
      <c r="BI13" s="64"/>
      <c r="BJ13" s="64"/>
      <c r="BK13" s="64"/>
      <c r="BL13" s="64"/>
      <c r="BM13" s="64"/>
      <c r="BN13" s="64"/>
      <c r="BO13" s="64"/>
      <c r="BP13" s="64"/>
      <c r="BQ13" s="64"/>
      <c r="BR13" s="64"/>
      <c r="BS13" s="64"/>
      <c r="BT13" s="64"/>
      <c r="BU13" s="64"/>
      <c r="BV13" s="64"/>
      <c r="BW13" s="64"/>
      <c r="BX13" s="64"/>
      <c r="BY13" s="64"/>
      <c r="BZ13" s="64"/>
      <c r="CA13" s="64"/>
      <c r="CB13" s="64"/>
      <c r="CC13" s="64"/>
      <c r="CD13" s="64"/>
      <c r="CE13" s="64"/>
      <c r="CF13" s="64"/>
      <c r="CG13" s="64"/>
      <c r="CH13" s="64"/>
      <c r="CI13" s="64"/>
      <c r="CJ13" s="64"/>
      <c r="CK13" s="64"/>
      <c r="CL13" s="64"/>
      <c r="CM13" s="64"/>
      <c r="CN13" s="64"/>
      <c r="CO13" s="64"/>
      <c r="CP13" s="64"/>
      <c r="CQ13" s="64"/>
      <c r="CR13" s="64"/>
      <c r="CS13" s="64"/>
      <c r="CT13" s="64"/>
      <c r="CU13" s="64"/>
      <c r="CV13" s="64"/>
      <c r="CW13" s="64"/>
      <c r="CX13" s="64"/>
      <c r="CY13" s="64"/>
      <c r="CZ13" s="64"/>
      <c r="DA13" s="64"/>
      <c r="DB13" s="64"/>
      <c r="DC13" s="64"/>
      <c r="DD13" s="64"/>
      <c r="DE13" s="64"/>
      <c r="DF13" s="64"/>
      <c r="DG13" s="64"/>
      <c r="DH13" s="64"/>
      <c r="DI13" s="64"/>
      <c r="DJ13" s="64"/>
      <c r="DK13" s="64"/>
      <c r="DL13" s="64"/>
      <c r="DM13" s="64"/>
      <c r="DN13" s="64"/>
      <c r="DO13" s="64"/>
      <c r="DP13" s="64"/>
      <c r="DQ13" s="80"/>
      <c r="DR13" s="80">
        <v>52</v>
      </c>
      <c r="DS13" s="80"/>
      <c r="DT13" s="64"/>
      <c r="DU13" s="64"/>
      <c r="DV13" s="64"/>
      <c r="DW13" s="64"/>
      <c r="DX13" s="64"/>
      <c r="DY13" s="64"/>
      <c r="DZ13" s="64"/>
      <c r="EA13" s="64"/>
      <c r="EB13" s="64"/>
      <c r="EC13" s="64"/>
      <c r="ED13" s="64"/>
      <c r="EE13" s="64"/>
      <c r="EF13" s="64"/>
      <c r="EG13" s="64"/>
      <c r="EH13" s="64"/>
      <c r="EI13" s="64"/>
      <c r="EJ13" s="69"/>
      <c r="EK13" s="64"/>
      <c r="EL13" s="64"/>
      <c r="EM13" s="64"/>
      <c r="EN13" s="64"/>
      <c r="EO13" s="64"/>
      <c r="EP13" s="64"/>
      <c r="EQ13" s="64"/>
      <c r="ER13" s="64"/>
      <c r="ES13" s="64"/>
      <c r="ET13" s="64"/>
      <c r="EU13" s="64"/>
      <c r="EV13" s="64"/>
      <c r="EW13" s="64"/>
      <c r="EX13" s="64"/>
      <c r="EY13" s="64"/>
      <c r="EZ13" s="64"/>
      <c r="FA13" s="64"/>
      <c r="FB13" s="64"/>
      <c r="FC13" s="64"/>
      <c r="FD13" s="64"/>
      <c r="FE13" s="64"/>
      <c r="FF13" s="64"/>
      <c r="FG13" s="64"/>
      <c r="FH13" s="64"/>
      <c r="FI13" s="64"/>
      <c r="FJ13" s="64"/>
      <c r="FK13" s="64"/>
      <c r="FL13" s="64"/>
      <c r="FM13" s="64"/>
      <c r="FN13" s="64"/>
      <c r="FO13" s="64"/>
      <c r="FP13" s="64"/>
      <c r="FQ13" s="64"/>
      <c r="FR13" s="64"/>
      <c r="FS13" s="64"/>
      <c r="FT13" s="64"/>
      <c r="FU13" s="64"/>
      <c r="FV13" s="64"/>
      <c r="FW13" s="64"/>
      <c r="FX13" s="64"/>
      <c r="FY13" s="64"/>
      <c r="FZ13" s="64"/>
      <c r="GA13" s="64"/>
      <c r="GB13" s="64"/>
      <c r="GC13" s="64"/>
      <c r="GD13" s="64"/>
      <c r="GE13" s="64"/>
      <c r="GF13" s="64"/>
      <c r="GG13" s="64"/>
      <c r="GH13" s="64"/>
      <c r="GI13" s="64"/>
      <c r="GJ13" s="64"/>
      <c r="GK13" s="64"/>
      <c r="GL13" s="64"/>
      <c r="GM13" s="64"/>
      <c r="GN13" s="64"/>
      <c r="GO13" s="64"/>
      <c r="GP13" s="64"/>
      <c r="GQ13" s="64"/>
      <c r="GR13" s="64"/>
      <c r="GS13" s="64"/>
      <c r="GT13" s="64"/>
      <c r="GU13" s="64"/>
      <c r="GV13" s="64"/>
      <c r="GW13" s="64"/>
      <c r="GX13" s="64"/>
      <c r="GY13" s="64"/>
      <c r="GZ13" s="64"/>
      <c r="HA13" s="64"/>
      <c r="HB13" s="64"/>
      <c r="HC13" s="64"/>
      <c r="HD13" s="64"/>
      <c r="HE13" s="64"/>
      <c r="HF13" s="64"/>
      <c r="HG13" s="71"/>
      <c r="HH13" s="64"/>
    </row>
    <row r="14" spans="1:216" x14ac:dyDescent="0.25">
      <c r="A14" s="8"/>
      <c r="B14" s="5" t="s">
        <v>61</v>
      </c>
      <c r="C14" s="8"/>
      <c r="D14" s="6" t="str">
        <f>IF(E5=$AC$8,"Dĺžka skrutky GSW","")</f>
        <v/>
      </c>
      <c r="E14" s="42">
        <v>1600</v>
      </c>
      <c r="F14" s="9"/>
      <c r="G14" s="9"/>
      <c r="H14" s="9"/>
      <c r="I14" s="9"/>
      <c r="J14" s="31" t="str">
        <f>IF(E5=$AC$8,"[mm]","")</f>
        <v/>
      </c>
      <c r="K14" s="9"/>
      <c r="L14" s="6" t="s">
        <v>286</v>
      </c>
      <c r="M14" s="11">
        <f>INDEX(cenník!$C$2:$I$568,MATCH($L14,cenník!$B$2:$B$557,0),MATCH(M$2,cenník!$C$1:$I$1,0))</f>
        <v>867566</v>
      </c>
      <c r="N14" s="11" t="str">
        <f>INDEX(cenník!$C$2:$I$568,MATCH($L14,cenník!$B$2:$B$557,0),MATCH(N$2,cenník!$C$1:$I$1,0))</f>
        <v>ks</v>
      </c>
      <c r="O14" s="11">
        <f>SUM(X4:X19)</f>
        <v>0</v>
      </c>
      <c r="P14" s="36">
        <f>INDEX(cenník!$C$2:$I$568,MATCH($L14,cenník!$B$2:$B$557,0),MATCH(P$2,cenník!$C$1:$I$1,0))</f>
        <v>91.73</v>
      </c>
      <c r="Q14" s="36">
        <f t="shared" ref="Q14:Q22" si="40">O14*P14</f>
        <v>0</v>
      </c>
      <c r="R14" s="37">
        <f t="shared" si="2"/>
        <v>0</v>
      </c>
      <c r="S14" s="36">
        <f>P14*((100-$E$7)/100)</f>
        <v>91.73</v>
      </c>
      <c r="T14" s="36">
        <f t="shared" ref="T14:T22" si="41">O14*S14</f>
        <v>0</v>
      </c>
      <c r="U14" s="36">
        <f>INDEX(cenník!$C$2:$I$568,MATCH($L14,cenník!$B$2:$B$557,0),MATCH(U$2,cenník!$C$1:$I$1,0))*O14</f>
        <v>0</v>
      </c>
      <c r="V14" s="85"/>
      <c r="W14" s="64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64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64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64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64">
        <f t="shared" si="3"/>
        <v>0</v>
      </c>
      <c r="AB14" s="64">
        <f t="shared" si="0"/>
        <v>0</v>
      </c>
      <c r="AC14" s="64"/>
      <c r="AD14" s="64">
        <f>INDEX($AF$24:$AF$42,MATCH($E$3,$AE$24:$AE$42),1,1)</f>
        <v>1800</v>
      </c>
      <c r="AE14" s="64"/>
      <c r="AF14" s="64"/>
      <c r="AG14" s="64"/>
      <c r="AH14" s="64" t="s">
        <v>92</v>
      </c>
      <c r="AI14" s="64"/>
      <c r="AJ14" s="64"/>
      <c r="AK14" s="64"/>
      <c r="AL14" s="64"/>
      <c r="AM14" s="64"/>
      <c r="AN14" s="64"/>
      <c r="AO14" s="64"/>
      <c r="AP14" s="64"/>
      <c r="AQ14" s="64"/>
      <c r="AR14" s="85" t="s">
        <v>60</v>
      </c>
      <c r="AS14" s="85" t="s">
        <v>295</v>
      </c>
      <c r="AT14" s="85" t="s">
        <v>294</v>
      </c>
      <c r="AU14" s="85" t="s">
        <v>293</v>
      </c>
      <c r="AV14" s="64" t="s">
        <v>293</v>
      </c>
      <c r="AW14" s="64"/>
      <c r="AX14" s="64"/>
      <c r="AY14" s="64"/>
      <c r="AZ14" s="64"/>
      <c r="BA14" s="64"/>
      <c r="BB14" s="68" t="s">
        <v>60</v>
      </c>
      <c r="BC14" s="68" t="s">
        <v>84</v>
      </c>
      <c r="BD14" s="68" t="s">
        <v>84</v>
      </c>
      <c r="BE14" s="68" t="s">
        <v>84</v>
      </c>
      <c r="BF14" s="68" t="s">
        <v>84</v>
      </c>
      <c r="BG14" s="87">
        <f t="shared" si="1"/>
        <v>1</v>
      </c>
      <c r="BH14" s="64" t="s">
        <v>67</v>
      </c>
      <c r="BI14" s="64">
        <v>0</v>
      </c>
      <c r="BJ14" s="64">
        <v>8</v>
      </c>
      <c r="BK14" s="64">
        <v>12</v>
      </c>
      <c r="BL14" s="64">
        <v>16</v>
      </c>
      <c r="BM14" s="64">
        <v>20</v>
      </c>
      <c r="BN14" s="64">
        <v>24</v>
      </c>
      <c r="BO14" s="64">
        <v>28</v>
      </c>
      <c r="BP14" s="64">
        <v>32</v>
      </c>
      <c r="BQ14" s="64">
        <v>36</v>
      </c>
      <c r="BR14" s="64">
        <v>40</v>
      </c>
      <c r="BS14" s="64">
        <v>44</v>
      </c>
      <c r="BT14" s="64">
        <v>48</v>
      </c>
      <c r="BU14" s="64">
        <v>52</v>
      </c>
      <c r="BV14" s="64"/>
      <c r="BW14" s="64" t="s">
        <v>196</v>
      </c>
      <c r="BX14" s="64">
        <v>0</v>
      </c>
      <c r="BY14" s="64">
        <v>8</v>
      </c>
      <c r="BZ14" s="64">
        <v>12</v>
      </c>
      <c r="CA14" s="64">
        <v>16</v>
      </c>
      <c r="CB14" s="64">
        <v>20</v>
      </c>
      <c r="CC14" s="64">
        <v>24</v>
      </c>
      <c r="CD14" s="64">
        <v>28</v>
      </c>
      <c r="CE14" s="64">
        <v>32</v>
      </c>
      <c r="CF14" s="64">
        <v>36</v>
      </c>
      <c r="CG14" s="64">
        <v>40</v>
      </c>
      <c r="CH14" s="64">
        <v>44</v>
      </c>
      <c r="CI14" s="64">
        <v>48</v>
      </c>
      <c r="CJ14" s="64">
        <v>52</v>
      </c>
      <c r="CK14" s="64"/>
      <c r="CL14" s="64"/>
      <c r="CM14" s="64"/>
      <c r="CN14" s="64" t="s">
        <v>71</v>
      </c>
      <c r="CO14" s="64">
        <v>0</v>
      </c>
      <c r="CP14" s="64">
        <v>8</v>
      </c>
      <c r="CQ14" s="64">
        <v>12</v>
      </c>
      <c r="CR14" s="64">
        <v>16</v>
      </c>
      <c r="CS14" s="64">
        <v>20</v>
      </c>
      <c r="CT14" s="64">
        <v>24</v>
      </c>
      <c r="CU14" s="64">
        <v>28</v>
      </c>
      <c r="CV14" s="64">
        <v>32</v>
      </c>
      <c r="CW14" s="64">
        <v>36</v>
      </c>
      <c r="CX14" s="64">
        <v>40</v>
      </c>
      <c r="CY14" s="64">
        <v>44</v>
      </c>
      <c r="CZ14" s="64">
        <v>48</v>
      </c>
      <c r="DA14" s="64">
        <v>52</v>
      </c>
      <c r="DB14" s="64"/>
      <c r="DC14" s="64" t="s">
        <v>204</v>
      </c>
      <c r="DD14" s="64">
        <v>0</v>
      </c>
      <c r="DE14" s="64">
        <v>8</v>
      </c>
      <c r="DF14" s="64">
        <v>12</v>
      </c>
      <c r="DG14" s="64">
        <v>16</v>
      </c>
      <c r="DH14" s="64">
        <v>20</v>
      </c>
      <c r="DI14" s="64">
        <v>24</v>
      </c>
      <c r="DJ14" s="64">
        <v>28</v>
      </c>
      <c r="DK14" s="64">
        <v>32</v>
      </c>
      <c r="DL14" s="64">
        <v>36</v>
      </c>
      <c r="DM14" s="64">
        <v>40</v>
      </c>
      <c r="DN14" s="64">
        <v>44</v>
      </c>
      <c r="DO14" s="64">
        <v>48</v>
      </c>
      <c r="DP14" s="64">
        <v>52</v>
      </c>
      <c r="DQ14" s="80"/>
      <c r="DR14" s="80"/>
      <c r="DS14" s="80"/>
      <c r="DT14" s="64"/>
      <c r="DU14" s="64"/>
      <c r="DV14" s="64"/>
      <c r="DW14" s="64"/>
      <c r="DX14" s="64"/>
      <c r="DY14" s="64"/>
      <c r="DZ14" s="64"/>
      <c r="EA14" s="64"/>
      <c r="EB14" s="64"/>
      <c r="EC14" s="64"/>
      <c r="ED14" s="64"/>
      <c r="EE14" s="64"/>
      <c r="EF14" s="64"/>
      <c r="EG14" s="64"/>
      <c r="EH14" s="64"/>
      <c r="EI14" s="64"/>
      <c r="EJ14" s="69"/>
      <c r="EK14" s="64" t="s">
        <v>67</v>
      </c>
      <c r="EL14" s="64">
        <v>0</v>
      </c>
      <c r="EM14" s="64">
        <v>8</v>
      </c>
      <c r="EN14" s="64">
        <v>12</v>
      </c>
      <c r="EO14" s="64">
        <v>16</v>
      </c>
      <c r="EP14" s="64">
        <v>20</v>
      </c>
      <c r="EQ14" s="64">
        <v>24</v>
      </c>
      <c r="ER14" s="64">
        <v>28</v>
      </c>
      <c r="ES14" s="64">
        <v>32</v>
      </c>
      <c r="ET14" s="64">
        <v>36</v>
      </c>
      <c r="EU14" s="64">
        <v>40</v>
      </c>
      <c r="EV14" s="64">
        <v>44</v>
      </c>
      <c r="EW14" s="64">
        <v>48</v>
      </c>
      <c r="EX14" s="64">
        <v>52</v>
      </c>
      <c r="EY14" s="64"/>
      <c r="EZ14" s="64" t="s">
        <v>196</v>
      </c>
      <c r="FA14" s="64">
        <v>0</v>
      </c>
      <c r="FB14" s="64">
        <v>8</v>
      </c>
      <c r="FC14" s="64">
        <v>12</v>
      </c>
      <c r="FD14" s="64">
        <v>16</v>
      </c>
      <c r="FE14" s="64">
        <v>20</v>
      </c>
      <c r="FF14" s="64">
        <v>24</v>
      </c>
      <c r="FG14" s="64">
        <v>28</v>
      </c>
      <c r="FH14" s="64">
        <v>32</v>
      </c>
      <c r="FI14" s="64">
        <v>36</v>
      </c>
      <c r="FJ14" s="64">
        <v>40</v>
      </c>
      <c r="FK14" s="64">
        <v>44</v>
      </c>
      <c r="FL14" s="64">
        <v>48</v>
      </c>
      <c r="FM14" s="64">
        <v>52</v>
      </c>
      <c r="FN14" s="64"/>
      <c r="FO14" s="64" t="s">
        <v>71</v>
      </c>
      <c r="FP14" s="64">
        <v>0</v>
      </c>
      <c r="FQ14" s="64">
        <v>8</v>
      </c>
      <c r="FR14" s="64">
        <v>12</v>
      </c>
      <c r="FS14" s="64">
        <v>16</v>
      </c>
      <c r="FT14" s="64">
        <v>20</v>
      </c>
      <c r="FU14" s="64">
        <v>24</v>
      </c>
      <c r="FV14" s="64">
        <v>28</v>
      </c>
      <c r="FW14" s="64">
        <v>32</v>
      </c>
      <c r="FX14" s="64">
        <v>36</v>
      </c>
      <c r="FY14" s="64">
        <v>40</v>
      </c>
      <c r="FZ14" s="64">
        <v>44</v>
      </c>
      <c r="GA14" s="64">
        <v>48</v>
      </c>
      <c r="GB14" s="64">
        <v>52</v>
      </c>
      <c r="GC14" s="64"/>
      <c r="GD14" s="64" t="s">
        <v>204</v>
      </c>
      <c r="GE14" s="64">
        <v>0</v>
      </c>
      <c r="GF14" s="64">
        <v>8</v>
      </c>
      <c r="GG14" s="64">
        <v>12</v>
      </c>
      <c r="GH14" s="64">
        <v>16</v>
      </c>
      <c r="GI14" s="64">
        <v>20</v>
      </c>
      <c r="GJ14" s="64">
        <v>24</v>
      </c>
      <c r="GK14" s="64">
        <v>28</v>
      </c>
      <c r="GL14" s="64">
        <v>32</v>
      </c>
      <c r="GM14" s="64">
        <v>36</v>
      </c>
      <c r="GN14" s="64">
        <v>40</v>
      </c>
      <c r="GO14" s="64">
        <v>44</v>
      </c>
      <c r="GP14" s="64">
        <v>48</v>
      </c>
      <c r="GQ14" s="64">
        <v>52</v>
      </c>
      <c r="GR14" s="64"/>
      <c r="GS14" s="64"/>
      <c r="GT14" s="64"/>
      <c r="GU14" s="64"/>
      <c r="GV14" s="64"/>
      <c r="GW14" s="64"/>
      <c r="GX14" s="64"/>
      <c r="GY14" s="64"/>
      <c r="GZ14" s="64"/>
      <c r="HA14" s="64"/>
      <c r="HB14" s="64"/>
      <c r="HC14" s="64"/>
      <c r="HD14" s="64"/>
      <c r="HE14" s="64"/>
      <c r="HF14" s="64"/>
      <c r="HG14" s="71"/>
      <c r="HH14" s="64"/>
    </row>
    <row r="15" spans="1:216" x14ac:dyDescent="0.25">
      <c r="A15" s="8"/>
      <c r="B15" s="5" t="s">
        <v>61</v>
      </c>
      <c r="C15" s="8"/>
      <c r="D15" s="44" t="s">
        <v>518</v>
      </c>
      <c r="E15" s="9"/>
      <c r="F15" s="9"/>
      <c r="G15" s="9"/>
      <c r="H15" s="9"/>
      <c r="I15" s="9"/>
      <c r="J15" s="9"/>
      <c r="K15" s="9"/>
      <c r="L15" s="6" t="s">
        <v>240</v>
      </c>
      <c r="M15" s="11">
        <f>INDEX(cenník!$C$2:$I$568,MATCH($L15,cenník!$B$2:$B$557,0),MATCH(M$2,cenník!$C$1:$I$1,0))</f>
        <v>867644</v>
      </c>
      <c r="N15" s="11" t="str">
        <f>INDEX(cenník!$C$2:$I$568,MATCH($L15,cenník!$B$2:$B$557,0),MATCH(N$2,cenník!$C$1:$I$1,0))</f>
        <v>ks</v>
      </c>
      <c r="O15" s="11">
        <f>SUM(Y4:Y19)</f>
        <v>0</v>
      </c>
      <c r="P15" s="36">
        <f>INDEX(cenník!$C$2:$I$568,MATCH($L15,cenník!$B$2:$B$557,0),MATCH(P$2,cenník!$C$1:$I$1,0))</f>
        <v>61.15</v>
      </c>
      <c r="Q15" s="36">
        <f t="shared" si="40"/>
        <v>0</v>
      </c>
      <c r="R15" s="37">
        <f t="shared" si="2"/>
        <v>0</v>
      </c>
      <c r="S15" s="36">
        <f t="shared" ref="S15:S22" si="42">P15*((100-$E$7)/100)</f>
        <v>61.15</v>
      </c>
      <c r="T15" s="36">
        <f t="shared" si="41"/>
        <v>0</v>
      </c>
      <c r="U15" s="36">
        <f>INDEX(cenník!$C$2:$I$568,MATCH($L15,cenník!$B$2:$B$557,0),MATCH(U$2,cenník!$C$1:$I$1,0))*O15</f>
        <v>0</v>
      </c>
      <c r="V15" s="85"/>
      <c r="W15" s="64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64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64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64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64">
        <f t="shared" si="3"/>
        <v>0</v>
      </c>
      <c r="AB15" s="64">
        <f t="shared" si="0"/>
        <v>0</v>
      </c>
      <c r="AC15" s="64"/>
      <c r="AD15" s="64"/>
      <c r="AE15" s="64"/>
      <c r="AF15" s="64"/>
      <c r="AG15" s="64"/>
      <c r="AH15" s="64"/>
      <c r="AI15" s="64"/>
      <c r="AJ15" s="64"/>
      <c r="AK15" s="64"/>
      <c r="AL15" s="64"/>
      <c r="AM15" s="64"/>
      <c r="AN15" s="64"/>
      <c r="AO15" s="64"/>
      <c r="AP15" s="64"/>
      <c r="AQ15" s="64"/>
      <c r="AR15" s="85" t="s">
        <v>199</v>
      </c>
      <c r="AS15" s="64" t="s">
        <v>295</v>
      </c>
      <c r="AT15" s="85" t="s">
        <v>294</v>
      </c>
      <c r="AU15" s="64" t="s">
        <v>293</v>
      </c>
      <c r="AV15" s="64" t="s">
        <v>293</v>
      </c>
      <c r="AW15" s="64"/>
      <c r="AX15" s="64"/>
      <c r="AY15" s="64"/>
      <c r="AZ15" s="64"/>
      <c r="BA15" s="64"/>
      <c r="BB15" s="68" t="s">
        <v>199</v>
      </c>
      <c r="BC15" s="68" t="s">
        <v>84</v>
      </c>
      <c r="BD15" s="68" t="s">
        <v>84</v>
      </c>
      <c r="BE15" s="68" t="s">
        <v>84</v>
      </c>
      <c r="BF15" s="68" t="s">
        <v>84</v>
      </c>
      <c r="BG15" s="87">
        <f t="shared" si="1"/>
        <v>1</v>
      </c>
      <c r="BH15" s="64" t="s">
        <v>104</v>
      </c>
      <c r="BI15" s="64">
        <v>0</v>
      </c>
      <c r="BJ15" s="64">
        <v>0</v>
      </c>
      <c r="BK15" s="64">
        <v>5</v>
      </c>
      <c r="BL15" s="64">
        <v>5</v>
      </c>
      <c r="BM15" s="64">
        <v>0</v>
      </c>
      <c r="BN15" s="64">
        <v>5</v>
      </c>
      <c r="BO15" s="64">
        <v>0</v>
      </c>
      <c r="BP15" s="64">
        <v>5</v>
      </c>
      <c r="BQ15" s="64">
        <v>5</v>
      </c>
      <c r="BR15" s="64">
        <v>10</v>
      </c>
      <c r="BS15" s="64">
        <v>15</v>
      </c>
      <c r="BT15" s="64">
        <v>10</v>
      </c>
      <c r="BU15" s="64">
        <v>15</v>
      </c>
      <c r="BV15" s="64"/>
      <c r="BW15" s="64" t="s">
        <v>104</v>
      </c>
      <c r="BX15" s="64">
        <v>0</v>
      </c>
      <c r="BY15" s="64">
        <v>0</v>
      </c>
      <c r="BZ15" s="64">
        <v>5</v>
      </c>
      <c r="CA15" s="64">
        <v>0</v>
      </c>
      <c r="CB15" s="64">
        <v>5</v>
      </c>
      <c r="CC15" s="64">
        <v>0</v>
      </c>
      <c r="CD15" s="64">
        <v>10</v>
      </c>
      <c r="CE15" s="64">
        <v>5</v>
      </c>
      <c r="CF15" s="64">
        <v>10</v>
      </c>
      <c r="CG15" s="64">
        <v>5</v>
      </c>
      <c r="CH15" s="64">
        <v>10</v>
      </c>
      <c r="CI15" s="64">
        <v>15</v>
      </c>
      <c r="CJ15" s="64">
        <v>10</v>
      </c>
      <c r="CK15" s="64"/>
      <c r="CL15" s="64"/>
      <c r="CM15" s="64"/>
      <c r="CN15" s="64" t="s">
        <v>104</v>
      </c>
      <c r="CO15" s="64">
        <v>0</v>
      </c>
      <c r="CP15" s="64">
        <v>0</v>
      </c>
      <c r="CQ15" s="64">
        <v>5</v>
      </c>
      <c r="CR15" s="64">
        <v>0</v>
      </c>
      <c r="CS15" s="64">
        <v>5</v>
      </c>
      <c r="CT15" s="64">
        <v>0</v>
      </c>
      <c r="CU15" s="64">
        <v>5</v>
      </c>
      <c r="CV15" s="64">
        <v>10</v>
      </c>
      <c r="CW15" s="64">
        <v>5</v>
      </c>
      <c r="CX15" s="64">
        <v>10</v>
      </c>
      <c r="CY15" s="64">
        <v>15</v>
      </c>
      <c r="CZ15" s="64">
        <v>15</v>
      </c>
      <c r="DA15" s="64">
        <v>20</v>
      </c>
      <c r="DB15" s="64"/>
      <c r="DC15" s="64" t="s">
        <v>104</v>
      </c>
      <c r="DD15" s="64">
        <v>0</v>
      </c>
      <c r="DE15" s="64">
        <v>0</v>
      </c>
      <c r="DF15" s="64">
        <v>5</v>
      </c>
      <c r="DG15" s="64">
        <v>0</v>
      </c>
      <c r="DH15" s="64">
        <v>0</v>
      </c>
      <c r="DI15" s="64">
        <v>10</v>
      </c>
      <c r="DJ15" s="64">
        <v>5</v>
      </c>
      <c r="DK15" s="64">
        <v>10</v>
      </c>
      <c r="DL15" s="64">
        <v>10</v>
      </c>
      <c r="DM15" s="64">
        <v>10</v>
      </c>
      <c r="DN15" s="64">
        <v>15</v>
      </c>
      <c r="DO15" s="64">
        <v>20</v>
      </c>
      <c r="DP15" s="64">
        <v>20</v>
      </c>
      <c r="DQ15" s="80"/>
      <c r="DR15" s="80"/>
      <c r="DS15" s="80">
        <v>1</v>
      </c>
      <c r="DU15" s="64"/>
      <c r="DV15" s="64"/>
      <c r="DW15" s="64"/>
      <c r="DX15" s="64"/>
      <c r="DY15" s="64"/>
      <c r="DZ15" s="64"/>
      <c r="EA15" s="64"/>
      <c r="EB15" s="64"/>
      <c r="EC15" s="64"/>
      <c r="ED15" s="64"/>
      <c r="EE15" s="64"/>
      <c r="EF15" s="64"/>
      <c r="EG15" s="64"/>
      <c r="EH15" s="64"/>
      <c r="EI15" s="64"/>
      <c r="EJ15" s="69"/>
      <c r="EK15" s="64" t="s">
        <v>286</v>
      </c>
      <c r="EL15" s="64">
        <v>0</v>
      </c>
      <c r="EM15" s="64">
        <v>0</v>
      </c>
      <c r="EN15" s="68">
        <v>5</v>
      </c>
      <c r="EO15" s="68">
        <v>5</v>
      </c>
      <c r="EP15" s="68">
        <v>0</v>
      </c>
      <c r="EQ15" s="68">
        <v>0</v>
      </c>
      <c r="ER15" s="68">
        <v>0</v>
      </c>
      <c r="ES15" s="68">
        <v>0</v>
      </c>
      <c r="ET15" s="68">
        <v>0</v>
      </c>
      <c r="EU15" s="68">
        <v>0</v>
      </c>
      <c r="EV15" s="68">
        <v>0</v>
      </c>
      <c r="EW15" s="68">
        <v>0</v>
      </c>
      <c r="EX15" s="68">
        <v>0</v>
      </c>
      <c r="EZ15" s="68" t="s">
        <v>286</v>
      </c>
      <c r="FA15" s="64">
        <v>0</v>
      </c>
      <c r="FB15" s="64">
        <v>0</v>
      </c>
      <c r="FC15" s="68">
        <v>5</v>
      </c>
      <c r="FD15" s="68">
        <v>0</v>
      </c>
      <c r="FE15" s="68">
        <v>0</v>
      </c>
      <c r="FF15" s="68">
        <v>0</v>
      </c>
      <c r="FG15" s="68">
        <v>0</v>
      </c>
      <c r="FH15" s="68">
        <v>0</v>
      </c>
      <c r="FI15" s="68">
        <v>0</v>
      </c>
      <c r="FJ15" s="68">
        <v>0</v>
      </c>
      <c r="FK15" s="68">
        <v>0</v>
      </c>
      <c r="FL15" s="68">
        <v>0</v>
      </c>
      <c r="FM15" s="68">
        <v>0</v>
      </c>
      <c r="FO15" s="68" t="s">
        <v>286</v>
      </c>
      <c r="FP15" s="64">
        <v>0</v>
      </c>
      <c r="FQ15" s="64">
        <v>0</v>
      </c>
      <c r="FR15" s="68">
        <v>5</v>
      </c>
      <c r="FS15" s="68">
        <v>0</v>
      </c>
      <c r="FT15" s="68">
        <v>0</v>
      </c>
      <c r="FU15" s="68">
        <v>0</v>
      </c>
      <c r="FV15" s="68">
        <v>0</v>
      </c>
      <c r="FW15" s="68">
        <v>0</v>
      </c>
      <c r="FX15" s="68">
        <v>0</v>
      </c>
      <c r="FY15" s="68">
        <v>0</v>
      </c>
      <c r="FZ15" s="68">
        <v>0</v>
      </c>
      <c r="GA15" s="68">
        <v>0</v>
      </c>
      <c r="GB15" s="68">
        <v>0</v>
      </c>
      <c r="GD15" s="68" t="s">
        <v>286</v>
      </c>
      <c r="GE15" s="64">
        <v>0</v>
      </c>
      <c r="GF15" s="64">
        <v>0</v>
      </c>
      <c r="GG15" s="68">
        <v>5</v>
      </c>
      <c r="GH15" s="68">
        <v>0</v>
      </c>
      <c r="GI15" s="68">
        <v>0</v>
      </c>
      <c r="GJ15" s="68">
        <v>0</v>
      </c>
      <c r="GK15" s="68">
        <v>0</v>
      </c>
      <c r="GL15" s="68">
        <v>0</v>
      </c>
      <c r="GM15" s="68">
        <v>0</v>
      </c>
      <c r="GN15" s="68">
        <v>0</v>
      </c>
      <c r="GO15" s="68">
        <v>0</v>
      </c>
      <c r="GP15" s="68">
        <v>0</v>
      </c>
      <c r="GQ15" s="68">
        <v>0</v>
      </c>
      <c r="GR15" s="64"/>
      <c r="GS15" s="64"/>
      <c r="GT15" s="64"/>
      <c r="GU15" s="64"/>
      <c r="GV15" s="64"/>
      <c r="GW15" s="64"/>
      <c r="GX15" s="64"/>
      <c r="GY15" s="64"/>
      <c r="GZ15" s="64"/>
      <c r="HA15" s="64"/>
      <c r="HB15" s="64"/>
      <c r="HC15" s="64"/>
      <c r="HD15" s="64"/>
      <c r="HE15" s="64"/>
      <c r="HF15" s="64"/>
      <c r="HG15" s="71"/>
      <c r="HH15" s="64"/>
    </row>
    <row r="16" spans="1:216" x14ac:dyDescent="0.25">
      <c r="A16" s="8"/>
      <c r="B16" s="5" t="s">
        <v>61</v>
      </c>
      <c r="C16" s="8"/>
      <c r="D16" s="44" t="s">
        <v>519</v>
      </c>
      <c r="E16" s="9"/>
      <c r="F16" s="9"/>
      <c r="G16" s="9"/>
      <c r="H16" s="9"/>
      <c r="I16" s="9"/>
      <c r="J16" s="9"/>
      <c r="K16" s="9"/>
      <c r="L16" s="6" t="s">
        <v>241</v>
      </c>
      <c r="M16" s="11">
        <f>INDEX(cenník!$C$2:$I$568,MATCH($L16,cenník!$B$2:$B$557,0),MATCH(M$2,cenník!$C$1:$I$1,0))</f>
        <v>867633</v>
      </c>
      <c r="N16" s="11" t="str">
        <f>INDEX(cenník!$C$2:$I$568,MATCH($L16,cenník!$B$2:$B$557,0),MATCH(N$2,cenník!$C$1:$I$1,0))</f>
        <v>ks</v>
      </c>
      <c r="O16" s="11">
        <f>SUM(Z4:Z19)</f>
        <v>0</v>
      </c>
      <c r="P16" s="36">
        <f>INDEX(cenník!$C$2:$I$568,MATCH($L16,cenník!$B$2:$B$557,0),MATCH(P$2,cenník!$C$1:$I$1,0))</f>
        <v>45.86</v>
      </c>
      <c r="Q16" s="36">
        <f t="shared" si="40"/>
        <v>0</v>
      </c>
      <c r="R16" s="37">
        <f t="shared" si="2"/>
        <v>0</v>
      </c>
      <c r="S16" s="36">
        <f t="shared" si="42"/>
        <v>45.86</v>
      </c>
      <c r="T16" s="36">
        <f t="shared" si="41"/>
        <v>0</v>
      </c>
      <c r="U16" s="36">
        <f>INDEX(cenník!$C$2:$I$568,MATCH($L16,cenník!$B$2:$B$557,0),MATCH(U$2,cenník!$C$1:$I$1,0))*O16</f>
        <v>0</v>
      </c>
      <c r="V16" s="85"/>
      <c r="W16" s="64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64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64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64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64">
        <f t="shared" si="3"/>
        <v>0</v>
      </c>
      <c r="AB16" s="64">
        <f t="shared" si="0"/>
        <v>0</v>
      </c>
      <c r="AC16" s="64"/>
      <c r="AD16" s="64">
        <f>((A2/4)*(INDEX($AF$24:$AF$42,MATCH($E$3,$AE$24:$AE$42),1,1)))+((A2-1)*20)</f>
        <v>-20</v>
      </c>
      <c r="AE16" s="64">
        <f>INT((((A2/4)*(INDEX($AF$24:$AF$42,MATCH($E$3,$AE$24:$AE$42),1,1)))+((A2-1)*20))/2900)</f>
        <v>-1</v>
      </c>
      <c r="AF16" s="64"/>
      <c r="AG16" s="64"/>
      <c r="AH16" s="64"/>
      <c r="AI16" s="64"/>
      <c r="AJ16" s="64"/>
      <c r="AK16" s="64"/>
      <c r="AL16" s="64"/>
      <c r="AM16" s="64"/>
      <c r="AN16" s="64"/>
      <c r="AO16" s="64"/>
      <c r="AP16" s="64"/>
      <c r="AQ16" s="64"/>
      <c r="AR16" s="85" t="s">
        <v>205</v>
      </c>
      <c r="AS16" s="85" t="s">
        <v>293</v>
      </c>
      <c r="AT16" s="85" t="s">
        <v>295</v>
      </c>
      <c r="AU16" s="64" t="s">
        <v>293</v>
      </c>
      <c r="AV16" s="64" t="s">
        <v>293</v>
      </c>
      <c r="AW16" s="64"/>
      <c r="AX16" s="64"/>
      <c r="AY16" s="64"/>
      <c r="AZ16" s="64"/>
      <c r="BA16" s="64"/>
      <c r="BB16" s="68" t="s">
        <v>205</v>
      </c>
      <c r="BC16" s="68" t="s">
        <v>291</v>
      </c>
      <c r="BD16" s="68" t="s">
        <v>84</v>
      </c>
      <c r="BE16" s="68" t="s">
        <v>84</v>
      </c>
      <c r="BF16" s="68" t="s">
        <v>84</v>
      </c>
      <c r="BG16" s="87">
        <f t="shared" si="1"/>
        <v>1</v>
      </c>
      <c r="BH16" s="64" t="s">
        <v>103</v>
      </c>
      <c r="BI16" s="64">
        <v>0</v>
      </c>
      <c r="BJ16" s="64">
        <v>0</v>
      </c>
      <c r="BK16" s="64">
        <v>0</v>
      </c>
      <c r="BL16" s="64">
        <v>0</v>
      </c>
      <c r="BM16" s="64">
        <v>10</v>
      </c>
      <c r="BN16" s="64">
        <v>0</v>
      </c>
      <c r="BO16" s="64">
        <v>10</v>
      </c>
      <c r="BP16" s="64">
        <v>10</v>
      </c>
      <c r="BQ16" s="64">
        <v>10</v>
      </c>
      <c r="BR16" s="64">
        <v>5</v>
      </c>
      <c r="BS16" s="64">
        <v>0</v>
      </c>
      <c r="BT16" s="64">
        <v>5</v>
      </c>
      <c r="BU16" s="64">
        <v>5</v>
      </c>
      <c r="BV16" s="64"/>
      <c r="BW16" s="64" t="s">
        <v>103</v>
      </c>
      <c r="BX16" s="64">
        <v>0</v>
      </c>
      <c r="BY16" s="64">
        <v>0</v>
      </c>
      <c r="BZ16" s="64">
        <v>0</v>
      </c>
      <c r="CA16" s="64">
        <v>5</v>
      </c>
      <c r="CB16" s="64">
        <v>0</v>
      </c>
      <c r="CC16" s="64">
        <v>10</v>
      </c>
      <c r="CD16" s="64">
        <v>0</v>
      </c>
      <c r="CE16" s="64">
        <v>10</v>
      </c>
      <c r="CF16" s="64">
        <v>5</v>
      </c>
      <c r="CG16" s="64">
        <v>10</v>
      </c>
      <c r="CH16" s="64">
        <v>5</v>
      </c>
      <c r="CI16" s="64">
        <v>5</v>
      </c>
      <c r="CJ16" s="64">
        <v>10</v>
      </c>
      <c r="CK16" s="64"/>
      <c r="CL16" s="64"/>
      <c r="CM16" s="64"/>
      <c r="CN16" s="64" t="s">
        <v>103</v>
      </c>
      <c r="CO16" s="64">
        <v>0</v>
      </c>
      <c r="CP16" s="64">
        <v>5</v>
      </c>
      <c r="CQ16" s="64">
        <v>0</v>
      </c>
      <c r="CR16" s="64">
        <v>10</v>
      </c>
      <c r="CS16" s="64">
        <v>0</v>
      </c>
      <c r="CT16" s="64">
        <v>10</v>
      </c>
      <c r="CU16" s="64">
        <v>10</v>
      </c>
      <c r="CV16" s="64">
        <v>0</v>
      </c>
      <c r="CW16" s="64">
        <v>10</v>
      </c>
      <c r="CX16" s="64">
        <v>5</v>
      </c>
      <c r="CY16" s="64">
        <v>0</v>
      </c>
      <c r="CZ16" s="64">
        <v>5</v>
      </c>
      <c r="DA16" s="64">
        <v>0</v>
      </c>
      <c r="DB16" s="64"/>
      <c r="DC16" s="64" t="s">
        <v>103</v>
      </c>
      <c r="DD16" s="64">
        <v>0</v>
      </c>
      <c r="DE16" s="64">
        <v>5</v>
      </c>
      <c r="DF16" s="64">
        <v>0</v>
      </c>
      <c r="DG16" s="64">
        <v>10</v>
      </c>
      <c r="DH16" s="64">
        <v>10</v>
      </c>
      <c r="DI16" s="64">
        <v>0</v>
      </c>
      <c r="DJ16" s="64">
        <v>10</v>
      </c>
      <c r="DK16" s="64">
        <v>5</v>
      </c>
      <c r="DL16" s="64">
        <v>5</v>
      </c>
      <c r="DM16" s="64">
        <v>10</v>
      </c>
      <c r="DN16" s="64">
        <v>5</v>
      </c>
      <c r="DO16" s="64">
        <v>0</v>
      </c>
      <c r="DP16" s="64">
        <v>0</v>
      </c>
      <c r="DQ16" s="80"/>
      <c r="DR16" s="80"/>
      <c r="DS16" s="80">
        <v>2</v>
      </c>
      <c r="DU16" s="64"/>
      <c r="DV16" s="64"/>
      <c r="DW16" s="64"/>
      <c r="DX16" s="64"/>
      <c r="DY16" s="64"/>
      <c r="DZ16" s="64"/>
      <c r="EA16" s="64"/>
      <c r="EB16" s="64"/>
      <c r="EC16" s="64"/>
      <c r="ED16" s="64"/>
      <c r="EE16" s="64"/>
      <c r="EF16" s="64"/>
      <c r="EG16" s="64"/>
      <c r="EH16" s="64"/>
      <c r="EI16" s="64"/>
      <c r="EJ16" s="69"/>
      <c r="EK16" s="64" t="s">
        <v>240</v>
      </c>
      <c r="EL16" s="64">
        <v>0</v>
      </c>
      <c r="EM16" s="64">
        <f>BJ16</f>
        <v>0</v>
      </c>
      <c r="EN16" s="64">
        <v>0</v>
      </c>
      <c r="EO16" s="64">
        <v>0</v>
      </c>
      <c r="EP16" s="64">
        <f t="shared" ref="EP16:EX16" si="43">BM16</f>
        <v>10</v>
      </c>
      <c r="EQ16" s="64">
        <f t="shared" si="43"/>
        <v>0</v>
      </c>
      <c r="ER16" s="64">
        <f t="shared" si="43"/>
        <v>10</v>
      </c>
      <c r="ES16" s="64">
        <f t="shared" si="43"/>
        <v>10</v>
      </c>
      <c r="ET16" s="64">
        <f t="shared" si="43"/>
        <v>10</v>
      </c>
      <c r="EU16" s="64">
        <f t="shared" si="43"/>
        <v>5</v>
      </c>
      <c r="EV16" s="64">
        <f t="shared" si="43"/>
        <v>0</v>
      </c>
      <c r="EW16" s="64">
        <f t="shared" si="43"/>
        <v>5</v>
      </c>
      <c r="EX16" s="64">
        <f t="shared" si="43"/>
        <v>5</v>
      </c>
      <c r="EY16" s="64"/>
      <c r="EZ16" s="64" t="s">
        <v>240</v>
      </c>
      <c r="FA16" s="64">
        <v>0</v>
      </c>
      <c r="FB16" s="64">
        <f>BY16</f>
        <v>0</v>
      </c>
      <c r="FC16" s="64">
        <v>0</v>
      </c>
      <c r="FD16" s="64">
        <f t="shared" ref="FD16:FM16" si="44">CA16</f>
        <v>5</v>
      </c>
      <c r="FE16" s="64">
        <f t="shared" si="44"/>
        <v>0</v>
      </c>
      <c r="FF16" s="64">
        <f t="shared" si="44"/>
        <v>10</v>
      </c>
      <c r="FG16" s="64">
        <f t="shared" si="44"/>
        <v>0</v>
      </c>
      <c r="FH16" s="64">
        <f t="shared" si="44"/>
        <v>10</v>
      </c>
      <c r="FI16" s="64">
        <f t="shared" si="44"/>
        <v>5</v>
      </c>
      <c r="FJ16" s="64">
        <f t="shared" si="44"/>
        <v>10</v>
      </c>
      <c r="FK16" s="64">
        <f t="shared" si="44"/>
        <v>5</v>
      </c>
      <c r="FL16" s="64">
        <f t="shared" si="44"/>
        <v>5</v>
      </c>
      <c r="FM16" s="64">
        <f t="shared" si="44"/>
        <v>10</v>
      </c>
      <c r="FN16" s="64"/>
      <c r="FO16" s="64" t="s">
        <v>240</v>
      </c>
      <c r="FP16" s="64">
        <v>0</v>
      </c>
      <c r="FQ16" s="64">
        <f>CP16</f>
        <v>5</v>
      </c>
      <c r="FR16" s="64">
        <v>0</v>
      </c>
      <c r="FS16" s="64">
        <f t="shared" ref="FS16:GB16" si="45">CR16</f>
        <v>10</v>
      </c>
      <c r="FT16" s="64">
        <f t="shared" si="45"/>
        <v>0</v>
      </c>
      <c r="FU16" s="64">
        <f t="shared" si="45"/>
        <v>10</v>
      </c>
      <c r="FV16" s="64">
        <f t="shared" si="45"/>
        <v>10</v>
      </c>
      <c r="FW16" s="64">
        <f t="shared" si="45"/>
        <v>0</v>
      </c>
      <c r="FX16" s="64">
        <f t="shared" si="45"/>
        <v>10</v>
      </c>
      <c r="FY16" s="64">
        <f t="shared" si="45"/>
        <v>5</v>
      </c>
      <c r="FZ16" s="64">
        <f t="shared" si="45"/>
        <v>0</v>
      </c>
      <c r="GA16" s="64">
        <f t="shared" si="45"/>
        <v>5</v>
      </c>
      <c r="GB16" s="64">
        <f t="shared" si="45"/>
        <v>0</v>
      </c>
      <c r="GC16" s="64"/>
      <c r="GD16" s="64" t="s">
        <v>240</v>
      </c>
      <c r="GE16" s="64">
        <v>0</v>
      </c>
      <c r="GF16" s="64">
        <f>DE16</f>
        <v>5</v>
      </c>
      <c r="GG16" s="64">
        <v>0</v>
      </c>
      <c r="GH16" s="64">
        <f t="shared" ref="GH16:GQ16" si="46">DG16</f>
        <v>10</v>
      </c>
      <c r="GI16" s="64">
        <f t="shared" si="46"/>
        <v>10</v>
      </c>
      <c r="GJ16" s="64">
        <f t="shared" si="46"/>
        <v>0</v>
      </c>
      <c r="GK16" s="64">
        <f t="shared" si="46"/>
        <v>10</v>
      </c>
      <c r="GL16" s="64">
        <f t="shared" si="46"/>
        <v>5</v>
      </c>
      <c r="GM16" s="64">
        <f t="shared" si="46"/>
        <v>5</v>
      </c>
      <c r="GN16" s="64">
        <f t="shared" si="46"/>
        <v>10</v>
      </c>
      <c r="GO16" s="64">
        <f t="shared" si="46"/>
        <v>5</v>
      </c>
      <c r="GP16" s="64">
        <f t="shared" si="46"/>
        <v>0</v>
      </c>
      <c r="GQ16" s="64">
        <f t="shared" si="46"/>
        <v>0</v>
      </c>
      <c r="GR16" s="64"/>
      <c r="GS16" s="64"/>
      <c r="GT16" s="64"/>
      <c r="GU16" s="64"/>
      <c r="GV16" s="64"/>
      <c r="GW16" s="64"/>
      <c r="GX16" s="64"/>
      <c r="GY16" s="64"/>
      <c r="GZ16" s="64"/>
      <c r="HA16" s="64"/>
      <c r="HB16" s="64"/>
      <c r="HC16" s="64"/>
      <c r="HD16" s="64"/>
      <c r="HE16" s="64"/>
      <c r="HF16" s="64"/>
      <c r="HG16" s="71"/>
      <c r="HH16" s="64"/>
    </row>
    <row r="17" spans="1:216" x14ac:dyDescent="0.25">
      <c r="A17" s="8"/>
      <c r="B17" s="5" t="s">
        <v>61</v>
      </c>
      <c r="C17" s="8"/>
      <c r="D17" s="44" t="s">
        <v>520</v>
      </c>
      <c r="E17" s="9"/>
      <c r="F17" s="9"/>
      <c r="G17" s="9"/>
      <c r="H17" s="9"/>
      <c r="I17" s="9"/>
      <c r="J17" s="9"/>
      <c r="K17" s="9"/>
      <c r="L17" s="6" t="s">
        <v>364</v>
      </c>
      <c r="M17" s="11">
        <f>INDEX(cenník!$C$2:$I$568,MATCH($L17,cenník!$B$2:$B$557,0),MATCH(M$2,cenník!$C$1:$I$1,0))</f>
        <v>856105</v>
      </c>
      <c r="N17" s="11" t="str">
        <f>INDEX(cenník!$C$2:$I$568,MATCH($L17,cenník!$B$2:$B$557,0),MATCH(N$2,cenník!$C$1:$I$1,0))</f>
        <v>ks</v>
      </c>
      <c r="O17" s="11">
        <f>SUM(W4:W19)</f>
        <v>0</v>
      </c>
      <c r="P17" s="36">
        <f>INDEX(cenník!$C$2:$I$568,MATCH($L17,cenník!$B$2:$B$557,0),MATCH(P$2,cenník!$C$1:$I$1,0))</f>
        <v>7.54</v>
      </c>
      <c r="Q17" s="36">
        <f t="shared" si="40"/>
        <v>0</v>
      </c>
      <c r="R17" s="37">
        <f t="shared" si="2"/>
        <v>0</v>
      </c>
      <c r="S17" s="36">
        <f t="shared" si="42"/>
        <v>7.54</v>
      </c>
      <c r="T17" s="36">
        <f t="shared" si="41"/>
        <v>0</v>
      </c>
      <c r="U17" s="36">
        <f>INDEX(cenník!$C$2:$I$568,MATCH($L17,cenník!$B$2:$B$557,0),MATCH(U$2,cenník!$C$1:$I$1,0))*O17</f>
        <v>0</v>
      </c>
      <c r="V17" s="85"/>
      <c r="W17" s="64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64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64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64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64">
        <f t="shared" si="3"/>
        <v>0</v>
      </c>
      <c r="AB17" s="64">
        <f t="shared" si="0"/>
        <v>0</v>
      </c>
      <c r="AC17" s="92"/>
      <c r="AD17" s="64">
        <f>(INT((((A2/4)*(INDEX($AF$24:$AF$42,MATCH($E$3,$AE$24:$AE$42),1,1)))+((A2-1)*20))/2900))*2900</f>
        <v>-2900</v>
      </c>
      <c r="AE17" s="64"/>
      <c r="AF17" s="64"/>
      <c r="AG17" s="64"/>
      <c r="AH17" s="64"/>
      <c r="AI17" s="64"/>
      <c r="AJ17" s="64"/>
      <c r="AK17" s="64"/>
      <c r="AL17" s="64"/>
      <c r="AM17" s="64"/>
      <c r="AN17" s="64"/>
      <c r="AO17" s="64"/>
      <c r="AP17" s="64"/>
      <c r="AQ17" s="64"/>
      <c r="AR17" s="85" t="s">
        <v>329</v>
      </c>
      <c r="AS17" s="85" t="s">
        <v>293</v>
      </c>
      <c r="AT17" s="85" t="s">
        <v>295</v>
      </c>
      <c r="AU17" s="64" t="s">
        <v>293</v>
      </c>
      <c r="AV17" s="64" t="s">
        <v>293</v>
      </c>
      <c r="AW17" s="64"/>
      <c r="AX17" s="64"/>
      <c r="AY17" s="64"/>
      <c r="AZ17" s="64"/>
      <c r="BA17" s="64"/>
      <c r="BB17" s="68" t="s">
        <v>329</v>
      </c>
      <c r="BC17" s="68" t="s">
        <v>291</v>
      </c>
      <c r="BD17" s="68" t="s">
        <v>84</v>
      </c>
      <c r="BE17" s="68" t="s">
        <v>84</v>
      </c>
      <c r="BF17" s="68" t="s">
        <v>84</v>
      </c>
      <c r="BG17" s="87">
        <f t="shared" si="1"/>
        <v>1</v>
      </c>
      <c r="BH17" s="64" t="s">
        <v>16</v>
      </c>
      <c r="BI17" s="64">
        <v>0</v>
      </c>
      <c r="BJ17" s="64">
        <v>5</v>
      </c>
      <c r="BK17" s="64">
        <v>0</v>
      </c>
      <c r="BL17" s="64">
        <v>0</v>
      </c>
      <c r="BM17" s="64">
        <v>0</v>
      </c>
      <c r="BN17" s="64">
        <v>5</v>
      </c>
      <c r="BO17" s="64">
        <v>5</v>
      </c>
      <c r="BP17" s="64">
        <v>0</v>
      </c>
      <c r="BQ17" s="64">
        <v>0</v>
      </c>
      <c r="BR17" s="64">
        <v>0</v>
      </c>
      <c r="BS17" s="64">
        <v>0</v>
      </c>
      <c r="BT17" s="64">
        <v>5</v>
      </c>
      <c r="BU17" s="64">
        <v>0</v>
      </c>
      <c r="BV17" s="64"/>
      <c r="BW17" s="64" t="s">
        <v>16</v>
      </c>
      <c r="BX17" s="64">
        <v>0</v>
      </c>
      <c r="BY17" s="64">
        <v>5</v>
      </c>
      <c r="BZ17" s="64">
        <v>0</v>
      </c>
      <c r="CA17" s="64">
        <v>5</v>
      </c>
      <c r="CB17" s="64">
        <v>5</v>
      </c>
      <c r="CC17" s="64">
        <v>5</v>
      </c>
      <c r="CD17" s="64">
        <v>0</v>
      </c>
      <c r="CE17" s="64">
        <v>0</v>
      </c>
      <c r="CF17" s="64">
        <v>0</v>
      </c>
      <c r="CG17" s="64">
        <v>5</v>
      </c>
      <c r="CH17" s="64">
        <v>5</v>
      </c>
      <c r="CI17" s="64">
        <v>0</v>
      </c>
      <c r="CJ17" s="64">
        <v>5</v>
      </c>
      <c r="CK17" s="64"/>
      <c r="CL17" s="64"/>
      <c r="CM17" s="64"/>
      <c r="CN17" s="64" t="s">
        <v>16</v>
      </c>
      <c r="CO17" s="64">
        <v>0</v>
      </c>
      <c r="CP17" s="64">
        <v>0</v>
      </c>
      <c r="CQ17" s="64">
        <v>0</v>
      </c>
      <c r="CR17" s="64">
        <v>0</v>
      </c>
      <c r="CS17" s="64">
        <v>5</v>
      </c>
      <c r="CT17" s="64">
        <v>5</v>
      </c>
      <c r="CU17" s="64">
        <v>0</v>
      </c>
      <c r="CV17" s="64">
        <v>5</v>
      </c>
      <c r="CW17" s="64">
        <v>5</v>
      </c>
      <c r="CX17" s="64">
        <v>5</v>
      </c>
      <c r="CY17" s="64">
        <v>5</v>
      </c>
      <c r="CZ17" s="64">
        <v>0</v>
      </c>
      <c r="DA17" s="64">
        <v>0</v>
      </c>
      <c r="DB17" s="64"/>
      <c r="DC17" s="64" t="s">
        <v>16</v>
      </c>
      <c r="DD17" s="64">
        <v>0</v>
      </c>
      <c r="DE17" s="64">
        <v>0</v>
      </c>
      <c r="DF17" s="64">
        <v>0</v>
      </c>
      <c r="DG17" s="64">
        <v>0</v>
      </c>
      <c r="DH17" s="64">
        <v>5</v>
      </c>
      <c r="DI17" s="64">
        <v>0</v>
      </c>
      <c r="DJ17" s="64">
        <v>0</v>
      </c>
      <c r="DK17" s="64">
        <v>0</v>
      </c>
      <c r="DL17" s="64">
        <v>5</v>
      </c>
      <c r="DM17" s="64">
        <v>0</v>
      </c>
      <c r="DN17" s="64">
        <v>0</v>
      </c>
      <c r="DO17" s="64">
        <v>0</v>
      </c>
      <c r="DP17" s="64">
        <v>5</v>
      </c>
      <c r="DQ17" s="80"/>
      <c r="DR17" s="80"/>
      <c r="DS17" s="80">
        <v>3</v>
      </c>
      <c r="DU17" s="64"/>
      <c r="DV17" s="64"/>
      <c r="DW17" s="64"/>
      <c r="DX17" s="64"/>
      <c r="DY17" s="64"/>
      <c r="DZ17" s="64"/>
      <c r="EA17" s="64"/>
      <c r="EB17" s="64"/>
      <c r="EC17" s="64"/>
      <c r="ED17" s="64"/>
      <c r="EE17" s="64"/>
      <c r="EF17" s="64"/>
      <c r="EG17" s="64"/>
      <c r="EH17" s="64"/>
      <c r="EI17" s="64"/>
      <c r="EJ17" s="69"/>
      <c r="EK17" s="64" t="s">
        <v>241</v>
      </c>
      <c r="EL17" s="64">
        <v>0</v>
      </c>
      <c r="EM17" s="64">
        <f>BJ17+(BJ15*2)</f>
        <v>5</v>
      </c>
      <c r="EN17" s="64">
        <v>0</v>
      </c>
      <c r="EO17" s="64">
        <v>0</v>
      </c>
      <c r="EP17" s="64">
        <f t="shared" ref="EP17:EX17" si="47">BM17+(BM15*2)</f>
        <v>0</v>
      </c>
      <c r="EQ17" s="64">
        <f t="shared" si="47"/>
        <v>15</v>
      </c>
      <c r="ER17" s="64">
        <f t="shared" si="47"/>
        <v>5</v>
      </c>
      <c r="ES17" s="64">
        <f t="shared" si="47"/>
        <v>10</v>
      </c>
      <c r="ET17" s="64">
        <f t="shared" si="47"/>
        <v>10</v>
      </c>
      <c r="EU17" s="64">
        <f t="shared" si="47"/>
        <v>20</v>
      </c>
      <c r="EV17" s="64">
        <f t="shared" si="47"/>
        <v>30</v>
      </c>
      <c r="EW17" s="64">
        <f t="shared" si="47"/>
        <v>25</v>
      </c>
      <c r="EX17" s="64">
        <f t="shared" si="47"/>
        <v>30</v>
      </c>
      <c r="EY17" s="64"/>
      <c r="EZ17" s="64" t="s">
        <v>241</v>
      </c>
      <c r="FA17" s="64">
        <v>0</v>
      </c>
      <c r="FB17" s="64">
        <f>BY17+(BY15*2)</f>
        <v>5</v>
      </c>
      <c r="FC17" s="64">
        <v>0</v>
      </c>
      <c r="FD17" s="64">
        <f t="shared" ref="FD17:FM17" si="48">CA17+(CA15*2)</f>
        <v>5</v>
      </c>
      <c r="FE17" s="64">
        <f t="shared" si="48"/>
        <v>15</v>
      </c>
      <c r="FF17" s="64">
        <f t="shared" si="48"/>
        <v>5</v>
      </c>
      <c r="FG17" s="64">
        <f t="shared" si="48"/>
        <v>20</v>
      </c>
      <c r="FH17" s="64">
        <f t="shared" si="48"/>
        <v>10</v>
      </c>
      <c r="FI17" s="64">
        <f t="shared" si="48"/>
        <v>20</v>
      </c>
      <c r="FJ17" s="64">
        <f t="shared" si="48"/>
        <v>15</v>
      </c>
      <c r="FK17" s="64">
        <f t="shared" si="48"/>
        <v>25</v>
      </c>
      <c r="FL17" s="64">
        <f t="shared" si="48"/>
        <v>30</v>
      </c>
      <c r="FM17" s="64">
        <f t="shared" si="48"/>
        <v>25</v>
      </c>
      <c r="FN17" s="64"/>
      <c r="FO17" s="64" t="s">
        <v>241</v>
      </c>
      <c r="FP17" s="64">
        <v>0</v>
      </c>
      <c r="FQ17" s="64">
        <f>CP17+(CP15*2)</f>
        <v>0</v>
      </c>
      <c r="FR17" s="64">
        <v>0</v>
      </c>
      <c r="FS17" s="64">
        <f t="shared" ref="FS17:GB17" si="49">CR17+(CR15*2)</f>
        <v>0</v>
      </c>
      <c r="FT17" s="64">
        <f t="shared" si="49"/>
        <v>15</v>
      </c>
      <c r="FU17" s="64">
        <f t="shared" si="49"/>
        <v>5</v>
      </c>
      <c r="FV17" s="64">
        <f t="shared" si="49"/>
        <v>10</v>
      </c>
      <c r="FW17" s="64">
        <f t="shared" si="49"/>
        <v>25</v>
      </c>
      <c r="FX17" s="64">
        <f t="shared" si="49"/>
        <v>15</v>
      </c>
      <c r="FY17" s="64">
        <f t="shared" si="49"/>
        <v>25</v>
      </c>
      <c r="FZ17" s="64">
        <f t="shared" si="49"/>
        <v>35</v>
      </c>
      <c r="GA17" s="64">
        <f t="shared" si="49"/>
        <v>30</v>
      </c>
      <c r="GB17" s="64">
        <f t="shared" si="49"/>
        <v>40</v>
      </c>
      <c r="GC17" s="64"/>
      <c r="GD17" s="64" t="s">
        <v>241</v>
      </c>
      <c r="GE17" s="64">
        <v>0</v>
      </c>
      <c r="GF17" s="64">
        <f>DE17+(DE15*2)</f>
        <v>0</v>
      </c>
      <c r="GG17" s="64">
        <v>0</v>
      </c>
      <c r="GH17" s="64">
        <f t="shared" ref="GH17:GQ17" si="50">DG17+(DG15*2)</f>
        <v>0</v>
      </c>
      <c r="GI17" s="64">
        <f t="shared" si="50"/>
        <v>5</v>
      </c>
      <c r="GJ17" s="64">
        <f t="shared" si="50"/>
        <v>20</v>
      </c>
      <c r="GK17" s="64">
        <f t="shared" si="50"/>
        <v>10</v>
      </c>
      <c r="GL17" s="64">
        <f t="shared" si="50"/>
        <v>20</v>
      </c>
      <c r="GM17" s="64">
        <f t="shared" si="50"/>
        <v>25</v>
      </c>
      <c r="GN17" s="64">
        <f t="shared" si="50"/>
        <v>20</v>
      </c>
      <c r="GO17" s="64">
        <f t="shared" si="50"/>
        <v>30</v>
      </c>
      <c r="GP17" s="64">
        <f t="shared" si="50"/>
        <v>40</v>
      </c>
      <c r="GQ17" s="64">
        <f t="shared" si="50"/>
        <v>45</v>
      </c>
      <c r="GR17" s="64"/>
      <c r="GS17" s="64"/>
      <c r="GT17" s="64"/>
      <c r="GU17" s="64"/>
      <c r="GV17" s="64"/>
      <c r="GW17" s="64"/>
      <c r="GX17" s="64"/>
      <c r="GY17" s="64"/>
      <c r="GZ17" s="64"/>
      <c r="HA17" s="64"/>
      <c r="HB17" s="64"/>
      <c r="HC17" s="64"/>
      <c r="HD17" s="64"/>
      <c r="HE17" s="64"/>
      <c r="HF17" s="64"/>
      <c r="HG17" s="71"/>
      <c r="HH17" s="64"/>
    </row>
    <row r="18" spans="1:216" x14ac:dyDescent="0.25">
      <c r="A18" s="9"/>
      <c r="B18" s="6"/>
      <c r="C18" s="9"/>
      <c r="D18" s="44" t="s">
        <v>521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BUF30</v>
      </c>
      <c r="M18" s="11">
        <f>INDEX(cenník!$C$2:$I$568,MATCH($L18,cenník!$B$2:$B$557,0),MATCH(M$2,cenník!$C$1:$I$1,0))</f>
        <v>897330</v>
      </c>
      <c r="N18" s="11" t="str">
        <f>INDEX(cenník!$C$2:$I$568,MATCH($L18,cenník!$B$2:$B$557,0),MATCH(N$2,cenník!$C$1:$I$1,0))</f>
        <v>ks</v>
      </c>
      <c r="O18" s="11">
        <f>SUM((A2*C2),(A3*C3),(A4*C4),(A5*C5),(A6*C6),(A7*C7),(A8*C8),(A9*C9),(A10*C10),(A11*C11),(A12*C12),(A13*C13),(A14*C14),(A15*C15),(A16*C16),(A17*C17))</f>
        <v>0</v>
      </c>
      <c r="P18" s="36">
        <f>INDEX(cenník!$C$2:$I$568,MATCH($L18,cenník!$B$2:$B$557,0),MATCH(P$2,cenník!$C$1:$I$1,0))</f>
        <v>0.62</v>
      </c>
      <c r="Q18" s="36">
        <f t="shared" si="40"/>
        <v>0</v>
      </c>
      <c r="R18" s="37">
        <f t="shared" si="2"/>
        <v>0</v>
      </c>
      <c r="S18" s="36">
        <f t="shared" si="42"/>
        <v>0.62</v>
      </c>
      <c r="T18" s="36">
        <f t="shared" si="41"/>
        <v>0</v>
      </c>
      <c r="U18" s="36">
        <f>INDEX(cenník!$C$2:$I$568,MATCH($L18,cenník!$B$2:$B$557,0),MATCH(U$2,cenník!$C$1:$I$1,0))*O18</f>
        <v>0</v>
      </c>
      <c r="V18" s="85"/>
      <c r="W18" s="64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64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64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64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64"/>
      <c r="AB18" s="64"/>
      <c r="AC18" s="64"/>
      <c r="AD18" s="64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1</v>
      </c>
      <c r="AE18" s="64"/>
      <c r="AF18" s="64"/>
      <c r="AG18" s="64"/>
      <c r="AH18" s="64"/>
      <c r="AI18" s="64"/>
      <c r="AJ18" s="64"/>
      <c r="AK18" s="64"/>
      <c r="AL18" s="64"/>
      <c r="AM18" s="64"/>
      <c r="AN18" s="64"/>
      <c r="AO18" s="64"/>
      <c r="AP18" s="64"/>
      <c r="AQ18" s="64"/>
      <c r="AR18" s="64" t="s">
        <v>330</v>
      </c>
      <c r="AS18" s="85" t="s">
        <v>293</v>
      </c>
      <c r="AT18" s="85" t="s">
        <v>295</v>
      </c>
      <c r="AU18" s="64" t="s">
        <v>293</v>
      </c>
      <c r="AV18" s="64" t="s">
        <v>293</v>
      </c>
      <c r="AW18" s="64"/>
      <c r="AX18" s="64"/>
      <c r="AY18" s="64"/>
      <c r="AZ18" s="64"/>
      <c r="BA18" s="64"/>
      <c r="BB18" s="68" t="s">
        <v>330</v>
      </c>
      <c r="BC18" s="68" t="s">
        <v>291</v>
      </c>
      <c r="BD18" s="68" t="s">
        <v>84</v>
      </c>
      <c r="BE18" s="68" t="s">
        <v>84</v>
      </c>
      <c r="BF18" s="68" t="s">
        <v>84</v>
      </c>
      <c r="BG18" s="64"/>
      <c r="BH18" s="72" t="s">
        <v>364</v>
      </c>
      <c r="BI18" s="72">
        <v>0</v>
      </c>
      <c r="BJ18" s="64">
        <v>0</v>
      </c>
      <c r="BK18" s="64">
        <v>0</v>
      </c>
      <c r="BL18" s="64">
        <v>0</v>
      </c>
      <c r="BM18" s="64">
        <v>5</v>
      </c>
      <c r="BN18" s="64">
        <v>5</v>
      </c>
      <c r="BO18" s="64">
        <v>10</v>
      </c>
      <c r="BP18" s="64">
        <v>10</v>
      </c>
      <c r="BQ18" s="64">
        <v>10</v>
      </c>
      <c r="BR18" s="64">
        <v>10</v>
      </c>
      <c r="BS18" s="64">
        <v>10</v>
      </c>
      <c r="BT18" s="64">
        <v>15</v>
      </c>
      <c r="BU18" s="64">
        <v>15</v>
      </c>
      <c r="BV18" s="64"/>
      <c r="BW18" s="72" t="s">
        <v>364</v>
      </c>
      <c r="BX18" s="64">
        <v>0</v>
      </c>
      <c r="BY18" s="64">
        <v>0</v>
      </c>
      <c r="BZ18" s="64">
        <v>0</v>
      </c>
      <c r="CA18" s="64">
        <v>5</v>
      </c>
      <c r="CB18" s="64">
        <v>5</v>
      </c>
      <c r="CC18" s="64">
        <v>10</v>
      </c>
      <c r="CD18" s="64">
        <v>5</v>
      </c>
      <c r="CE18" s="64">
        <v>10</v>
      </c>
      <c r="CF18" s="64">
        <v>10</v>
      </c>
      <c r="CG18" s="64">
        <v>15</v>
      </c>
      <c r="CH18" s="64">
        <v>15</v>
      </c>
      <c r="CI18" s="64">
        <v>15</v>
      </c>
      <c r="CJ18" s="64">
        <v>20</v>
      </c>
      <c r="CK18" s="64"/>
      <c r="CL18" s="64"/>
      <c r="CM18" s="64"/>
      <c r="CN18" s="72" t="s">
        <v>364</v>
      </c>
      <c r="CO18" s="72">
        <v>0</v>
      </c>
      <c r="CP18" s="64">
        <v>0</v>
      </c>
      <c r="CQ18" s="64">
        <v>0</v>
      </c>
      <c r="CR18" s="64">
        <v>5</v>
      </c>
      <c r="CS18" s="64">
        <v>5</v>
      </c>
      <c r="CT18" s="64">
        <v>10</v>
      </c>
      <c r="CU18" s="64">
        <v>10</v>
      </c>
      <c r="CV18" s="64">
        <v>10</v>
      </c>
      <c r="CW18" s="64">
        <v>15</v>
      </c>
      <c r="CX18" s="64">
        <v>15</v>
      </c>
      <c r="CY18" s="64">
        <v>15</v>
      </c>
      <c r="CZ18" s="64">
        <v>15</v>
      </c>
      <c r="DA18" s="64">
        <v>15</v>
      </c>
      <c r="DB18" s="64"/>
      <c r="DC18" s="72" t="s">
        <v>364</v>
      </c>
      <c r="DD18" s="64">
        <v>0</v>
      </c>
      <c r="DE18" s="64">
        <v>0</v>
      </c>
      <c r="DF18" s="64">
        <v>0</v>
      </c>
      <c r="DG18" s="64">
        <v>5</v>
      </c>
      <c r="DH18" s="64">
        <v>10</v>
      </c>
      <c r="DI18" s="64">
        <v>5</v>
      </c>
      <c r="DJ18" s="64">
        <v>10</v>
      </c>
      <c r="DK18" s="64">
        <v>10</v>
      </c>
      <c r="DL18" s="64">
        <v>15</v>
      </c>
      <c r="DM18" s="64">
        <v>15</v>
      </c>
      <c r="DN18" s="64">
        <v>15</v>
      </c>
      <c r="DO18" s="64">
        <v>15</v>
      </c>
      <c r="DP18" s="64">
        <v>20</v>
      </c>
      <c r="DQ18" s="80"/>
      <c r="DR18" s="80"/>
      <c r="DS18" s="80">
        <v>4</v>
      </c>
      <c r="DT18" s="64"/>
      <c r="DU18" s="64"/>
      <c r="DV18" s="64"/>
      <c r="DW18" s="64"/>
      <c r="DX18" s="64"/>
      <c r="DY18" s="64"/>
      <c r="DZ18" s="64"/>
      <c r="EA18" s="64"/>
      <c r="EB18" s="64"/>
      <c r="EC18" s="64"/>
      <c r="ED18" s="64"/>
      <c r="EE18" s="64"/>
      <c r="EF18" s="64"/>
      <c r="EG18" s="64"/>
      <c r="EH18" s="64"/>
      <c r="EI18" s="64"/>
      <c r="EJ18" s="69"/>
      <c r="EK18" s="72" t="s">
        <v>364</v>
      </c>
      <c r="EL18" s="64">
        <v>0</v>
      </c>
      <c r="EM18" s="64">
        <f>((SUM(EM16:EM17)/5)-1)*5</f>
        <v>0</v>
      </c>
      <c r="EN18" s="64">
        <v>0</v>
      </c>
      <c r="EO18" s="64">
        <v>0</v>
      </c>
      <c r="EP18" s="64">
        <f t="shared" ref="EP18:EX18" si="51">((SUM(EP16:EP17)/5)-1)*5</f>
        <v>5</v>
      </c>
      <c r="EQ18" s="64">
        <f t="shared" si="51"/>
        <v>10</v>
      </c>
      <c r="ER18" s="64">
        <f t="shared" si="51"/>
        <v>10</v>
      </c>
      <c r="ES18" s="64">
        <f t="shared" si="51"/>
        <v>15</v>
      </c>
      <c r="ET18" s="64">
        <f t="shared" si="51"/>
        <v>15</v>
      </c>
      <c r="EU18" s="64">
        <f t="shared" si="51"/>
        <v>20</v>
      </c>
      <c r="EV18" s="64">
        <f t="shared" si="51"/>
        <v>25</v>
      </c>
      <c r="EW18" s="64">
        <f t="shared" si="51"/>
        <v>25</v>
      </c>
      <c r="EX18" s="64">
        <f t="shared" si="51"/>
        <v>30</v>
      </c>
      <c r="EY18" s="64"/>
      <c r="EZ18" s="72" t="s">
        <v>364</v>
      </c>
      <c r="FA18" s="64">
        <v>0</v>
      </c>
      <c r="FB18" s="64">
        <f>((SUM(FB16:FB17)/5)-1)*5</f>
        <v>0</v>
      </c>
      <c r="FC18" s="64">
        <v>0</v>
      </c>
      <c r="FD18" s="64">
        <f t="shared" ref="FD18:FM18" si="52">((SUM(FD16:FD17)/5)-1)*5</f>
        <v>5</v>
      </c>
      <c r="FE18" s="64">
        <f t="shared" si="52"/>
        <v>10</v>
      </c>
      <c r="FF18" s="64">
        <f t="shared" si="52"/>
        <v>10</v>
      </c>
      <c r="FG18" s="64">
        <f t="shared" si="52"/>
        <v>15</v>
      </c>
      <c r="FH18" s="64">
        <f t="shared" si="52"/>
        <v>15</v>
      </c>
      <c r="FI18" s="64">
        <f t="shared" si="52"/>
        <v>20</v>
      </c>
      <c r="FJ18" s="64">
        <f t="shared" si="52"/>
        <v>20</v>
      </c>
      <c r="FK18" s="64">
        <f t="shared" si="52"/>
        <v>25</v>
      </c>
      <c r="FL18" s="64">
        <f t="shared" si="52"/>
        <v>30</v>
      </c>
      <c r="FM18" s="64">
        <f t="shared" si="52"/>
        <v>30</v>
      </c>
      <c r="FN18" s="64"/>
      <c r="FO18" s="72" t="s">
        <v>364</v>
      </c>
      <c r="FP18" s="64">
        <v>0</v>
      </c>
      <c r="FQ18" s="64">
        <f>((SUM(FQ16:FQ17)/5)-1)*5</f>
        <v>0</v>
      </c>
      <c r="FR18" s="64">
        <v>0</v>
      </c>
      <c r="FS18" s="64">
        <f t="shared" ref="FS18:GB18" si="53">((SUM(FS16:FS17)/5)-1)*5</f>
        <v>5</v>
      </c>
      <c r="FT18" s="64">
        <f t="shared" si="53"/>
        <v>10</v>
      </c>
      <c r="FU18" s="64">
        <f t="shared" si="53"/>
        <v>10</v>
      </c>
      <c r="FV18" s="64">
        <f t="shared" si="53"/>
        <v>15</v>
      </c>
      <c r="FW18" s="64">
        <f t="shared" si="53"/>
        <v>20</v>
      </c>
      <c r="FX18" s="64">
        <f t="shared" si="53"/>
        <v>20</v>
      </c>
      <c r="FY18" s="64">
        <f t="shared" si="53"/>
        <v>25</v>
      </c>
      <c r="FZ18" s="64">
        <f t="shared" si="53"/>
        <v>30</v>
      </c>
      <c r="GA18" s="64">
        <f t="shared" si="53"/>
        <v>30</v>
      </c>
      <c r="GB18" s="64">
        <f t="shared" si="53"/>
        <v>35</v>
      </c>
      <c r="GC18" s="64"/>
      <c r="GD18" s="72" t="s">
        <v>364</v>
      </c>
      <c r="GE18" s="64">
        <v>0</v>
      </c>
      <c r="GF18" s="64">
        <f>((SUM(GF16:GF17)/5)-1)*5</f>
        <v>0</v>
      </c>
      <c r="GG18" s="64">
        <v>0</v>
      </c>
      <c r="GH18" s="64">
        <f t="shared" ref="GH18:GQ18" si="54">((SUM(GH16:GH17)/5)-1)*5</f>
        <v>5</v>
      </c>
      <c r="GI18" s="64">
        <f t="shared" si="54"/>
        <v>10</v>
      </c>
      <c r="GJ18" s="64">
        <f t="shared" si="54"/>
        <v>15</v>
      </c>
      <c r="GK18" s="64">
        <f t="shared" si="54"/>
        <v>15</v>
      </c>
      <c r="GL18" s="64">
        <f t="shared" si="54"/>
        <v>20</v>
      </c>
      <c r="GM18" s="64">
        <f t="shared" si="54"/>
        <v>25</v>
      </c>
      <c r="GN18" s="64">
        <f t="shared" si="54"/>
        <v>25</v>
      </c>
      <c r="GO18" s="64">
        <f t="shared" si="54"/>
        <v>30</v>
      </c>
      <c r="GP18" s="64">
        <f t="shared" si="54"/>
        <v>35</v>
      </c>
      <c r="GQ18" s="64">
        <f t="shared" si="54"/>
        <v>40</v>
      </c>
      <c r="GR18" s="64"/>
      <c r="GS18" s="64"/>
      <c r="GT18" s="64"/>
      <c r="GU18" s="64"/>
      <c r="GV18" s="64"/>
      <c r="GW18" s="64"/>
      <c r="GX18" s="64"/>
      <c r="GY18" s="64"/>
      <c r="GZ18" s="64"/>
      <c r="HA18" s="64"/>
      <c r="HB18" s="64"/>
      <c r="HC18" s="64"/>
      <c r="HD18" s="64"/>
      <c r="HE18" s="64"/>
      <c r="HF18" s="64"/>
      <c r="HG18" s="71"/>
      <c r="HH18" s="64"/>
    </row>
    <row r="19" spans="1:216" x14ac:dyDescent="0.2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6" t="str">
        <f>INDEX(($AH$13:$AI$13),1,MATCH(E4,$AH$2:$AI$2,0))</f>
        <v>PUF</v>
      </c>
      <c r="M19" s="11">
        <f>INDEX(cenník!$C$2:$I$568,MATCH($L19,cenník!$B$2:$B$557,0),MATCH(M$2,cenník!$C$1:$I$1,0))</f>
        <v>897300</v>
      </c>
      <c r="N19" s="11" t="str">
        <f>INDEX(cenník!$C$2:$I$568,MATCH($L19,cenník!$B$2:$B$557,0),MATCH(N$2,cenník!$C$1:$I$1,0))</f>
        <v>ks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0</v>
      </c>
      <c r="P19" s="36">
        <f>INDEX(cenník!$C$2:$I$568,MATCH($L19,cenník!$B$2:$B$557,0),MATCH(P$2,cenník!$C$1:$I$1,0))</f>
        <v>0.56999999999999995</v>
      </c>
      <c r="Q19" s="36">
        <f t="shared" si="40"/>
        <v>0</v>
      </c>
      <c r="R19" s="37">
        <f t="shared" si="2"/>
        <v>0</v>
      </c>
      <c r="S19" s="36">
        <f t="shared" si="42"/>
        <v>0.56999999999999995</v>
      </c>
      <c r="T19" s="36">
        <f t="shared" si="41"/>
        <v>0</v>
      </c>
      <c r="U19" s="36">
        <f>INDEX(cenník!$C$2:$I$568,MATCH($L19,cenník!$B$2:$B$557,0),MATCH(U$2,cenník!$C$1:$I$1,0))*O19</f>
        <v>0</v>
      </c>
      <c r="V19" s="85"/>
      <c r="W19" s="64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64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64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64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64"/>
      <c r="AB19" s="64"/>
      <c r="AC19" s="64"/>
      <c r="AD19" s="64">
        <f>INDEX($AF$24:$AF$42,MATCH($E$3,$AE$24:$AE$42),1,1)</f>
        <v>1800</v>
      </c>
      <c r="AE19" s="64"/>
      <c r="AF19" s="64"/>
      <c r="AG19" s="64"/>
      <c r="AH19" s="64"/>
      <c r="AI19" s="64"/>
      <c r="AJ19" s="64" t="s">
        <v>85</v>
      </c>
      <c r="AK19" s="64" t="s">
        <v>86</v>
      </c>
      <c r="AL19" s="64"/>
      <c r="AM19" s="64"/>
      <c r="AN19" s="64"/>
      <c r="AO19" s="64"/>
      <c r="AP19" s="64"/>
      <c r="AQ19" s="64"/>
      <c r="AR19" s="64" t="s">
        <v>331</v>
      </c>
      <c r="AS19" s="85" t="s">
        <v>293</v>
      </c>
      <c r="AT19" s="85" t="s">
        <v>295</v>
      </c>
      <c r="AU19" s="64" t="s">
        <v>293</v>
      </c>
      <c r="AV19" s="64" t="s">
        <v>293</v>
      </c>
      <c r="AW19" s="64"/>
      <c r="AX19" s="64"/>
      <c r="AY19" s="64"/>
      <c r="AZ19" s="64"/>
      <c r="BA19" s="64"/>
      <c r="BB19" s="68" t="s">
        <v>331</v>
      </c>
      <c r="BC19" s="68" t="s">
        <v>291</v>
      </c>
      <c r="BD19" s="68" t="s">
        <v>84</v>
      </c>
      <c r="BE19" s="68" t="s">
        <v>84</v>
      </c>
      <c r="BF19" s="68" t="s">
        <v>84</v>
      </c>
      <c r="BG19" s="64"/>
      <c r="BH19" s="64"/>
      <c r="BI19" s="64"/>
      <c r="BJ19" s="64"/>
      <c r="BK19" s="64"/>
      <c r="BL19" s="64"/>
      <c r="BM19" s="64"/>
      <c r="BN19" s="64"/>
      <c r="BO19" s="64"/>
      <c r="BP19" s="64"/>
      <c r="BQ19" s="64"/>
      <c r="BR19" s="64"/>
      <c r="BS19" s="64"/>
      <c r="BT19" s="64"/>
      <c r="BU19" s="64"/>
      <c r="BV19" s="64"/>
      <c r="BW19" s="64"/>
      <c r="BX19" s="64"/>
      <c r="BY19" s="64"/>
      <c r="BZ19" s="64"/>
      <c r="CA19" s="64"/>
      <c r="CB19" s="64"/>
      <c r="CC19" s="64"/>
      <c r="CD19" s="64"/>
      <c r="CE19" s="64"/>
      <c r="CF19" s="64"/>
      <c r="CG19" s="64"/>
      <c r="CH19" s="64"/>
      <c r="CI19" s="64"/>
      <c r="CJ19" s="64"/>
      <c r="CK19" s="64"/>
      <c r="CL19" s="64"/>
      <c r="CM19" s="64"/>
      <c r="CN19" s="64"/>
      <c r="CO19" s="64"/>
      <c r="CP19" s="64"/>
      <c r="CQ19" s="64"/>
      <c r="CR19" s="64"/>
      <c r="CS19" s="64"/>
      <c r="CT19" s="64"/>
      <c r="CU19" s="64"/>
      <c r="CV19" s="64"/>
      <c r="CW19" s="64"/>
      <c r="CX19" s="64"/>
      <c r="CY19" s="64"/>
      <c r="CZ19" s="64"/>
      <c r="DA19" s="64"/>
      <c r="DB19" s="64"/>
      <c r="DC19" s="64"/>
      <c r="DD19" s="64"/>
      <c r="DE19" s="64"/>
      <c r="DF19" s="64"/>
      <c r="DG19" s="64"/>
      <c r="DH19" s="64"/>
      <c r="DI19" s="64"/>
      <c r="DJ19" s="64"/>
      <c r="DK19" s="64"/>
      <c r="DL19" s="64"/>
      <c r="DM19" s="64"/>
      <c r="DN19" s="64"/>
      <c r="DO19" s="64"/>
      <c r="DP19" s="64"/>
      <c r="DQ19" s="80"/>
      <c r="DR19" s="81">
        <v>30</v>
      </c>
      <c r="DS19" s="80">
        <v>5</v>
      </c>
      <c r="DT19" s="64"/>
      <c r="DU19" s="64"/>
      <c r="DV19" s="64"/>
      <c r="DW19" s="64"/>
      <c r="DX19" s="64"/>
      <c r="DY19" s="64"/>
      <c r="DZ19" s="64"/>
      <c r="EA19" s="64"/>
      <c r="EB19" s="64"/>
      <c r="EC19" s="64"/>
      <c r="ED19" s="64"/>
      <c r="EE19" s="64"/>
      <c r="EF19" s="64"/>
      <c r="EG19" s="64"/>
      <c r="EH19" s="64"/>
      <c r="EI19" s="64"/>
      <c r="EJ19" s="69"/>
      <c r="EK19" s="64"/>
      <c r="EL19" s="64"/>
      <c r="EM19" s="64"/>
      <c r="EN19" s="64"/>
      <c r="EO19" s="64"/>
      <c r="EP19" s="64"/>
      <c r="EQ19" s="64"/>
      <c r="ER19" s="64"/>
      <c r="ES19" s="64"/>
      <c r="ET19" s="64"/>
      <c r="EU19" s="64"/>
      <c r="EV19" s="64"/>
      <c r="EW19" s="64"/>
      <c r="EX19" s="64"/>
      <c r="EY19" s="64"/>
      <c r="EZ19" s="64"/>
      <c r="FA19" s="64"/>
      <c r="FB19" s="64"/>
      <c r="FC19" s="64"/>
      <c r="FD19" s="64"/>
      <c r="FE19" s="64"/>
      <c r="FF19" s="64"/>
      <c r="FG19" s="64"/>
      <c r="FH19" s="64"/>
      <c r="FI19" s="64"/>
      <c r="FJ19" s="64"/>
      <c r="FK19" s="64"/>
      <c r="FL19" s="64"/>
      <c r="FM19" s="64"/>
      <c r="FN19" s="64"/>
      <c r="FO19" s="64"/>
      <c r="FP19" s="64"/>
      <c r="FQ19" s="64"/>
      <c r="FR19" s="64"/>
      <c r="FS19" s="64"/>
      <c r="FT19" s="64"/>
      <c r="FU19" s="64"/>
      <c r="FV19" s="64"/>
      <c r="FW19" s="64"/>
      <c r="FX19" s="64"/>
      <c r="FY19" s="64"/>
      <c r="FZ19" s="64"/>
      <c r="GA19" s="64"/>
      <c r="GB19" s="64"/>
      <c r="GC19" s="64"/>
      <c r="GD19" s="64"/>
      <c r="GE19" s="64"/>
      <c r="GF19" s="64"/>
      <c r="GG19" s="64"/>
      <c r="GH19" s="64"/>
      <c r="GI19" s="64"/>
      <c r="GJ19" s="64"/>
      <c r="GK19" s="64"/>
      <c r="GL19" s="64"/>
      <c r="GM19" s="64"/>
      <c r="GN19" s="64"/>
      <c r="GO19" s="64"/>
      <c r="GP19" s="64"/>
      <c r="GQ19" s="64"/>
      <c r="GR19" s="64"/>
      <c r="GS19" s="64"/>
      <c r="GT19" s="64"/>
      <c r="GU19" s="64"/>
      <c r="GV19" s="64"/>
      <c r="GW19" s="64"/>
      <c r="GX19" s="64"/>
      <c r="GY19" s="64"/>
      <c r="GZ19" s="64"/>
      <c r="HA19" s="64"/>
      <c r="HB19" s="64"/>
      <c r="HC19" s="64"/>
      <c r="HD19" s="64"/>
      <c r="HE19" s="64"/>
      <c r="HF19" s="64"/>
      <c r="HG19" s="70"/>
      <c r="HH19" s="64"/>
    </row>
    <row r="20" spans="1:216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SAM8X25E</v>
      </c>
      <c r="M20" s="11">
        <f>INDEX(cenník!$C$2:$I$568,MATCH($L20,cenník!$B$2:$B$557,0),MATCH(M$2,cenník!$C$1:$I$1,0))</f>
        <v>898525</v>
      </c>
      <c r="N20" s="11" t="str">
        <f>INDEX(cenník!$C$2:$I$568,MATCH($L20,cenník!$B$2:$B$557,0),MATCH(N$2,cenník!$C$1:$I$1,0))</f>
        <v>ks</v>
      </c>
      <c r="O20" s="11">
        <f>SUM(O18:O19)</f>
        <v>0</v>
      </c>
      <c r="P20" s="36">
        <f>INDEX(cenník!$C$2:$I$568,MATCH($L20,cenník!$B$2:$B$557,0),MATCH(P$2,cenník!$C$1:$I$1,0))</f>
        <v>0.16</v>
      </c>
      <c r="Q20" s="36">
        <f t="shared" si="40"/>
        <v>0</v>
      </c>
      <c r="R20" s="37">
        <f t="shared" si="2"/>
        <v>0</v>
      </c>
      <c r="S20" s="36">
        <f t="shared" si="42"/>
        <v>0.16</v>
      </c>
      <c r="T20" s="36">
        <f t="shared" si="41"/>
        <v>0</v>
      </c>
      <c r="U20" s="36">
        <f>INDEX(cenník!$C$2:$I$568,MATCH($L20,cenník!$B$2:$B$557,0),MATCH(U$2,cenník!$C$1:$I$1,0))*O20</f>
        <v>0</v>
      </c>
      <c r="V20" s="85"/>
      <c r="AC20" s="64">
        <f>IF(AB2&lt;=5,1,IF(AND(AB2&gt;5,AB2&lt;=9),2,IF(AB2&gt;9,3,0)))</f>
        <v>1</v>
      </c>
      <c r="AD20" s="64"/>
      <c r="AE20" s="64"/>
      <c r="AF20" s="64"/>
      <c r="AG20" s="64"/>
      <c r="AH20" s="64"/>
      <c r="AI20" s="64"/>
      <c r="AJ20" s="64">
        <v>52</v>
      </c>
      <c r="AK20" s="64">
        <v>2300</v>
      </c>
      <c r="AL20" s="64"/>
      <c r="AM20" s="64"/>
      <c r="AN20" s="64"/>
      <c r="AO20" s="64"/>
      <c r="AP20" s="64"/>
      <c r="AQ20" s="64"/>
      <c r="AR20" s="64"/>
      <c r="AS20" s="64"/>
      <c r="AT20" s="64"/>
      <c r="AU20" s="64"/>
      <c r="AV20" s="64"/>
      <c r="AW20" s="64"/>
      <c r="AX20" s="64"/>
      <c r="AY20" s="64"/>
      <c r="AZ20" s="64"/>
      <c r="BA20" s="64"/>
      <c r="BB20" s="64"/>
      <c r="BC20" s="64"/>
      <c r="BD20" s="64"/>
      <c r="BE20" s="64"/>
      <c r="BF20" s="64"/>
      <c r="BG20" s="64"/>
      <c r="BH20" s="64"/>
      <c r="BI20" s="64"/>
      <c r="BJ20" s="64"/>
      <c r="BK20" s="64"/>
      <c r="BL20" s="64"/>
      <c r="BM20" s="64"/>
      <c r="BN20" s="64"/>
      <c r="BO20" s="64"/>
      <c r="BP20" s="64"/>
      <c r="BQ20" s="64"/>
      <c r="BR20" s="64"/>
      <c r="BS20" s="64"/>
      <c r="BT20" s="64"/>
      <c r="BU20" s="64"/>
      <c r="BV20" s="64"/>
      <c r="BW20" s="64"/>
      <c r="BX20" s="64"/>
      <c r="BY20" s="64"/>
      <c r="BZ20" s="64"/>
      <c r="CA20" s="64"/>
      <c r="CB20" s="64"/>
      <c r="CC20" s="64"/>
      <c r="CD20" s="64"/>
      <c r="CE20" s="64"/>
      <c r="CF20" s="64"/>
      <c r="CG20" s="64"/>
      <c r="CH20" s="64"/>
      <c r="CI20" s="64"/>
      <c r="CJ20" s="64"/>
      <c r="CK20" s="64"/>
      <c r="CL20" s="64"/>
      <c r="CM20" s="64"/>
      <c r="CN20" s="64"/>
      <c r="CO20" s="64"/>
      <c r="CP20" s="64"/>
      <c r="CQ20" s="64"/>
      <c r="CR20" s="64"/>
      <c r="CS20" s="64"/>
      <c r="CT20" s="64"/>
      <c r="CU20" s="64"/>
      <c r="CV20" s="64"/>
      <c r="CW20" s="64"/>
      <c r="CX20" s="64"/>
      <c r="CY20" s="64"/>
      <c r="CZ20" s="64"/>
      <c r="DA20" s="64"/>
      <c r="DB20" s="64"/>
      <c r="DC20" s="64"/>
      <c r="DD20" s="64"/>
      <c r="DE20" s="64"/>
      <c r="DF20" s="64"/>
      <c r="DG20" s="64"/>
      <c r="DH20" s="64"/>
      <c r="DI20" s="64"/>
      <c r="DJ20" s="64"/>
      <c r="DK20" s="64"/>
      <c r="DL20" s="64"/>
      <c r="DM20" s="64"/>
      <c r="DN20" s="64"/>
      <c r="DO20" s="64"/>
      <c r="DP20" s="64"/>
      <c r="DQ20" s="80"/>
      <c r="DR20" s="81">
        <v>32</v>
      </c>
      <c r="DS20" s="80"/>
      <c r="DT20" s="64"/>
      <c r="DU20" s="64"/>
      <c r="DV20" s="64"/>
      <c r="DW20" s="64"/>
      <c r="DX20" s="64"/>
      <c r="DY20" s="64"/>
      <c r="DZ20" s="64"/>
      <c r="EA20" s="64"/>
      <c r="EB20" s="64"/>
      <c r="EC20" s="64"/>
      <c r="ED20" s="64"/>
      <c r="EE20" s="64"/>
      <c r="EF20" s="64"/>
      <c r="EG20" s="64"/>
      <c r="EH20" s="64"/>
      <c r="EI20" s="64"/>
      <c r="EJ20" s="69"/>
      <c r="EK20" s="64"/>
      <c r="EL20" s="64"/>
      <c r="EM20" s="64"/>
      <c r="EN20" s="64"/>
      <c r="EO20" s="64"/>
      <c r="EP20" s="64"/>
      <c r="EQ20" s="64"/>
      <c r="ER20" s="64"/>
      <c r="ES20" s="64"/>
      <c r="ET20" s="64"/>
      <c r="EU20" s="64"/>
      <c r="EV20" s="64"/>
      <c r="EW20" s="64"/>
      <c r="EX20" s="64"/>
      <c r="EY20" s="64"/>
      <c r="EZ20" s="64"/>
      <c r="FA20" s="64"/>
      <c r="FB20" s="64"/>
      <c r="FC20" s="64"/>
      <c r="FD20" s="64"/>
      <c r="FE20" s="64"/>
      <c r="FF20" s="64"/>
      <c r="FG20" s="64"/>
      <c r="FH20" s="64"/>
      <c r="FI20" s="64"/>
      <c r="FJ20" s="64"/>
      <c r="FK20" s="64"/>
      <c r="FL20" s="64"/>
      <c r="FM20" s="64"/>
      <c r="FN20" s="64"/>
      <c r="FO20" s="64"/>
      <c r="FP20" s="64"/>
      <c r="FQ20" s="64"/>
      <c r="FR20" s="64"/>
      <c r="FS20" s="64"/>
      <c r="FT20" s="64"/>
      <c r="FU20" s="64"/>
      <c r="FV20" s="64"/>
      <c r="FW20" s="64"/>
      <c r="FX20" s="64"/>
      <c r="FY20" s="64"/>
      <c r="FZ20" s="64"/>
      <c r="GA20" s="64"/>
      <c r="GB20" s="64"/>
      <c r="GC20" s="64"/>
      <c r="GD20" s="64"/>
      <c r="GE20" s="64"/>
      <c r="GF20" s="64"/>
      <c r="GG20" s="64"/>
      <c r="GH20" s="64"/>
      <c r="GI20" s="64"/>
      <c r="GJ20" s="64"/>
      <c r="GK20" s="64"/>
      <c r="GL20" s="64"/>
      <c r="GM20" s="64"/>
      <c r="GN20" s="64"/>
      <c r="GO20" s="64"/>
      <c r="GP20" s="64"/>
      <c r="GQ20" s="64"/>
      <c r="GR20" s="64"/>
      <c r="GS20" s="64"/>
      <c r="GT20" s="64"/>
      <c r="GU20" s="64"/>
      <c r="GV20" s="64"/>
      <c r="GW20" s="64"/>
      <c r="GX20" s="64"/>
      <c r="GY20" s="64"/>
      <c r="GZ20" s="64"/>
      <c r="HA20" s="64"/>
      <c r="HB20" s="64"/>
      <c r="HC20" s="64"/>
      <c r="HD20" s="64"/>
      <c r="HE20" s="64"/>
      <c r="HF20" s="64"/>
      <c r="HG20" s="70"/>
      <c r="HH20" s="64"/>
    </row>
    <row r="21" spans="1:216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244</v>
      </c>
      <c r="M21" s="11">
        <f>INDEX(cenník!$C$2:$I$568,MATCH($L21,cenník!$B$2:$B$557,0),MATCH(M$2,cenník!$C$1:$I$1,0))</f>
        <v>166794</v>
      </c>
      <c r="N21" s="11" t="str">
        <f>INDEX(cenník!$C$2:$I$568,MATCH($L21,cenník!$B$2:$B$557,0),MATCH(N$2,cenník!$C$1:$I$1,0))</f>
        <v>100ks</v>
      </c>
      <c r="O21" s="11">
        <f>ROUNDUP(O20/100,0)</f>
        <v>0</v>
      </c>
      <c r="P21" s="36">
        <f>INDEX(cenník!$C$2:$I$568,MATCH($L21,cenník!$B$2:$B$557,0),MATCH(P$2,cenník!$C$1:$I$1,0))</f>
        <v>1.38</v>
      </c>
      <c r="Q21" s="36">
        <f t="shared" si="40"/>
        <v>0</v>
      </c>
      <c r="R21" s="37">
        <f t="shared" si="2"/>
        <v>0</v>
      </c>
      <c r="S21" s="36">
        <f t="shared" si="42"/>
        <v>1.38</v>
      </c>
      <c r="T21" s="36">
        <f t="shared" si="41"/>
        <v>0</v>
      </c>
      <c r="U21" s="36">
        <f>INDEX(cenník!$C$2:$I$568,MATCH($L21,cenník!$B$2:$B$557,0),MATCH(U$2,cenník!$C$1:$I$1,0))*O21</f>
        <v>0</v>
      </c>
      <c r="V21" s="85"/>
      <c r="W21" s="68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AC21" s="64"/>
      <c r="AD21" s="64"/>
      <c r="AE21" s="64"/>
      <c r="AF21" s="64"/>
      <c r="AG21" s="64"/>
      <c r="AH21" s="64"/>
      <c r="AI21" s="64"/>
      <c r="AJ21" s="64">
        <f>((AJ20/4)*AK20)+(((AJ20/4)-1)*20)-700</f>
        <v>29440</v>
      </c>
      <c r="AK21" s="64" t="s">
        <v>91</v>
      </c>
      <c r="AL21" s="64" t="s">
        <v>89</v>
      </c>
      <c r="AM21" s="64" t="s">
        <v>88</v>
      </c>
      <c r="AN21" s="64"/>
      <c r="AO21" s="64" t="s">
        <v>90</v>
      </c>
      <c r="AP21" s="64"/>
      <c r="AQ21" s="64"/>
      <c r="AR21" s="83" t="s">
        <v>184</v>
      </c>
      <c r="AS21" s="64"/>
      <c r="AT21" s="64"/>
      <c r="AU21" s="64"/>
      <c r="AV21" s="64"/>
      <c r="AW21" s="64"/>
      <c r="AX21" s="64"/>
      <c r="AY21" s="64"/>
      <c r="AZ21" s="64"/>
      <c r="BA21" s="64"/>
      <c r="BB21" s="64"/>
      <c r="BC21" s="64"/>
      <c r="BD21" s="64"/>
      <c r="BE21" s="64"/>
      <c r="BF21" s="64"/>
      <c r="BG21" s="64"/>
      <c r="BH21" s="64"/>
      <c r="BI21" s="64"/>
      <c r="BJ21" s="64"/>
      <c r="BK21" s="64"/>
      <c r="BL21" s="64"/>
      <c r="BM21" s="64"/>
      <c r="BN21" s="64"/>
      <c r="BO21" s="64"/>
      <c r="BP21" s="64"/>
      <c r="BQ21" s="64"/>
      <c r="BR21" s="64"/>
      <c r="BS21" s="64"/>
      <c r="BT21" s="64"/>
      <c r="BU21" s="64"/>
      <c r="BV21" s="64"/>
      <c r="BW21" s="64"/>
      <c r="BX21" s="64"/>
      <c r="BY21" s="64"/>
      <c r="BZ21" s="64"/>
      <c r="CA21" s="64"/>
      <c r="CB21" s="64"/>
      <c r="CC21" s="64"/>
      <c r="CD21" s="64"/>
      <c r="CE21" s="64"/>
      <c r="CF21" s="64"/>
      <c r="CG21" s="64"/>
      <c r="CH21" s="64"/>
      <c r="CI21" s="64"/>
      <c r="CJ21" s="64"/>
      <c r="CK21" s="64"/>
      <c r="CL21" s="64"/>
      <c r="CM21" s="64"/>
      <c r="CN21" s="64"/>
      <c r="CO21" s="64"/>
      <c r="CP21" s="64"/>
      <c r="CQ21" s="64"/>
      <c r="CR21" s="64"/>
      <c r="CS21" s="64"/>
      <c r="CT21" s="64"/>
      <c r="CU21" s="64"/>
      <c r="CV21" s="64"/>
      <c r="CW21" s="64"/>
      <c r="CX21" s="64"/>
      <c r="CY21" s="64"/>
      <c r="CZ21" s="64"/>
      <c r="DA21" s="64"/>
      <c r="DB21" s="64"/>
      <c r="DC21" s="64"/>
      <c r="DD21" s="64"/>
      <c r="DE21" s="64"/>
      <c r="DF21" s="64"/>
      <c r="DG21" s="64"/>
      <c r="DH21" s="64"/>
      <c r="DI21" s="64"/>
      <c r="DJ21" s="64"/>
      <c r="DK21" s="64"/>
      <c r="DL21" s="64"/>
      <c r="DM21" s="64"/>
      <c r="DN21" s="64"/>
      <c r="DO21" s="64"/>
      <c r="DP21" s="64"/>
      <c r="DQ21" s="80"/>
      <c r="DR21" s="81">
        <v>35</v>
      </c>
      <c r="DS21" s="80">
        <v>1</v>
      </c>
      <c r="DT21" s="64"/>
      <c r="DU21" s="64"/>
      <c r="DV21" s="64"/>
      <c r="DW21" s="64"/>
      <c r="DX21" s="64"/>
      <c r="DY21" s="64"/>
      <c r="DZ21" s="64"/>
      <c r="EA21" s="64"/>
      <c r="EB21" s="64"/>
      <c r="EC21" s="64"/>
      <c r="ED21" s="64"/>
      <c r="EE21" s="64"/>
      <c r="EF21" s="64"/>
      <c r="EG21" s="64"/>
      <c r="EH21" s="64"/>
      <c r="EI21" s="64"/>
      <c r="EJ21" s="69"/>
      <c r="EK21" s="64"/>
      <c r="EL21" s="64"/>
      <c r="EM21" s="64"/>
      <c r="EN21" s="64"/>
      <c r="EO21" s="64"/>
      <c r="EP21" s="64"/>
      <c r="EQ21" s="64"/>
      <c r="ER21" s="64"/>
      <c r="ES21" s="64"/>
      <c r="ET21" s="64"/>
      <c r="EU21" s="64"/>
      <c r="EV21" s="64"/>
      <c r="EW21" s="64"/>
      <c r="EX21" s="64"/>
      <c r="EY21" s="64"/>
      <c r="EZ21" s="64"/>
      <c r="FA21" s="64"/>
      <c r="FB21" s="64"/>
      <c r="FC21" s="64"/>
      <c r="FD21" s="64"/>
      <c r="FE21" s="64"/>
      <c r="FF21" s="64"/>
      <c r="FG21" s="64"/>
      <c r="FH21" s="64"/>
      <c r="FI21" s="64"/>
      <c r="FJ21" s="64"/>
      <c r="FK21" s="64"/>
      <c r="FL21" s="64"/>
      <c r="FM21" s="64"/>
      <c r="FN21" s="64"/>
      <c r="FO21" s="64"/>
      <c r="FP21" s="64"/>
      <c r="FQ21" s="64"/>
      <c r="FR21" s="64"/>
      <c r="FS21" s="64"/>
      <c r="FT21" s="64"/>
      <c r="FU21" s="64"/>
      <c r="FV21" s="64"/>
      <c r="FW21" s="64"/>
      <c r="FX21" s="64"/>
      <c r="FY21" s="64"/>
      <c r="FZ21" s="64"/>
      <c r="GA21" s="64"/>
      <c r="GB21" s="64"/>
      <c r="GC21" s="64"/>
      <c r="GD21" s="64"/>
      <c r="GE21" s="64"/>
      <c r="GF21" s="64"/>
      <c r="GG21" s="64"/>
      <c r="GH21" s="64"/>
      <c r="GI21" s="64"/>
      <c r="GJ21" s="64"/>
      <c r="GK21" s="64"/>
      <c r="GL21" s="64"/>
      <c r="GM21" s="64"/>
      <c r="GN21" s="64"/>
      <c r="GO21" s="64"/>
      <c r="GP21" s="64"/>
      <c r="GQ21" s="64"/>
      <c r="GR21" s="64"/>
      <c r="GS21" s="64"/>
      <c r="GT21" s="64"/>
      <c r="GU21" s="64"/>
      <c r="GV21" s="64"/>
      <c r="GW21" s="64"/>
      <c r="GX21" s="64"/>
      <c r="GY21" s="64"/>
      <c r="GZ21" s="64"/>
      <c r="HA21" s="64"/>
      <c r="HB21" s="64"/>
      <c r="HC21" s="64"/>
      <c r="HD21" s="64"/>
      <c r="HE21" s="64"/>
      <c r="HF21" s="64"/>
      <c r="HG21" s="70"/>
      <c r="HH21" s="64"/>
    </row>
    <row r="22" spans="1:216" ht="15.75" thickBo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243</v>
      </c>
      <c r="M22" s="11">
        <f>INDEX(cenník!$C$2:$I$568,MATCH($L22,cenník!$B$2:$B$557,0),MATCH(M$2,cenník!$C$1:$I$1,0))</f>
        <v>660245</v>
      </c>
      <c r="N22" s="11" t="str">
        <f>INDEX(cenník!$C$2:$I$568,MATCH($L22,cenník!$B$2:$B$557,0),MATCH(N$2,cenník!$C$1:$I$1,0))</f>
        <v>ks</v>
      </c>
      <c r="O22" s="11">
        <f>SUM(O18:O19)</f>
        <v>0</v>
      </c>
      <c r="P22" s="36">
        <f>INDEX(cenník!$C$2:$I$568,MATCH($L22,cenník!$B$2:$B$557,0),MATCH(P$2,cenník!$C$1:$I$1,0))</f>
        <v>0.55000000000000004</v>
      </c>
      <c r="Q22" s="36">
        <f t="shared" si="40"/>
        <v>0</v>
      </c>
      <c r="R22" s="37">
        <f t="shared" si="2"/>
        <v>0</v>
      </c>
      <c r="S22" s="36">
        <f t="shared" si="42"/>
        <v>0.55000000000000004</v>
      </c>
      <c r="T22" s="36">
        <f t="shared" si="41"/>
        <v>0</v>
      </c>
      <c r="U22" s="36">
        <f>INDEX(cenník!$C$2:$I$568,MATCH($L22,cenník!$B$2:$B$557,0),MATCH(U$2,cenník!$C$1:$I$1,0))*O22</f>
        <v>0</v>
      </c>
      <c r="V22" s="85"/>
      <c r="AC22" s="64"/>
      <c r="AD22" s="64"/>
      <c r="AE22" s="64"/>
      <c r="AF22" s="64"/>
      <c r="AG22" s="64"/>
      <c r="AH22" s="64"/>
      <c r="AI22" s="64" t="s">
        <v>104</v>
      </c>
      <c r="AJ22" s="64">
        <v>6600</v>
      </c>
      <c r="AK22" s="64">
        <v>4</v>
      </c>
      <c r="AL22" s="64">
        <f>AJ22*AK22</f>
        <v>26400</v>
      </c>
      <c r="AM22" s="64">
        <v>191.1</v>
      </c>
      <c r="AN22" s="64">
        <f>AK22*AM22</f>
        <v>764.4</v>
      </c>
      <c r="AO22" s="64">
        <f>AK22*5</f>
        <v>20</v>
      </c>
      <c r="AP22" s="64"/>
      <c r="AQ22" s="64"/>
      <c r="AR22" s="64" t="s">
        <v>333</v>
      </c>
      <c r="AS22" s="64">
        <v>1</v>
      </c>
      <c r="AT22" s="64">
        <v>2</v>
      </c>
      <c r="AU22" s="64">
        <v>3</v>
      </c>
      <c r="AV22" s="64">
        <v>4</v>
      </c>
      <c r="AW22" s="64">
        <v>5</v>
      </c>
      <c r="AX22" s="64"/>
      <c r="AY22" s="64"/>
      <c r="AZ22" s="64"/>
      <c r="BA22" s="64"/>
      <c r="BB22" s="64"/>
      <c r="BC22" s="64"/>
      <c r="BD22" s="64"/>
      <c r="BE22" s="64"/>
      <c r="BF22" s="64"/>
      <c r="BG22" s="64"/>
      <c r="BH22" s="64"/>
      <c r="BI22" s="64"/>
      <c r="BJ22" s="64"/>
      <c r="BK22" s="64"/>
      <c r="BL22" s="64"/>
      <c r="BM22" s="64"/>
      <c r="BN22" s="64"/>
      <c r="BO22" s="64"/>
      <c r="BP22" s="64"/>
      <c r="BQ22" s="64"/>
      <c r="BR22" s="64"/>
      <c r="BS22" s="64"/>
      <c r="BT22" s="64"/>
      <c r="BU22" s="64"/>
      <c r="BV22" s="64"/>
      <c r="BW22" s="64"/>
      <c r="BX22" s="64"/>
      <c r="BY22" s="64"/>
      <c r="BZ22" s="64"/>
      <c r="CA22" s="64"/>
      <c r="CB22" s="64"/>
      <c r="CC22" s="64"/>
      <c r="CD22" s="64"/>
      <c r="CE22" s="64"/>
      <c r="CF22" s="64"/>
      <c r="CG22" s="64"/>
      <c r="CH22" s="64"/>
      <c r="CI22" s="64"/>
      <c r="CJ22" s="64"/>
      <c r="CK22" s="64"/>
      <c r="CL22" s="64"/>
      <c r="CM22" s="64"/>
      <c r="CN22" s="64"/>
      <c r="CO22" s="64"/>
      <c r="CP22" s="64"/>
      <c r="CQ22" s="64"/>
      <c r="CR22" s="64"/>
      <c r="CS22" s="64"/>
      <c r="CT22" s="64"/>
      <c r="CU22" s="64"/>
      <c r="CV22" s="64"/>
      <c r="CW22" s="64"/>
      <c r="CX22" s="64"/>
      <c r="CY22" s="64"/>
      <c r="CZ22" s="64"/>
      <c r="DA22" s="64"/>
      <c r="DB22" s="64"/>
      <c r="DC22" s="64"/>
      <c r="DD22" s="64"/>
      <c r="DE22" s="64"/>
      <c r="DF22" s="64"/>
      <c r="DG22" s="64"/>
      <c r="DH22" s="64"/>
      <c r="DI22" s="64"/>
      <c r="DJ22" s="64"/>
      <c r="DK22" s="64"/>
      <c r="DL22" s="64"/>
      <c r="DM22" s="64"/>
      <c r="DN22" s="64"/>
      <c r="DO22" s="64"/>
      <c r="DP22" s="64"/>
      <c r="DQ22" s="80"/>
      <c r="DR22" s="81">
        <v>38</v>
      </c>
      <c r="DS22" s="80">
        <v>2</v>
      </c>
      <c r="DT22" s="64"/>
      <c r="DU22" s="64"/>
      <c r="DV22" s="64"/>
      <c r="DW22" s="64"/>
      <c r="DX22" s="64"/>
      <c r="DY22" s="64"/>
      <c r="DZ22" s="64"/>
      <c r="EA22" s="64"/>
      <c r="EB22" s="64"/>
      <c r="EC22" s="64"/>
      <c r="ED22" s="64"/>
      <c r="EE22" s="64"/>
      <c r="EF22" s="64"/>
      <c r="EG22" s="64"/>
      <c r="EH22" s="64"/>
      <c r="EI22" s="64"/>
      <c r="EJ22" s="73"/>
      <c r="EK22" s="74"/>
      <c r="EL22" s="74"/>
      <c r="EM22" s="74"/>
      <c r="EN22" s="74"/>
      <c r="EO22" s="74"/>
      <c r="EP22" s="74"/>
      <c r="EQ22" s="74"/>
      <c r="ER22" s="74"/>
      <c r="ES22" s="74"/>
      <c r="ET22" s="74"/>
      <c r="EU22" s="74"/>
      <c r="EV22" s="74"/>
      <c r="EW22" s="74"/>
      <c r="EX22" s="74"/>
      <c r="EY22" s="74"/>
      <c r="EZ22" s="74"/>
      <c r="FA22" s="74"/>
      <c r="FB22" s="74"/>
      <c r="FC22" s="74"/>
      <c r="FD22" s="74"/>
      <c r="FE22" s="74"/>
      <c r="FF22" s="74"/>
      <c r="FG22" s="74"/>
      <c r="FH22" s="74"/>
      <c r="FI22" s="74"/>
      <c r="FJ22" s="74"/>
      <c r="FK22" s="74"/>
      <c r="FL22" s="74"/>
      <c r="FM22" s="74"/>
      <c r="FN22" s="74"/>
      <c r="FO22" s="74"/>
      <c r="FP22" s="74"/>
      <c r="FQ22" s="74"/>
      <c r="FR22" s="74"/>
      <c r="FS22" s="74"/>
      <c r="FT22" s="74"/>
      <c r="FU22" s="74"/>
      <c r="FV22" s="74"/>
      <c r="FW22" s="74"/>
      <c r="FX22" s="74"/>
      <c r="FY22" s="74"/>
      <c r="FZ22" s="74"/>
      <c r="GA22" s="74"/>
      <c r="GB22" s="74"/>
      <c r="GC22" s="74"/>
      <c r="GD22" s="74"/>
      <c r="GE22" s="74"/>
      <c r="GF22" s="74"/>
      <c r="GG22" s="74"/>
      <c r="GH22" s="74"/>
      <c r="GI22" s="74"/>
      <c r="GJ22" s="74"/>
      <c r="GK22" s="74"/>
      <c r="GL22" s="74"/>
      <c r="GM22" s="74"/>
      <c r="GN22" s="74"/>
      <c r="GO22" s="74"/>
      <c r="GP22" s="74"/>
      <c r="GQ22" s="74"/>
      <c r="GR22" s="74"/>
      <c r="GS22" s="74"/>
      <c r="GT22" s="74"/>
      <c r="GU22" s="74"/>
      <c r="GV22" s="74"/>
      <c r="GW22" s="74"/>
      <c r="GX22" s="74"/>
      <c r="GY22" s="74"/>
      <c r="GZ22" s="74"/>
      <c r="HA22" s="74"/>
      <c r="HB22" s="74"/>
      <c r="HC22" s="74"/>
      <c r="HD22" s="74"/>
      <c r="HE22" s="74"/>
      <c r="HF22" s="74"/>
      <c r="HG22" s="75"/>
      <c r="HH22" s="64"/>
    </row>
    <row r="23" spans="1:216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371</v>
      </c>
      <c r="M23" s="11">
        <f>INDEX(cenník!$C$2:$I$568,MATCH($L23,cenník!$B$2:$B$557,0),MATCH(M$2,cenník!$C$1:$I$1,0))</f>
        <v>6510443</v>
      </c>
      <c r="N23" s="11" t="str">
        <f>INDEX(cenník!$C$2:$I$568,MATCH($L23,cenník!$B$2:$B$557,0),MATCH(N$2,cenník!$C$1:$I$1,0))</f>
        <v>100ks</v>
      </c>
      <c r="O23" s="11">
        <f>O24</f>
        <v>0</v>
      </c>
      <c r="P23" s="36">
        <f>INDEX(cenník!$C$2:$I$568,MATCH($L23,cenník!$B$2:$B$557,0),MATCH(P$2,cenník!$C$1:$I$1,0))</f>
        <v>15.05</v>
      </c>
      <c r="Q23" s="36">
        <f t="shared" ref="Q23" si="55">O23*P23</f>
        <v>0</v>
      </c>
      <c r="R23" s="37">
        <f t="shared" si="2"/>
        <v>0</v>
      </c>
      <c r="S23" s="36">
        <f t="shared" ref="S23" si="56">P23*((100-$E$7)/100)</f>
        <v>15.05</v>
      </c>
      <c r="T23" s="36">
        <f t="shared" ref="T23" si="57">O23*S23</f>
        <v>0</v>
      </c>
      <c r="U23" s="36">
        <f>INDEX(cenník!$C$2:$I$568,MATCH($L23,cenník!$B$2:$B$557,0),MATCH(U$2,cenník!$C$1:$I$1,0))*O23</f>
        <v>0</v>
      </c>
      <c r="V23" s="85"/>
      <c r="AC23" s="64"/>
      <c r="AD23" s="64"/>
      <c r="AE23" s="64"/>
      <c r="AF23" s="64"/>
      <c r="AG23" s="64"/>
      <c r="AH23" s="64"/>
      <c r="AI23" s="64" t="s">
        <v>103</v>
      </c>
      <c r="AJ23" s="64">
        <v>4400</v>
      </c>
      <c r="AK23" s="64">
        <v>0</v>
      </c>
      <c r="AL23" s="64">
        <f>AJ23*AK23</f>
        <v>0</v>
      </c>
      <c r="AM23" s="64">
        <v>127.4</v>
      </c>
      <c r="AN23" s="64">
        <f>AK23*AM23</f>
        <v>0</v>
      </c>
      <c r="AO23" s="64">
        <f>AK23*5</f>
        <v>0</v>
      </c>
      <c r="AP23" s="64"/>
      <c r="AQ23" s="64"/>
      <c r="AR23" s="64">
        <v>1</v>
      </c>
      <c r="AS23" s="64">
        <v>2900</v>
      </c>
      <c r="AT23" s="64">
        <v>2900</v>
      </c>
      <c r="AU23" s="64">
        <v>2700</v>
      </c>
      <c r="AV23" s="64">
        <v>2700</v>
      </c>
      <c r="AW23" s="64" t="s">
        <v>522</v>
      </c>
      <c r="AX23" s="64"/>
      <c r="AY23" s="64"/>
      <c r="AZ23" s="64"/>
      <c r="BA23" s="64"/>
      <c r="BB23" s="64"/>
      <c r="BC23" s="64"/>
      <c r="BD23" s="64"/>
      <c r="BE23" s="64"/>
      <c r="BF23" s="64"/>
      <c r="BG23" s="64"/>
      <c r="BH23" s="64"/>
      <c r="BI23" s="64"/>
      <c r="BJ23" s="64"/>
      <c r="BK23" s="64"/>
      <c r="BL23" s="64"/>
      <c r="BM23" s="64"/>
      <c r="BN23" s="64"/>
      <c r="BO23" s="64"/>
      <c r="BP23" s="64"/>
      <c r="BQ23" s="64"/>
      <c r="BR23" s="64"/>
      <c r="BS23" s="64"/>
      <c r="BT23" s="64"/>
      <c r="BU23" s="64"/>
      <c r="BV23" s="64"/>
      <c r="BW23" s="64"/>
      <c r="BX23" s="64"/>
      <c r="BY23" s="64"/>
      <c r="BZ23" s="64"/>
      <c r="CA23" s="64"/>
      <c r="CB23" s="64"/>
      <c r="CC23" s="64"/>
      <c r="CD23" s="64"/>
      <c r="CE23" s="64"/>
      <c r="CF23" s="64"/>
      <c r="CG23" s="64"/>
      <c r="CH23" s="64"/>
      <c r="CI23" s="64"/>
      <c r="CJ23" s="64"/>
      <c r="CK23" s="64"/>
      <c r="CL23" s="64"/>
      <c r="CM23" s="64"/>
      <c r="CN23" s="64"/>
      <c r="CO23" s="64"/>
      <c r="CP23" s="64"/>
      <c r="CQ23" s="64"/>
      <c r="CR23" s="64"/>
      <c r="CS23" s="64"/>
      <c r="CT23" s="64"/>
      <c r="CU23" s="64"/>
      <c r="CV23" s="64"/>
      <c r="CW23" s="64"/>
      <c r="CX23" s="64"/>
      <c r="CY23" s="64"/>
      <c r="CZ23" s="64"/>
      <c r="DA23" s="64"/>
      <c r="DB23" s="64"/>
      <c r="DC23" s="64"/>
      <c r="DD23" s="64"/>
      <c r="DE23" s="64"/>
      <c r="DF23" s="64"/>
      <c r="DG23" s="64"/>
      <c r="DH23" s="64"/>
      <c r="DI23" s="64"/>
      <c r="DJ23" s="64"/>
      <c r="DK23" s="64"/>
      <c r="DL23" s="64"/>
      <c r="DM23" s="64"/>
      <c r="DN23" s="64"/>
      <c r="DO23" s="64"/>
      <c r="DP23" s="64"/>
      <c r="DQ23" s="80"/>
      <c r="DR23" s="81">
        <v>40</v>
      </c>
      <c r="DS23" s="80" t="s">
        <v>339</v>
      </c>
      <c r="DT23" s="64"/>
      <c r="DU23" s="64"/>
      <c r="DV23" s="64"/>
      <c r="DW23" s="64"/>
      <c r="DX23" s="64"/>
      <c r="DY23" s="64"/>
      <c r="DZ23" s="64"/>
      <c r="EA23" s="64"/>
      <c r="EB23" s="64"/>
      <c r="EC23" s="64"/>
      <c r="ED23" s="64"/>
      <c r="EE23" s="64"/>
      <c r="EF23" s="64"/>
      <c r="EG23" s="64"/>
      <c r="EH23" s="64"/>
      <c r="EI23" s="64"/>
      <c r="EJ23" s="64"/>
      <c r="EK23" s="64"/>
      <c r="EL23" s="64"/>
      <c r="EM23" s="64"/>
      <c r="EN23" s="64"/>
      <c r="EO23" s="64"/>
      <c r="EP23" s="64"/>
      <c r="EQ23" s="64"/>
      <c r="ER23" s="64"/>
      <c r="ES23" s="64"/>
      <c r="ET23" s="64"/>
      <c r="EU23" s="64"/>
      <c r="EV23" s="64"/>
      <c r="EW23" s="64"/>
      <c r="EX23" s="64"/>
      <c r="EY23" s="64"/>
      <c r="EZ23" s="64"/>
      <c r="FA23" s="64"/>
      <c r="FB23" s="64"/>
      <c r="FC23" s="64"/>
      <c r="FD23" s="64"/>
      <c r="FE23" s="64"/>
      <c r="FF23" s="64"/>
      <c r="FG23" s="64"/>
      <c r="FH23" s="64"/>
      <c r="FI23" s="64"/>
      <c r="FJ23" s="64"/>
      <c r="FK23" s="64"/>
      <c r="FL23" s="64"/>
      <c r="FM23" s="64"/>
      <c r="FN23" s="64"/>
      <c r="FO23" s="64"/>
      <c r="FP23" s="64"/>
      <c r="FQ23" s="64"/>
      <c r="FR23" s="64"/>
      <c r="FS23" s="64"/>
      <c r="FT23" s="64"/>
      <c r="FU23" s="64"/>
      <c r="FV23" s="64"/>
      <c r="FW23" s="64"/>
      <c r="FX23" s="64"/>
      <c r="FY23" s="64"/>
      <c r="FZ23" s="64"/>
      <c r="GA23" s="64"/>
      <c r="GB23" s="64"/>
      <c r="GC23" s="64"/>
      <c r="GD23" s="64"/>
      <c r="GE23" s="64"/>
      <c r="GF23" s="64"/>
      <c r="GG23" s="64"/>
      <c r="GH23" s="64"/>
      <c r="GI23" s="64"/>
      <c r="GJ23" s="64"/>
      <c r="GK23" s="64"/>
      <c r="GL23" s="64"/>
      <c r="GM23" s="64"/>
      <c r="GN23" s="64"/>
      <c r="GO23" s="64"/>
      <c r="GP23" s="64"/>
      <c r="GQ23" s="64"/>
      <c r="GR23" s="64"/>
      <c r="GS23" s="64"/>
      <c r="GT23" s="64"/>
      <c r="GU23" s="64"/>
      <c r="GV23" s="64"/>
      <c r="GW23" s="64"/>
      <c r="GX23" s="64"/>
      <c r="GY23" s="64"/>
      <c r="GZ23" s="64"/>
      <c r="HA23" s="64"/>
      <c r="HB23" s="64"/>
      <c r="HC23" s="64"/>
      <c r="HD23" s="64"/>
      <c r="HE23" s="64"/>
      <c r="HF23" s="64"/>
      <c r="HG23" s="64"/>
      <c r="HH23" s="64"/>
    </row>
    <row r="24" spans="1:216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150</v>
      </c>
      <c r="M24" s="11">
        <f>INDEX(cenník!$C$2:$I$568,MATCH($L24,cenník!$B$2:$B$557,0),MATCH(M$2,cenník!$C$1:$I$1,0))</f>
        <v>651643</v>
      </c>
      <c r="N24" s="11" t="str">
        <f>INDEX(cenník!$C$2:$I$568,MATCH($L24,cenník!$B$2:$B$557,0),MATCH(N$2,cenník!$C$1:$I$1,0))</f>
        <v>100ks</v>
      </c>
      <c r="O24" s="11">
        <f>ROUNDUP(((O5*12)+(O12*2)+(O30*2)+(O17*4)+(O4*9)+(O26*2)+E8+(O11*3)+(O8*12)+(O31*2))/100,0)</f>
        <v>0</v>
      </c>
      <c r="P24" s="36">
        <f>INDEX(cenník!$C$2:$I$568,MATCH($L24,cenník!$B$2:$B$557,0),MATCH(P$2,cenník!$C$1:$I$1,0))</f>
        <v>49.87</v>
      </c>
      <c r="Q24" s="36">
        <f>O24*P24</f>
        <v>0</v>
      </c>
      <c r="R24" s="37">
        <f t="shared" si="2"/>
        <v>0</v>
      </c>
      <c r="S24" s="36">
        <f>P24*((100-$E$7)/100)</f>
        <v>49.87</v>
      </c>
      <c r="T24" s="36">
        <f>O24*S24</f>
        <v>0</v>
      </c>
      <c r="U24" s="36">
        <f>INDEX(cenník!$C$2:$I$568,MATCH($L24,cenník!$B$2:$B$557,0),MATCH(U$2,cenník!$C$1:$I$1,0))*O24</f>
        <v>0</v>
      </c>
      <c r="V24" s="85"/>
      <c r="AC24" s="64"/>
      <c r="AD24" s="64"/>
      <c r="AE24" s="87" t="s">
        <v>59</v>
      </c>
      <c r="AF24" s="64">
        <v>1000</v>
      </c>
      <c r="AG24" s="85"/>
      <c r="AH24" s="64"/>
      <c r="AI24" s="64" t="s">
        <v>16</v>
      </c>
      <c r="AJ24" s="64">
        <v>3300</v>
      </c>
      <c r="AK24" s="64">
        <v>1</v>
      </c>
      <c r="AL24" s="64">
        <f>AJ24*AK24</f>
        <v>3300</v>
      </c>
      <c r="AM24" s="64">
        <v>95.55</v>
      </c>
      <c r="AN24" s="64">
        <f>AK24*AM24</f>
        <v>95.55</v>
      </c>
      <c r="AO24" s="64">
        <f>AK24*5</f>
        <v>5</v>
      </c>
      <c r="AP24" s="64"/>
      <c r="AQ24" s="64"/>
      <c r="AR24" s="64">
        <v>2</v>
      </c>
      <c r="AS24" s="64" t="s">
        <v>522</v>
      </c>
      <c r="AT24" s="64">
        <v>2000</v>
      </c>
      <c r="AU24" s="64">
        <v>2000</v>
      </c>
      <c r="AV24" s="64" t="s">
        <v>522</v>
      </c>
      <c r="AW24" s="64" t="s">
        <v>522</v>
      </c>
      <c r="AX24" s="64"/>
      <c r="AY24" s="64"/>
      <c r="AZ24" s="64"/>
      <c r="BA24" s="64"/>
      <c r="BB24" s="64"/>
      <c r="BC24" s="64"/>
      <c r="BD24" s="64"/>
      <c r="BE24" s="64"/>
      <c r="BF24" s="64"/>
      <c r="BG24" s="64"/>
      <c r="BH24" s="64"/>
      <c r="BI24" s="64"/>
      <c r="BJ24" s="64"/>
      <c r="BK24" s="64"/>
      <c r="BL24" s="64"/>
      <c r="BM24" s="64"/>
      <c r="BN24" s="64"/>
      <c r="BO24" s="64"/>
      <c r="BP24" s="64"/>
      <c r="BQ24" s="64"/>
      <c r="BR24" s="64"/>
      <c r="BS24" s="64"/>
      <c r="BT24" s="64"/>
      <c r="BU24" s="64"/>
      <c r="BV24" s="64"/>
      <c r="BW24" s="64"/>
      <c r="BX24" s="64"/>
      <c r="BY24" s="64"/>
      <c r="BZ24" s="64"/>
      <c r="CA24" s="64"/>
      <c r="CB24" s="64"/>
      <c r="CC24" s="64"/>
      <c r="CD24" s="64"/>
      <c r="CE24" s="64"/>
      <c r="CF24" s="64"/>
      <c r="CG24" s="64"/>
      <c r="CH24" s="64"/>
      <c r="CI24" s="64"/>
      <c r="CJ24" s="64"/>
      <c r="CK24" s="64"/>
      <c r="CL24" s="64"/>
      <c r="CM24" s="64"/>
      <c r="CN24" s="64"/>
      <c r="CO24" s="64"/>
      <c r="CP24" s="64"/>
      <c r="CQ24" s="64"/>
      <c r="CR24" s="64"/>
      <c r="CS24" s="64"/>
      <c r="CT24" s="64"/>
      <c r="CU24" s="64"/>
      <c r="CV24" s="64"/>
      <c r="CW24" s="64"/>
      <c r="CX24" s="64"/>
      <c r="CY24" s="64"/>
      <c r="CZ24" s="64"/>
      <c r="DA24" s="64"/>
      <c r="DB24" s="64"/>
      <c r="DC24" s="64"/>
      <c r="DD24" s="64"/>
      <c r="DE24" s="64"/>
      <c r="DF24" s="64"/>
      <c r="DG24" s="64"/>
      <c r="DH24" s="64"/>
      <c r="DI24" s="64"/>
      <c r="DJ24" s="64"/>
      <c r="DK24" s="64"/>
      <c r="DL24" s="64"/>
      <c r="DM24" s="64"/>
      <c r="DN24" s="64"/>
      <c r="DO24" s="64"/>
      <c r="DP24" s="64"/>
      <c r="DQ24" s="80"/>
      <c r="DR24" s="81">
        <v>42</v>
      </c>
      <c r="DS24" s="80"/>
      <c r="DT24" s="64"/>
      <c r="DU24" s="64"/>
      <c r="DV24" s="64"/>
      <c r="DW24" s="64"/>
      <c r="DX24" s="64"/>
      <c r="DY24" s="64"/>
      <c r="DZ24" s="64"/>
      <c r="EA24" s="64"/>
      <c r="EB24" s="64"/>
      <c r="EC24" s="64"/>
      <c r="ED24" s="64"/>
      <c r="EE24" s="64"/>
      <c r="EF24" s="64"/>
      <c r="EG24" s="64"/>
      <c r="EH24" s="64"/>
      <c r="EI24" s="64"/>
      <c r="EJ24" s="64"/>
      <c r="EK24" s="64"/>
      <c r="EL24" s="64"/>
      <c r="EM24" s="64"/>
      <c r="EN24" s="64"/>
      <c r="EO24" s="64"/>
      <c r="EP24" s="64"/>
      <c r="EQ24" s="64"/>
      <c r="ER24" s="64"/>
      <c r="ES24" s="64"/>
      <c r="ET24" s="64"/>
      <c r="EU24" s="64"/>
      <c r="EV24" s="64"/>
      <c r="EW24" s="64"/>
      <c r="EX24" s="64"/>
      <c r="EY24" s="64"/>
      <c r="EZ24" s="64"/>
      <c r="FA24" s="64"/>
      <c r="FB24" s="64"/>
      <c r="FC24" s="64"/>
      <c r="FD24" s="64"/>
      <c r="FE24" s="64"/>
      <c r="FF24" s="64"/>
      <c r="FG24" s="64"/>
      <c r="FH24" s="64"/>
      <c r="FI24" s="64"/>
      <c r="FJ24" s="64"/>
      <c r="FK24" s="64"/>
      <c r="FL24" s="64"/>
      <c r="FM24" s="64"/>
      <c r="FN24" s="64"/>
      <c r="FO24" s="64"/>
      <c r="FP24" s="64"/>
      <c r="FQ24" s="64"/>
      <c r="FR24" s="64"/>
      <c r="FS24" s="64"/>
      <c r="FT24" s="64"/>
      <c r="FU24" s="64"/>
      <c r="FV24" s="64"/>
      <c r="FW24" s="64"/>
      <c r="FX24" s="64"/>
      <c r="FY24" s="64"/>
      <c r="FZ24" s="64"/>
      <c r="GA24" s="64"/>
      <c r="GB24" s="64"/>
      <c r="GC24" s="64"/>
      <c r="GD24" s="64"/>
      <c r="GE24" s="64"/>
      <c r="GF24" s="64"/>
      <c r="GG24" s="64"/>
      <c r="GH24" s="64"/>
      <c r="GI24" s="64"/>
      <c r="GJ24" s="64"/>
      <c r="GK24" s="64"/>
      <c r="GL24" s="64"/>
      <c r="GM24" s="64"/>
      <c r="GN24" s="64"/>
      <c r="GO24" s="64"/>
      <c r="GP24" s="64"/>
      <c r="GQ24" s="64"/>
      <c r="GR24" s="64"/>
      <c r="GS24" s="64"/>
      <c r="GT24" s="64"/>
      <c r="GU24" s="64"/>
      <c r="GV24" s="64"/>
      <c r="GW24" s="64"/>
      <c r="GX24" s="64"/>
      <c r="GY24" s="64"/>
      <c r="GZ24" s="64"/>
      <c r="HA24" s="64"/>
      <c r="HB24" s="64"/>
      <c r="HC24" s="64"/>
      <c r="HD24" s="64"/>
      <c r="HE24" s="64"/>
      <c r="HF24" s="64"/>
      <c r="HG24" s="64"/>
      <c r="HH24" s="64"/>
    </row>
    <row r="25" spans="1:216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65</v>
      </c>
      <c r="M25" s="11">
        <f>INDEX(cenník!$C$2:$I$568,MATCH($L25,cenník!$B$2:$B$557,0),MATCH(M$2,cenník!$C$1:$I$1,0))</f>
        <v>897303</v>
      </c>
      <c r="N25" s="11" t="str">
        <f>INDEX(cenník!$C$2:$I$568,MATCH($L25,cenník!$B$2:$B$557,0),MATCH(N$2,cenník!$C$1:$I$1,0))</f>
        <v>ks</v>
      </c>
      <c r="O25" s="11">
        <f>0.2*SUM(O18:O19)</f>
        <v>0</v>
      </c>
      <c r="P25" s="36">
        <f>INDEX(cenník!$C$2:$I$568,MATCH($L25,cenník!$B$2:$B$557,0),MATCH(P$2,cenník!$C$1:$I$1,0))</f>
        <v>0.83</v>
      </c>
      <c r="Q25" s="36">
        <f>O25*P25</f>
        <v>0</v>
      </c>
      <c r="R25" s="37">
        <f t="shared" si="2"/>
        <v>0</v>
      </c>
      <c r="S25" s="36">
        <f>P25*((100-$E$7)/100)</f>
        <v>0.83</v>
      </c>
      <c r="T25" s="36">
        <f>O25*S25</f>
        <v>0</v>
      </c>
      <c r="U25" s="36">
        <f>INDEX(cenník!$C$2:$I$568,MATCH($L25,cenník!$B$2:$B$557,0),MATCH(U$2,cenník!$C$1:$I$1,0))*O25</f>
        <v>0</v>
      </c>
      <c r="V25" s="85"/>
      <c r="AC25" s="64"/>
      <c r="AD25" s="64"/>
      <c r="AE25" s="87" t="s">
        <v>60</v>
      </c>
      <c r="AF25" s="64">
        <v>1050</v>
      </c>
      <c r="AG25" s="64"/>
      <c r="AH25" s="64"/>
      <c r="AI25" s="64"/>
      <c r="AJ25" s="64" t="s">
        <v>125</v>
      </c>
      <c r="AK25" s="64">
        <f>IF(SUM(AK22:AK24)=0,0,IF(SUM(AK22:AK24)=1,0,IF(SUM(AK22:AK24)&gt;1,(SUM(AK22:AK24)-1),0)))</f>
        <v>4</v>
      </c>
      <c r="AL25" s="64"/>
      <c r="AM25" s="64">
        <v>7.1</v>
      </c>
      <c r="AN25" s="64">
        <f>AK25*AM25</f>
        <v>28.4</v>
      </c>
      <c r="AO25" s="64">
        <f>AK25*5</f>
        <v>20</v>
      </c>
      <c r="AP25" s="64"/>
      <c r="AQ25" s="64"/>
      <c r="AR25" s="64" t="s">
        <v>339</v>
      </c>
      <c r="AS25" s="64">
        <v>2700</v>
      </c>
      <c r="AT25" s="64" t="s">
        <v>522</v>
      </c>
      <c r="AU25" s="64">
        <v>2000</v>
      </c>
      <c r="AV25" s="64" t="s">
        <v>522</v>
      </c>
      <c r="AW25" s="64">
        <v>1000</v>
      </c>
      <c r="AX25" s="64"/>
      <c r="AY25" s="64"/>
      <c r="AZ25" s="64"/>
      <c r="BA25" s="64"/>
      <c r="BB25" s="64"/>
      <c r="BC25" s="64"/>
      <c r="BD25" s="64"/>
      <c r="BE25" s="64"/>
      <c r="BF25" s="64"/>
      <c r="BG25" s="64"/>
      <c r="BH25" s="64"/>
      <c r="BI25" s="64"/>
      <c r="BJ25" s="64"/>
      <c r="BK25" s="64"/>
      <c r="BL25" s="64"/>
      <c r="BM25" s="64"/>
      <c r="BN25" s="64"/>
      <c r="BO25" s="64"/>
      <c r="BP25" s="64"/>
      <c r="BQ25" s="64"/>
      <c r="BR25" s="64"/>
      <c r="BS25" s="64"/>
      <c r="BT25" s="64"/>
      <c r="BU25" s="64"/>
      <c r="BV25" s="64"/>
      <c r="BW25" s="64"/>
      <c r="BX25" s="64"/>
      <c r="BY25" s="64"/>
      <c r="BZ25" s="64"/>
      <c r="CA25" s="64"/>
      <c r="CB25" s="64"/>
      <c r="CC25" s="64"/>
      <c r="CD25" s="64"/>
      <c r="CE25" s="64"/>
      <c r="CF25" s="64"/>
      <c r="CG25" s="64"/>
      <c r="CH25" s="64"/>
      <c r="CI25" s="64"/>
      <c r="CJ25" s="64"/>
      <c r="CK25" s="64"/>
      <c r="CL25" s="64"/>
      <c r="CM25" s="64"/>
      <c r="CN25" s="64"/>
      <c r="CO25" s="64"/>
      <c r="CP25" s="64"/>
      <c r="CQ25" s="64"/>
      <c r="CR25" s="64"/>
      <c r="CS25" s="64"/>
      <c r="CT25" s="64"/>
      <c r="CU25" s="64"/>
      <c r="CV25" s="64"/>
      <c r="CW25" s="64"/>
      <c r="CX25" s="64"/>
      <c r="CY25" s="64"/>
      <c r="CZ25" s="64"/>
      <c r="DA25" s="64"/>
      <c r="DB25" s="64"/>
      <c r="DC25" s="64"/>
      <c r="DD25" s="64"/>
      <c r="DE25" s="64"/>
      <c r="DF25" s="64"/>
      <c r="DG25" s="64"/>
      <c r="DH25" s="64"/>
      <c r="DI25" s="64"/>
      <c r="DJ25" s="64"/>
      <c r="DK25" s="64"/>
      <c r="DL25" s="64"/>
      <c r="DM25" s="64"/>
      <c r="DN25" s="64"/>
      <c r="DO25" s="64"/>
      <c r="DP25" s="64"/>
      <c r="DQ25" s="80"/>
      <c r="DR25" s="81">
        <v>45</v>
      </c>
      <c r="DS25" s="80"/>
      <c r="DT25" s="64"/>
      <c r="DU25" s="64"/>
      <c r="DV25" s="64"/>
      <c r="DW25" s="64"/>
      <c r="DX25" s="64"/>
      <c r="DY25" s="64"/>
      <c r="DZ25" s="64"/>
      <c r="EA25" s="64"/>
      <c r="EB25" s="64"/>
      <c r="EC25" s="64"/>
      <c r="ED25" s="64"/>
      <c r="EE25" s="64"/>
      <c r="EF25" s="64"/>
      <c r="EG25" s="64"/>
      <c r="EH25" s="64"/>
      <c r="EI25" s="64"/>
      <c r="EJ25" s="64"/>
      <c r="EK25" s="64"/>
      <c r="EL25" s="64"/>
      <c r="EM25" s="64"/>
      <c r="EN25" s="64"/>
      <c r="EO25" s="64"/>
      <c r="EP25" s="64"/>
      <c r="EQ25" s="64"/>
      <c r="ER25" s="64"/>
      <c r="ES25" s="64"/>
      <c r="ET25" s="64"/>
      <c r="EU25" s="64"/>
      <c r="EV25" s="64"/>
      <c r="EW25" s="64"/>
      <c r="EX25" s="64"/>
      <c r="EY25" s="64"/>
      <c r="EZ25" s="64"/>
      <c r="FA25" s="64"/>
      <c r="FB25" s="64"/>
      <c r="FC25" s="64"/>
      <c r="FD25" s="64"/>
      <c r="FE25" s="64"/>
      <c r="FF25" s="64"/>
      <c r="FG25" s="64"/>
      <c r="FH25" s="64"/>
      <c r="FI25" s="64"/>
      <c r="FJ25" s="64"/>
      <c r="FK25" s="64"/>
      <c r="FL25" s="64"/>
      <c r="FM25" s="64"/>
      <c r="FN25" s="64"/>
      <c r="FO25" s="64"/>
      <c r="FP25" s="64"/>
      <c r="FQ25" s="64"/>
      <c r="FR25" s="64"/>
      <c r="FS25" s="64"/>
      <c r="FT25" s="64"/>
      <c r="FU25" s="64"/>
      <c r="FV25" s="64"/>
      <c r="FW25" s="64"/>
      <c r="FX25" s="64"/>
      <c r="FY25" s="64"/>
      <c r="FZ25" s="64"/>
      <c r="GA25" s="64"/>
      <c r="GB25" s="64"/>
      <c r="GC25" s="64"/>
      <c r="GD25" s="64"/>
      <c r="GE25" s="64"/>
      <c r="GF25" s="64"/>
      <c r="GG25" s="64"/>
      <c r="GH25" s="64"/>
      <c r="GI25" s="64"/>
      <c r="GJ25" s="64"/>
      <c r="GK25" s="64"/>
      <c r="GL25" s="64"/>
      <c r="GM25" s="64"/>
      <c r="GN25" s="64"/>
      <c r="GO25" s="64"/>
      <c r="GP25" s="64"/>
      <c r="GQ25" s="64"/>
      <c r="GR25" s="64"/>
      <c r="GS25" s="64"/>
      <c r="GT25" s="64"/>
      <c r="GU25" s="64"/>
      <c r="GV25" s="64"/>
      <c r="GW25" s="64"/>
      <c r="GX25" s="64"/>
      <c r="GY25" s="64"/>
      <c r="GZ25" s="64"/>
      <c r="HA25" s="64"/>
      <c r="HB25" s="64"/>
      <c r="HC25" s="64"/>
      <c r="HD25" s="64"/>
      <c r="HE25" s="64"/>
      <c r="HF25" s="64"/>
      <c r="HG25" s="64"/>
      <c r="HH25" s="64"/>
    </row>
    <row r="26" spans="1:216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193</v>
      </c>
      <c r="M26" s="11">
        <f>INDEX(cenník!$C$2:$I$568,MATCH($L26,cenník!$B$2:$B$557,0),MATCH(M$2,cenník!$C$1:$I$1,0))</f>
        <v>858022</v>
      </c>
      <c r="N26" s="11" t="str">
        <f>INDEX(cenník!$C$2:$I$568,MATCH($L26,cenník!$B$2:$B$557,0),MATCH(N$2,cenník!$C$1:$I$1,0))</f>
        <v>ks</v>
      </c>
      <c r="O26" s="11">
        <f>2*O9</f>
        <v>0</v>
      </c>
      <c r="P26" s="36">
        <f>INDEX(cenník!$C$2:$I$568,MATCH($L26,cenník!$B$2:$B$557,0),MATCH(P$2,cenník!$C$1:$I$1,0))</f>
        <v>1.56</v>
      </c>
      <c r="Q26" s="36">
        <f>O26*P26</f>
        <v>0</v>
      </c>
      <c r="R26" s="37">
        <f t="shared" si="2"/>
        <v>0</v>
      </c>
      <c r="S26" s="36">
        <f>P26*((100-$E$7)/100)</f>
        <v>1.56</v>
      </c>
      <c r="T26" s="36">
        <f>O26*S26</f>
        <v>0</v>
      </c>
      <c r="U26" s="36">
        <f>INDEX(cenník!$C$2:$I$568,MATCH($L26,cenník!$B$2:$B$557,0),MATCH(U$2,cenník!$C$1:$I$1,0))*O26</f>
        <v>0</v>
      </c>
      <c r="V26" s="85"/>
      <c r="AC26" s="64"/>
      <c r="AD26" s="64"/>
      <c r="AE26" s="64" t="s">
        <v>199</v>
      </c>
      <c r="AF26" s="64">
        <v>1100</v>
      </c>
      <c r="AG26" s="64"/>
      <c r="AH26" s="64"/>
      <c r="AI26" s="64"/>
      <c r="AJ26" s="64"/>
      <c r="AK26" s="64"/>
      <c r="AL26" s="64">
        <f>SUM(AL22:AL24)</f>
        <v>29700</v>
      </c>
      <c r="AM26" s="64"/>
      <c r="AN26" s="64">
        <f>SUM(AN22:AN25)</f>
        <v>888.34999999999991</v>
      </c>
      <c r="AO26" s="64"/>
      <c r="AP26" s="64"/>
      <c r="AQ26" s="64"/>
      <c r="AY26" s="64"/>
      <c r="AZ26" s="64"/>
      <c r="BA26" s="64"/>
      <c r="BB26" s="64"/>
      <c r="BC26" s="64"/>
      <c r="BD26" s="64"/>
      <c r="BE26" s="64"/>
      <c r="BF26" s="64"/>
      <c r="BG26" s="64"/>
      <c r="BH26" s="64"/>
      <c r="BI26" s="64"/>
      <c r="BJ26" s="64"/>
      <c r="BK26" s="64"/>
      <c r="BL26" s="64"/>
      <c r="BM26" s="64"/>
      <c r="BN26" s="64"/>
      <c r="BO26" s="64"/>
      <c r="BP26" s="64"/>
      <c r="BQ26" s="64"/>
      <c r="BR26" s="64"/>
      <c r="BS26" s="64"/>
      <c r="BT26" s="64"/>
      <c r="BU26" s="64"/>
      <c r="BV26" s="64"/>
      <c r="BW26" s="64"/>
      <c r="BX26" s="64"/>
      <c r="BY26" s="64"/>
      <c r="BZ26" s="64"/>
      <c r="CA26" s="64"/>
      <c r="CB26" s="64"/>
      <c r="CC26" s="64"/>
      <c r="CD26" s="64"/>
      <c r="CE26" s="64"/>
      <c r="CF26" s="64"/>
      <c r="CG26" s="64"/>
      <c r="CH26" s="64"/>
      <c r="CI26" s="64"/>
      <c r="CJ26" s="64"/>
      <c r="CK26" s="64"/>
      <c r="CL26" s="64"/>
      <c r="CM26" s="64"/>
      <c r="CN26" s="64"/>
      <c r="CO26" s="64"/>
      <c r="CP26" s="64"/>
      <c r="CQ26" s="64"/>
      <c r="CR26" s="64"/>
      <c r="CS26" s="64"/>
      <c r="CT26" s="64"/>
      <c r="CU26" s="64"/>
      <c r="CV26" s="64"/>
      <c r="CW26" s="64"/>
      <c r="CX26" s="64"/>
      <c r="CY26" s="64"/>
      <c r="CZ26" s="64"/>
      <c r="DA26" s="64"/>
      <c r="DB26" s="64"/>
      <c r="DC26" s="64"/>
      <c r="DD26" s="64"/>
      <c r="DE26" s="64"/>
      <c r="DF26" s="64"/>
      <c r="DG26" s="64"/>
      <c r="DH26" s="64"/>
      <c r="DI26" s="64"/>
      <c r="DJ26" s="64"/>
      <c r="DK26" s="64"/>
      <c r="DL26" s="64"/>
      <c r="DM26" s="64"/>
      <c r="DN26" s="64"/>
      <c r="DO26" s="64"/>
      <c r="DP26" s="64"/>
      <c r="DQ26" s="80"/>
      <c r="DR26" s="81">
        <v>50</v>
      </c>
      <c r="DS26" s="80"/>
      <c r="DT26" s="64"/>
      <c r="DU26" s="64"/>
      <c r="DV26" s="64"/>
      <c r="DW26" s="64"/>
      <c r="DX26" s="64"/>
      <c r="DY26" s="64"/>
      <c r="DZ26" s="64"/>
      <c r="EA26" s="64"/>
      <c r="EB26" s="64"/>
      <c r="EC26" s="64"/>
      <c r="ED26" s="64"/>
      <c r="EE26" s="64"/>
      <c r="EF26" s="64"/>
      <c r="EG26" s="64"/>
      <c r="EH26" s="64"/>
      <c r="EI26" s="64"/>
      <c r="EJ26" s="64"/>
      <c r="EK26" s="64"/>
      <c r="EL26" s="64"/>
      <c r="EM26" s="64"/>
      <c r="EN26" s="64"/>
      <c r="EO26" s="64"/>
      <c r="EP26" s="64"/>
      <c r="EQ26" s="64"/>
      <c r="ER26" s="64"/>
      <c r="ES26" s="64"/>
      <c r="ET26" s="64"/>
      <c r="EU26" s="64"/>
      <c r="EV26" s="64"/>
      <c r="EW26" s="64"/>
      <c r="EX26" s="64"/>
      <c r="EY26" s="64"/>
      <c r="EZ26" s="64"/>
      <c r="FA26" s="64"/>
      <c r="FB26" s="64"/>
      <c r="FC26" s="64"/>
      <c r="FD26" s="64"/>
      <c r="FE26" s="64"/>
      <c r="FF26" s="64"/>
      <c r="FG26" s="64"/>
      <c r="FH26" s="64"/>
      <c r="FI26" s="64"/>
      <c r="FJ26" s="64"/>
      <c r="FK26" s="64"/>
      <c r="FL26" s="64"/>
      <c r="FM26" s="64"/>
      <c r="FN26" s="64"/>
      <c r="FO26" s="64"/>
      <c r="FP26" s="64"/>
      <c r="FQ26" s="64"/>
      <c r="FR26" s="64"/>
      <c r="FS26" s="64"/>
      <c r="FT26" s="64"/>
      <c r="FU26" s="64"/>
      <c r="FV26" s="64"/>
      <c r="FW26" s="64"/>
      <c r="FX26" s="64"/>
      <c r="FY26" s="64"/>
      <c r="FZ26" s="64"/>
      <c r="GA26" s="64"/>
      <c r="GB26" s="64"/>
      <c r="GC26" s="64"/>
      <c r="GD26" s="64"/>
      <c r="GE26" s="64"/>
      <c r="GF26" s="64"/>
      <c r="GG26" s="64"/>
      <c r="GH26" s="64"/>
      <c r="GI26" s="64"/>
      <c r="GJ26" s="64"/>
      <c r="GK26" s="64"/>
      <c r="GL26" s="64"/>
      <c r="GM26" s="64"/>
      <c r="GN26" s="64"/>
      <c r="GO26" s="64"/>
      <c r="GP26" s="64"/>
      <c r="GQ26" s="64"/>
      <c r="GR26" s="64"/>
      <c r="GS26" s="64"/>
      <c r="GT26" s="64"/>
      <c r="GU26" s="64"/>
      <c r="GV26" s="64"/>
      <c r="GW26" s="64"/>
      <c r="GX26" s="64"/>
      <c r="GY26" s="64"/>
      <c r="GZ26" s="64"/>
      <c r="HA26" s="64"/>
      <c r="HB26" s="64"/>
      <c r="HC26" s="64"/>
      <c r="HD26" s="64"/>
      <c r="HE26" s="64"/>
      <c r="HF26" s="64"/>
      <c r="HG26" s="64"/>
      <c r="HH26" s="64"/>
    </row>
    <row r="27" spans="1:216" ht="15.75" thickBo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127</v>
      </c>
      <c r="M27" s="11">
        <f>INDEX(cenník!$C$2:$I$568,MATCH($L27,cenník!$B$2:$B$557,0),MATCH(M$2,cenník!$C$1:$I$1,0))</f>
        <v>890111</v>
      </c>
      <c r="N27" s="11" t="str">
        <f>INDEX(cenník!$C$2:$I$568,MATCH($L27,cenník!$B$2:$B$557,0),MATCH(N$2,cenník!$C$1:$I$1,0))</f>
        <v>100ks</v>
      </c>
      <c r="O27" s="11">
        <f>ROUNDUP((O3*4)/100,0)</f>
        <v>0</v>
      </c>
      <c r="P27" s="36">
        <f>INDEX(cenník!$C$2:$I$568,MATCH($L27,cenník!$B$2:$B$557,0),MATCH(P$2,cenník!$C$1:$I$1,0))</f>
        <v>60.37</v>
      </c>
      <c r="Q27" s="36">
        <f>O27*P27</f>
        <v>0</v>
      </c>
      <c r="R27" s="37">
        <f t="shared" si="2"/>
        <v>0</v>
      </c>
      <c r="S27" s="36">
        <f>P27*((100-$E$7)/100)</f>
        <v>60.37</v>
      </c>
      <c r="T27" s="36">
        <f>O27*S27</f>
        <v>0</v>
      </c>
      <c r="U27" s="36">
        <f>INDEX(cenník!$C$2:$I$568,MATCH($L27,cenník!$B$2:$B$557,0),MATCH(U$2,cenník!$C$1:$I$1,0))*O27</f>
        <v>0</v>
      </c>
      <c r="V27" s="64"/>
      <c r="AC27" s="64"/>
      <c r="AD27" s="64"/>
      <c r="AE27" s="64" t="s">
        <v>205</v>
      </c>
      <c r="AF27" s="64">
        <v>1150</v>
      </c>
      <c r="AG27" s="64"/>
      <c r="AH27" s="64"/>
      <c r="AI27" s="64"/>
      <c r="AJ27" s="64">
        <f>(AB2-1)*2900</f>
        <v>-2900</v>
      </c>
      <c r="AK27" s="64"/>
      <c r="AL27" s="64"/>
      <c r="AM27" s="64"/>
      <c r="AN27" s="64"/>
      <c r="AO27" s="64"/>
      <c r="AP27" s="64"/>
      <c r="AQ27" s="64"/>
      <c r="AR27" s="91" t="s">
        <v>337</v>
      </c>
      <c r="AY27" s="64"/>
      <c r="AZ27" s="64"/>
      <c r="BA27" s="64"/>
      <c r="BB27" s="64"/>
      <c r="BC27" s="64"/>
      <c r="BD27" s="64"/>
      <c r="BE27" s="64"/>
      <c r="BF27" s="64"/>
      <c r="BG27" s="64"/>
      <c r="BH27" s="64"/>
      <c r="BI27" s="64"/>
      <c r="BJ27" s="64"/>
      <c r="BK27" s="64"/>
      <c r="BL27" s="64"/>
      <c r="BM27" s="64"/>
      <c r="BN27" s="64"/>
      <c r="BO27" s="64"/>
      <c r="BP27" s="64"/>
      <c r="BQ27" s="64"/>
      <c r="BR27" s="64"/>
      <c r="BS27" s="64"/>
      <c r="BT27" s="64"/>
      <c r="BU27" s="64"/>
      <c r="BV27" s="64"/>
      <c r="BW27" s="64"/>
      <c r="BX27" s="64"/>
      <c r="BY27" s="64"/>
      <c r="BZ27" s="64"/>
      <c r="CA27" s="64"/>
      <c r="CB27" s="64"/>
      <c r="CC27" s="64"/>
      <c r="CD27" s="64"/>
      <c r="CE27" s="64"/>
      <c r="CF27" s="64"/>
      <c r="CG27" s="64"/>
      <c r="CH27" s="64"/>
      <c r="CI27" s="64"/>
      <c r="CJ27" s="64"/>
      <c r="CK27" s="64"/>
      <c r="CL27" s="64"/>
      <c r="CM27" s="64"/>
      <c r="CN27" s="64"/>
      <c r="CO27" s="64"/>
      <c r="CP27" s="64"/>
      <c r="CQ27" s="64"/>
      <c r="CR27" s="64"/>
      <c r="CS27" s="64"/>
      <c r="CT27" s="64"/>
      <c r="CU27" s="64"/>
      <c r="CV27" s="64"/>
      <c r="CW27" s="64"/>
      <c r="CX27" s="64"/>
      <c r="CY27" s="64"/>
      <c r="CZ27" s="64"/>
      <c r="DA27" s="64"/>
      <c r="DB27" s="64"/>
      <c r="DC27" s="64"/>
      <c r="DD27" s="64"/>
      <c r="DE27" s="64"/>
      <c r="DF27" s="64"/>
      <c r="DG27" s="64"/>
      <c r="DH27" s="64"/>
      <c r="DI27" s="64"/>
      <c r="DJ27" s="64"/>
      <c r="DK27" s="64"/>
      <c r="DL27" s="64"/>
      <c r="DM27" s="64"/>
      <c r="DN27" s="64"/>
      <c r="DO27" s="64"/>
      <c r="DP27" s="64"/>
      <c r="DQ27" s="80"/>
      <c r="DR27" s="80"/>
      <c r="DS27" s="80"/>
      <c r="DT27" s="64"/>
      <c r="DU27" s="64"/>
      <c r="DV27" s="64"/>
      <c r="DW27" s="64"/>
      <c r="DX27" s="64"/>
      <c r="DY27" s="64"/>
      <c r="DZ27" s="64"/>
      <c r="EA27" s="64"/>
      <c r="EB27" s="64"/>
      <c r="EC27" s="64"/>
      <c r="ED27" s="64"/>
      <c r="EE27" s="64"/>
      <c r="EF27" s="64"/>
      <c r="EG27" s="64"/>
      <c r="EH27" s="64"/>
      <c r="EI27" s="64"/>
      <c r="EJ27" s="64"/>
      <c r="EK27" s="64"/>
      <c r="EL27" s="64"/>
      <c r="EM27" s="64"/>
      <c r="EN27" s="64"/>
      <c r="EO27" s="64"/>
      <c r="EP27" s="64"/>
      <c r="EQ27" s="64"/>
      <c r="ER27" s="64"/>
      <c r="ES27" s="64"/>
      <c r="ET27" s="64"/>
      <c r="EU27" s="64"/>
      <c r="EV27" s="64"/>
      <c r="EW27" s="64"/>
      <c r="EX27" s="64"/>
      <c r="EY27" s="64"/>
      <c r="EZ27" s="64"/>
      <c r="FA27" s="64"/>
      <c r="FB27" s="64"/>
      <c r="FC27" s="64"/>
      <c r="FD27" s="64"/>
      <c r="FE27" s="64"/>
      <c r="FF27" s="64"/>
      <c r="FG27" s="64"/>
      <c r="FH27" s="64"/>
      <c r="FI27" s="64"/>
      <c r="FJ27" s="64"/>
      <c r="FK27" s="64"/>
      <c r="FL27" s="64"/>
      <c r="FM27" s="64"/>
      <c r="FN27" s="64"/>
      <c r="FO27" s="64"/>
      <c r="FP27" s="64"/>
      <c r="FQ27" s="64"/>
      <c r="FR27" s="64"/>
      <c r="FS27" s="64"/>
      <c r="FT27" s="64"/>
      <c r="FU27" s="64"/>
      <c r="FV27" s="64"/>
      <c r="FW27" s="64"/>
      <c r="FX27" s="64"/>
      <c r="FY27" s="64"/>
      <c r="FZ27" s="64"/>
      <c r="GA27" s="64"/>
      <c r="GB27" s="64"/>
      <c r="GC27" s="64"/>
      <c r="GD27" s="64"/>
      <c r="GE27" s="64"/>
      <c r="GF27" s="64"/>
      <c r="GG27" s="64"/>
      <c r="GH27" s="64"/>
      <c r="GI27" s="64"/>
      <c r="GJ27" s="64"/>
      <c r="GK27" s="64"/>
      <c r="GL27" s="64"/>
      <c r="GM27" s="64"/>
      <c r="GN27" s="64"/>
      <c r="GO27" s="64"/>
      <c r="GP27" s="64"/>
      <c r="GQ27" s="64"/>
      <c r="GR27" s="64"/>
      <c r="GS27" s="64"/>
      <c r="GT27" s="64"/>
      <c r="GU27" s="64"/>
      <c r="GV27" s="64"/>
      <c r="GW27" s="64"/>
      <c r="GX27" s="64"/>
      <c r="GY27" s="64"/>
      <c r="GZ27" s="64"/>
      <c r="HA27" s="64"/>
      <c r="HB27" s="64"/>
      <c r="HC27" s="64"/>
      <c r="HD27" s="64"/>
      <c r="HE27" s="64"/>
      <c r="HF27" s="64"/>
      <c r="HG27" s="64"/>
      <c r="HH27" s="64"/>
    </row>
    <row r="28" spans="1:216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38" t="s">
        <v>336</v>
      </c>
      <c r="M28" s="11">
        <f>INDEX(cenník!$C$2:$I$568,MATCH($L28,cenník!$B$2:$B$557,0),MATCH(M$2,cenník!$C$1:$I$1,0))</f>
        <v>890504</v>
      </c>
      <c r="N28" s="11" t="str">
        <f>INDEX(cenník!$C$2:$I$568,MATCH($L28,cenník!$B$2:$B$557,0),MATCH(N$2,cenník!$C$1:$I$1,0))</f>
        <v>ks</v>
      </c>
      <c r="O28" s="11">
        <f>SUM(C2:C17)*10</f>
        <v>0</v>
      </c>
      <c r="P28" s="36">
        <f>INDEX(cenník!$C$2:$I$568,MATCH($L28,cenník!$B$2:$B$557,0),MATCH(P$2,cenník!$C$1:$I$1,0))</f>
        <v>1.59</v>
      </c>
      <c r="Q28" s="36">
        <f>O28*P28</f>
        <v>0</v>
      </c>
      <c r="R28" s="37">
        <f t="shared" si="2"/>
        <v>0</v>
      </c>
      <c r="S28" s="36">
        <f>P28*((100-$E$7)/100)</f>
        <v>1.59</v>
      </c>
      <c r="T28" s="36">
        <f>O28*S28</f>
        <v>0</v>
      </c>
      <c r="U28" s="36">
        <f>INDEX(cenník!$C$2:$I$568,MATCH($L28,cenník!$B$2:$B$557,0),MATCH(U$2,cenník!$C$1:$I$1,0))*O28</f>
        <v>0</v>
      </c>
      <c r="V28" s="64"/>
      <c r="AC28" s="64"/>
      <c r="AD28" s="64"/>
      <c r="AE28" s="68" t="s">
        <v>329</v>
      </c>
      <c r="AF28" s="64">
        <v>1200</v>
      </c>
      <c r="AG28" s="64"/>
      <c r="AH28" s="64"/>
      <c r="AI28" s="64"/>
      <c r="AJ28" s="64"/>
      <c r="AK28" s="64"/>
      <c r="AL28" s="64"/>
      <c r="AM28" s="64"/>
      <c r="AN28" s="64"/>
      <c r="AO28" s="64"/>
      <c r="AP28" s="64"/>
      <c r="AQ28" s="64"/>
      <c r="AS28" s="68" t="s">
        <v>515</v>
      </c>
      <c r="AT28" s="68" t="s">
        <v>516</v>
      </c>
      <c r="AU28" s="68" t="s">
        <v>483</v>
      </c>
      <c r="AV28" s="68" t="s">
        <v>517</v>
      </c>
      <c r="AY28" s="64"/>
      <c r="AZ28" s="64"/>
      <c r="BA28" s="64"/>
      <c r="BB28" s="64"/>
      <c r="BC28" s="64"/>
      <c r="BD28" s="64"/>
      <c r="BE28" s="64"/>
      <c r="BF28" s="64"/>
      <c r="BG28" s="64"/>
      <c r="BH28" s="64"/>
      <c r="BI28" s="64"/>
      <c r="BJ28" s="64"/>
      <c r="BK28" s="64"/>
      <c r="BL28" s="64"/>
      <c r="BM28" s="64"/>
      <c r="BN28" s="64"/>
      <c r="BO28" s="64"/>
      <c r="BP28" s="64"/>
      <c r="BQ28" s="64"/>
      <c r="BR28" s="64"/>
      <c r="BS28" s="64"/>
      <c r="BT28" s="64"/>
      <c r="BU28" s="64"/>
      <c r="BV28" s="64"/>
      <c r="BW28" s="64"/>
      <c r="BX28" s="64"/>
      <c r="BY28" s="64"/>
      <c r="BZ28" s="64"/>
      <c r="CA28" s="64"/>
      <c r="CB28" s="64"/>
      <c r="CC28" s="64"/>
      <c r="CD28" s="64"/>
      <c r="CE28" s="64"/>
      <c r="CF28" s="64"/>
      <c r="CG28" s="64"/>
      <c r="CH28" s="64"/>
      <c r="CI28" s="64"/>
      <c r="CJ28" s="64"/>
      <c r="CK28" s="64"/>
      <c r="CL28" s="64"/>
      <c r="CM28" s="64"/>
      <c r="CN28" s="64"/>
      <c r="CO28" s="64"/>
      <c r="CP28" s="64"/>
      <c r="CQ28" s="64"/>
      <c r="CR28" s="64"/>
      <c r="CS28" s="64"/>
      <c r="CT28" s="64"/>
      <c r="CU28" s="64"/>
      <c r="CV28" s="64"/>
      <c r="CW28" s="64"/>
      <c r="CX28" s="64"/>
      <c r="CY28" s="64"/>
      <c r="CZ28" s="64"/>
      <c r="DA28" s="64"/>
      <c r="DB28" s="64"/>
      <c r="DC28" s="64"/>
      <c r="DD28" s="64"/>
      <c r="DE28" s="64"/>
      <c r="DF28" s="64"/>
      <c r="DG28" s="64"/>
      <c r="DH28" s="64"/>
      <c r="DI28" s="64"/>
      <c r="DJ28" s="64"/>
      <c r="DK28" s="64"/>
      <c r="DL28" s="64"/>
      <c r="DM28" s="64"/>
      <c r="DN28" s="64"/>
      <c r="DO28" s="64"/>
      <c r="DP28" s="64"/>
      <c r="DQ28" s="80"/>
      <c r="DR28" s="80"/>
      <c r="DS28" s="80"/>
      <c r="DT28" s="64"/>
      <c r="DU28" s="64"/>
      <c r="DV28" s="64"/>
      <c r="DW28" s="64"/>
      <c r="DX28" s="64"/>
      <c r="DY28" s="64"/>
      <c r="DZ28" s="64"/>
      <c r="EA28" s="64"/>
      <c r="EB28" s="64"/>
      <c r="EC28" s="64"/>
      <c r="ED28" s="64"/>
      <c r="EE28" s="64"/>
      <c r="EF28" s="64"/>
      <c r="EG28" s="64"/>
      <c r="EH28" s="64"/>
      <c r="EI28" s="64"/>
      <c r="EJ28" s="65"/>
      <c r="EK28" s="66"/>
      <c r="EL28" s="66"/>
      <c r="EM28" s="66"/>
      <c r="EN28" s="66"/>
      <c r="EO28" s="66"/>
      <c r="EP28" s="66"/>
      <c r="EQ28" s="66"/>
      <c r="ER28" s="66"/>
      <c r="ES28" s="66"/>
      <c r="ET28" s="66"/>
      <c r="EU28" s="66"/>
      <c r="EV28" s="66"/>
      <c r="EW28" s="66"/>
      <c r="EX28" s="66"/>
      <c r="EY28" s="66"/>
      <c r="EZ28" s="66"/>
      <c r="FA28" s="66"/>
      <c r="FB28" s="66"/>
      <c r="FC28" s="66"/>
      <c r="FD28" s="66"/>
      <c r="FE28" s="66"/>
      <c r="FF28" s="66"/>
      <c r="FG28" s="66"/>
      <c r="FH28" s="66"/>
      <c r="FI28" s="66"/>
      <c r="FJ28" s="66"/>
      <c r="FK28" s="66"/>
      <c r="FL28" s="66"/>
      <c r="FM28" s="66"/>
      <c r="FN28" s="66"/>
      <c r="FO28" s="66"/>
      <c r="FP28" s="66"/>
      <c r="FQ28" s="66"/>
      <c r="FR28" s="66"/>
      <c r="FS28" s="66"/>
      <c r="FT28" s="66"/>
      <c r="FU28" s="66"/>
      <c r="FV28" s="66"/>
      <c r="FW28" s="66"/>
      <c r="FX28" s="66"/>
      <c r="FY28" s="66"/>
      <c r="FZ28" s="66"/>
      <c r="GA28" s="66"/>
      <c r="GB28" s="66"/>
      <c r="GC28" s="66"/>
      <c r="GD28" s="66"/>
      <c r="GE28" s="66"/>
      <c r="GF28" s="66"/>
      <c r="GG28" s="66"/>
      <c r="GH28" s="66"/>
      <c r="GI28" s="66"/>
      <c r="GJ28" s="66"/>
      <c r="GK28" s="66"/>
      <c r="GL28" s="66"/>
      <c r="GM28" s="66"/>
      <c r="GN28" s="66"/>
      <c r="GO28" s="66"/>
      <c r="GP28" s="66"/>
      <c r="GQ28" s="66"/>
      <c r="GR28" s="66"/>
      <c r="GS28" s="66"/>
      <c r="GT28" s="66"/>
      <c r="GU28" s="66"/>
      <c r="GV28" s="66"/>
      <c r="GW28" s="66"/>
      <c r="GX28" s="66"/>
      <c r="GY28" s="66"/>
      <c r="GZ28" s="66"/>
      <c r="HA28" s="66"/>
      <c r="HB28" s="66"/>
      <c r="HC28" s="66"/>
      <c r="HD28" s="66"/>
      <c r="HE28" s="66"/>
      <c r="HF28" s="66"/>
      <c r="HG28" s="67"/>
      <c r="HH28" s="64"/>
    </row>
    <row r="29" spans="1:216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514</v>
      </c>
      <c r="M29" s="11"/>
      <c r="N29" s="11"/>
      <c r="O29" s="11"/>
      <c r="P29" s="36"/>
      <c r="Q29" s="36"/>
      <c r="R29" s="37"/>
      <c r="S29" s="36"/>
      <c r="T29" s="36"/>
      <c r="U29" s="36"/>
      <c r="V29" s="82"/>
      <c r="AC29" s="64"/>
      <c r="AD29" s="64"/>
      <c r="AE29" s="68" t="s">
        <v>330</v>
      </c>
      <c r="AF29" s="64">
        <v>1250</v>
      </c>
      <c r="AG29" s="64"/>
      <c r="AH29" s="64"/>
      <c r="AI29" s="64"/>
      <c r="AJ29" s="64"/>
      <c r="AK29" s="64"/>
      <c r="AL29" s="64"/>
      <c r="AM29" s="64"/>
      <c r="AN29" s="64"/>
      <c r="AO29" s="64"/>
      <c r="AP29" s="64"/>
      <c r="AQ29" s="64"/>
      <c r="AR29" s="64" t="s">
        <v>59</v>
      </c>
      <c r="AS29" s="64" t="s">
        <v>295</v>
      </c>
      <c r="AT29" s="64" t="s">
        <v>294</v>
      </c>
      <c r="AU29" s="64" t="s">
        <v>293</v>
      </c>
      <c r="AV29" s="64" t="s">
        <v>293</v>
      </c>
      <c r="AW29" s="64"/>
      <c r="AX29" s="64"/>
      <c r="AY29" s="64"/>
      <c r="AZ29" s="64"/>
      <c r="BA29" s="64"/>
      <c r="BB29" s="64"/>
      <c r="BC29" s="64"/>
      <c r="BD29" s="64"/>
      <c r="BE29" s="64"/>
      <c r="BF29" s="64"/>
      <c r="BG29" s="84" t="s">
        <v>126</v>
      </c>
      <c r="BH29" s="64"/>
      <c r="BI29" s="64"/>
      <c r="BJ29" s="64"/>
      <c r="BK29" s="64"/>
      <c r="BL29" s="64"/>
      <c r="BM29" s="64"/>
      <c r="BN29" s="64"/>
      <c r="BO29" s="64"/>
      <c r="BP29" s="64"/>
      <c r="BQ29" s="64"/>
      <c r="BR29" s="64"/>
      <c r="BS29" s="64"/>
      <c r="BT29" s="64"/>
      <c r="BU29" s="64"/>
      <c r="BV29" s="64"/>
      <c r="BW29" s="64"/>
      <c r="BX29" s="64"/>
      <c r="BY29" s="64"/>
      <c r="BZ29" s="64"/>
      <c r="CA29" s="64"/>
      <c r="CB29" s="64"/>
      <c r="CC29" s="64"/>
      <c r="CD29" s="64"/>
      <c r="CE29" s="64"/>
      <c r="CF29" s="64"/>
      <c r="CG29" s="64"/>
      <c r="CH29" s="64"/>
      <c r="CI29" s="64"/>
      <c r="CJ29" s="64"/>
      <c r="CK29" s="64"/>
      <c r="CL29" s="64"/>
      <c r="CM29" s="64"/>
      <c r="CN29" s="64"/>
      <c r="CO29" s="64"/>
      <c r="CP29" s="64"/>
      <c r="CQ29" s="64"/>
      <c r="CR29" s="64"/>
      <c r="CS29" s="64"/>
      <c r="CT29" s="64"/>
      <c r="CU29" s="64"/>
      <c r="CV29" s="64"/>
      <c r="CW29" s="64"/>
      <c r="CX29" s="64"/>
      <c r="CY29" s="64"/>
      <c r="CZ29" s="64"/>
      <c r="DA29" s="64"/>
      <c r="DB29" s="64"/>
      <c r="DC29" s="64"/>
      <c r="DD29" s="64"/>
      <c r="DE29" s="64"/>
      <c r="DF29" s="64"/>
      <c r="DG29" s="64"/>
      <c r="DH29" s="64"/>
      <c r="DI29" s="64"/>
      <c r="DJ29" s="64"/>
      <c r="DK29" s="64"/>
      <c r="DL29" s="64"/>
      <c r="DM29" s="64"/>
      <c r="DN29" s="64"/>
      <c r="DO29" s="64"/>
      <c r="DP29" s="64"/>
      <c r="DQ29" s="80"/>
      <c r="DR29" s="80">
        <v>0</v>
      </c>
      <c r="DS29" s="80"/>
      <c r="DT29" s="64"/>
      <c r="DU29" s="64"/>
      <c r="DV29" s="64"/>
      <c r="DW29" s="64"/>
      <c r="DX29" s="64"/>
      <c r="DY29" s="64"/>
      <c r="DZ29" s="64"/>
      <c r="EA29" s="64"/>
      <c r="EB29" s="64"/>
      <c r="EC29" s="64"/>
      <c r="ED29" s="64"/>
      <c r="EE29" s="64"/>
      <c r="EF29" s="64"/>
      <c r="EG29" s="64"/>
      <c r="EH29" s="64"/>
      <c r="EI29" s="64"/>
      <c r="EJ29" s="69" t="s">
        <v>360</v>
      </c>
      <c r="EK29" s="64"/>
      <c r="EL29" s="64"/>
      <c r="EM29" s="64"/>
      <c r="EN29" s="64"/>
      <c r="EO29" s="64"/>
      <c r="EP29" s="64"/>
      <c r="EQ29" s="64"/>
      <c r="ER29" s="64"/>
      <c r="ES29" s="64"/>
      <c r="ET29" s="64"/>
      <c r="EU29" s="64"/>
      <c r="EV29" s="64"/>
      <c r="EW29" s="64"/>
      <c r="EX29" s="64"/>
      <c r="EY29" s="64"/>
      <c r="EZ29" s="64"/>
      <c r="FA29" s="64"/>
      <c r="FB29" s="64"/>
      <c r="FC29" s="64"/>
      <c r="FD29" s="64"/>
      <c r="FE29" s="64"/>
      <c r="FF29" s="64"/>
      <c r="FG29" s="64"/>
      <c r="FH29" s="64"/>
      <c r="FI29" s="64"/>
      <c r="FJ29" s="64"/>
      <c r="FK29" s="64"/>
      <c r="FL29" s="64"/>
      <c r="FM29" s="64"/>
      <c r="FN29" s="64"/>
      <c r="FO29" s="64"/>
      <c r="FP29" s="64"/>
      <c r="FQ29" s="64"/>
      <c r="FR29" s="64"/>
      <c r="FS29" s="64"/>
      <c r="FT29" s="64"/>
      <c r="FU29" s="64"/>
      <c r="FV29" s="64"/>
      <c r="FW29" s="64"/>
      <c r="FX29" s="64"/>
      <c r="FY29" s="64"/>
      <c r="FZ29" s="64"/>
      <c r="GA29" s="64"/>
      <c r="GB29" s="64"/>
      <c r="GC29" s="64"/>
      <c r="GD29" s="64"/>
      <c r="GE29" s="64"/>
      <c r="GF29" s="64"/>
      <c r="GG29" s="64"/>
      <c r="GH29" s="64"/>
      <c r="GI29" s="64"/>
      <c r="GJ29" s="64"/>
      <c r="GK29" s="64"/>
      <c r="GL29" s="64"/>
      <c r="GM29" s="64"/>
      <c r="GN29" s="64"/>
      <c r="GO29" s="64"/>
      <c r="GP29" s="64"/>
      <c r="GQ29" s="64"/>
      <c r="GR29" s="64"/>
      <c r="GS29" s="64"/>
      <c r="GT29" s="64"/>
      <c r="GU29" s="64"/>
      <c r="GV29" s="64"/>
      <c r="GW29" s="64"/>
      <c r="GX29" s="64"/>
      <c r="GY29" s="64"/>
      <c r="GZ29" s="64"/>
      <c r="HA29" s="64"/>
      <c r="HB29" s="64"/>
      <c r="HC29" s="64"/>
      <c r="HD29" s="64"/>
      <c r="HE29" s="64"/>
      <c r="HF29" s="64"/>
      <c r="HG29" s="70"/>
      <c r="HH29" s="64"/>
    </row>
    <row r="30" spans="1:216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>
        <f>INDEX(cenník!$C$2:$I$568,MATCH($L30,cenník!$B$2:$B$557,0),MATCH(M$2,cenník!$C$1:$I$1,0))</f>
        <v>867832</v>
      </c>
      <c r="N30" s="11" t="str">
        <f>INDEX(cenník!$C$2:$I$568,MATCH($L30,cenník!$B$2:$B$557,0),MATCH(N$2,cenník!$C$1:$I$1,0))</f>
        <v>ks</v>
      </c>
      <c r="O30" s="11">
        <f>E6*2</f>
        <v>0</v>
      </c>
      <c r="P30" s="36">
        <f>INDEX(cenník!$C$2:$I$568,MATCH($L30,cenník!$B$2:$B$557,0),MATCH(P$2,cenník!$C$1:$I$1,0))</f>
        <v>56</v>
      </c>
      <c r="Q30" s="36">
        <f>O30*P30</f>
        <v>0</v>
      </c>
      <c r="R30" s="37">
        <f>$E$7</f>
        <v>0</v>
      </c>
      <c r="S30" s="36">
        <f>P30*((100-$E$7)/100)</f>
        <v>56</v>
      </c>
      <c r="T30" s="36">
        <f>O30*S30</f>
        <v>0</v>
      </c>
      <c r="U30" s="36">
        <f>INDEX(cenník!$C$2:$I$568,MATCH($L30,cenník!$B$2:$B$557,0),MATCH(U$2,cenník!$C$1:$I$1,0))*O30</f>
        <v>0</v>
      </c>
      <c r="V30" s="82"/>
      <c r="AC30" s="64"/>
      <c r="AD30" s="64"/>
      <c r="AE30" s="68" t="s">
        <v>331</v>
      </c>
      <c r="AF30" s="64">
        <v>1300</v>
      </c>
      <c r="AG30" s="64"/>
      <c r="AH30" s="64"/>
      <c r="AJ30" s="64"/>
      <c r="AK30" s="64"/>
      <c r="AL30" s="64"/>
      <c r="AM30" s="64"/>
      <c r="AN30" s="64"/>
      <c r="AO30" s="64"/>
      <c r="AP30" s="64"/>
      <c r="AQ30" s="64"/>
      <c r="AR30" s="64" t="s">
        <v>60</v>
      </c>
      <c r="AS30" s="64" t="s">
        <v>293</v>
      </c>
      <c r="AT30" s="64" t="s">
        <v>295</v>
      </c>
      <c r="AU30" s="64" t="s">
        <v>293</v>
      </c>
      <c r="AV30" s="64" t="s">
        <v>293</v>
      </c>
      <c r="AW30" s="64"/>
      <c r="AX30" s="64"/>
      <c r="AY30" s="64"/>
      <c r="AZ30" s="64"/>
      <c r="BA30" s="64"/>
      <c r="BB30" s="64"/>
      <c r="BC30" s="64"/>
      <c r="BD30" s="64"/>
      <c r="BE30" s="64"/>
      <c r="BF30" s="64"/>
      <c r="BG30" s="87">
        <f t="shared" ref="BG30:BG45" si="58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64" t="s">
        <v>56</v>
      </c>
      <c r="BI30" s="64">
        <v>0</v>
      </c>
      <c r="BJ30" s="64">
        <v>10</v>
      </c>
      <c r="BK30" s="64">
        <v>15</v>
      </c>
      <c r="BL30" s="64">
        <v>20</v>
      </c>
      <c r="BM30" s="64">
        <v>25</v>
      </c>
      <c r="BN30" s="64">
        <v>30</v>
      </c>
      <c r="BO30" s="64">
        <v>35</v>
      </c>
      <c r="BP30" s="64">
        <v>40</v>
      </c>
      <c r="BQ30" s="64">
        <v>45</v>
      </c>
      <c r="BR30" s="64">
        <v>50</v>
      </c>
      <c r="BS30" s="64">
        <v>55</v>
      </c>
      <c r="BT30" s="64">
        <v>60</v>
      </c>
      <c r="BU30" s="64">
        <v>65</v>
      </c>
      <c r="BV30" s="64"/>
      <c r="BW30" s="64" t="s">
        <v>195</v>
      </c>
      <c r="BX30" s="64">
        <v>0</v>
      </c>
      <c r="BY30" s="64">
        <v>10</v>
      </c>
      <c r="BZ30" s="64">
        <v>15</v>
      </c>
      <c r="CA30" s="64">
        <v>20</v>
      </c>
      <c r="CB30" s="64">
        <v>25</v>
      </c>
      <c r="CC30" s="64">
        <v>30</v>
      </c>
      <c r="CD30" s="64">
        <v>35</v>
      </c>
      <c r="CE30" s="64">
        <v>40</v>
      </c>
      <c r="CF30" s="64">
        <v>45</v>
      </c>
      <c r="CG30" s="64">
        <v>50</v>
      </c>
      <c r="CH30" s="64">
        <v>55</v>
      </c>
      <c r="CI30" s="64">
        <v>60</v>
      </c>
      <c r="CJ30" s="64">
        <v>65</v>
      </c>
      <c r="CK30" s="64"/>
      <c r="CL30" s="64"/>
      <c r="CM30" s="64"/>
      <c r="CN30" s="64" t="s">
        <v>198</v>
      </c>
      <c r="CO30" s="64">
        <v>0</v>
      </c>
      <c r="CP30" s="64">
        <v>10</v>
      </c>
      <c r="CQ30" s="64">
        <v>15</v>
      </c>
      <c r="CR30" s="64">
        <v>20</v>
      </c>
      <c r="CS30" s="64">
        <v>25</v>
      </c>
      <c r="CT30" s="64">
        <v>30</v>
      </c>
      <c r="CU30" s="64">
        <v>35</v>
      </c>
      <c r="CV30" s="64">
        <v>40</v>
      </c>
      <c r="CW30" s="64">
        <v>45</v>
      </c>
      <c r="CX30" s="64">
        <v>50</v>
      </c>
      <c r="CY30" s="64">
        <v>55</v>
      </c>
      <c r="CZ30" s="64">
        <v>60</v>
      </c>
      <c r="DA30" s="64">
        <v>65</v>
      </c>
      <c r="DB30" s="64"/>
      <c r="DC30" s="64" t="s">
        <v>72</v>
      </c>
      <c r="DD30" s="64">
        <v>0</v>
      </c>
      <c r="DE30" s="64">
        <v>10</v>
      </c>
      <c r="DF30" s="64">
        <v>15</v>
      </c>
      <c r="DG30" s="64">
        <v>20</v>
      </c>
      <c r="DH30" s="64">
        <v>25</v>
      </c>
      <c r="DI30" s="64">
        <v>30</v>
      </c>
      <c r="DJ30" s="64">
        <v>35</v>
      </c>
      <c r="DK30" s="64">
        <v>40</v>
      </c>
      <c r="DL30" s="64">
        <v>45</v>
      </c>
      <c r="DM30" s="64">
        <v>50</v>
      </c>
      <c r="DN30" s="64">
        <v>55</v>
      </c>
      <c r="DO30" s="64">
        <v>60</v>
      </c>
      <c r="DP30" s="64">
        <v>65</v>
      </c>
      <c r="DQ30" s="80"/>
      <c r="DR30" s="80">
        <v>10</v>
      </c>
      <c r="DS30" s="80"/>
      <c r="DT30" s="64" t="s">
        <v>232</v>
      </c>
      <c r="DU30" s="64">
        <v>0</v>
      </c>
      <c r="DV30" s="64">
        <v>10</v>
      </c>
      <c r="DW30" s="64">
        <v>15</v>
      </c>
      <c r="DX30" s="64">
        <v>20</v>
      </c>
      <c r="DY30" s="64">
        <v>25</v>
      </c>
      <c r="DZ30" s="64">
        <v>30</v>
      </c>
      <c r="EA30" s="64">
        <v>35</v>
      </c>
      <c r="EB30" s="64">
        <v>40</v>
      </c>
      <c r="EC30" s="64">
        <v>45</v>
      </c>
      <c r="ED30" s="64">
        <v>50</v>
      </c>
      <c r="EE30" s="64">
        <v>55</v>
      </c>
      <c r="EF30" s="64">
        <v>60</v>
      </c>
      <c r="EG30" s="64">
        <v>65</v>
      </c>
      <c r="EH30" s="64"/>
      <c r="EI30" s="64"/>
      <c r="EJ30" s="69"/>
      <c r="EK30" s="64" t="s">
        <v>56</v>
      </c>
      <c r="EL30" s="64">
        <v>0</v>
      </c>
      <c r="EM30" s="64">
        <v>10</v>
      </c>
      <c r="EN30" s="64">
        <v>15</v>
      </c>
      <c r="EO30" s="64">
        <v>20</v>
      </c>
      <c r="EP30" s="64">
        <v>25</v>
      </c>
      <c r="EQ30" s="64">
        <v>30</v>
      </c>
      <c r="ER30" s="64">
        <v>35</v>
      </c>
      <c r="ES30" s="64">
        <v>40</v>
      </c>
      <c r="ET30" s="64">
        <v>45</v>
      </c>
      <c r="EU30" s="64">
        <v>50</v>
      </c>
      <c r="EV30" s="64">
        <v>55</v>
      </c>
      <c r="EW30" s="64">
        <v>60</v>
      </c>
      <c r="EX30" s="64">
        <v>65</v>
      </c>
      <c r="EY30" s="64"/>
      <c r="EZ30" s="64" t="s">
        <v>195</v>
      </c>
      <c r="FA30" s="64">
        <v>0</v>
      </c>
      <c r="FB30" s="64">
        <v>10</v>
      </c>
      <c r="FC30" s="64">
        <v>15</v>
      </c>
      <c r="FD30" s="64">
        <v>20</v>
      </c>
      <c r="FE30" s="64">
        <v>25</v>
      </c>
      <c r="FF30" s="64">
        <v>30</v>
      </c>
      <c r="FG30" s="64">
        <v>35</v>
      </c>
      <c r="FH30" s="64">
        <v>40</v>
      </c>
      <c r="FI30" s="64">
        <v>45</v>
      </c>
      <c r="FJ30" s="64">
        <v>50</v>
      </c>
      <c r="FK30" s="64">
        <v>55</v>
      </c>
      <c r="FL30" s="64">
        <v>60</v>
      </c>
      <c r="FM30" s="64">
        <v>65</v>
      </c>
      <c r="FN30" s="64"/>
      <c r="FO30" s="64" t="s">
        <v>198</v>
      </c>
      <c r="FP30" s="64">
        <v>0</v>
      </c>
      <c r="FQ30" s="64">
        <v>10</v>
      </c>
      <c r="FR30" s="64">
        <v>15</v>
      </c>
      <c r="FS30" s="64">
        <v>20</v>
      </c>
      <c r="FT30" s="64">
        <v>25</v>
      </c>
      <c r="FU30" s="64">
        <v>30</v>
      </c>
      <c r="FV30" s="64">
        <v>35</v>
      </c>
      <c r="FW30" s="64">
        <v>40</v>
      </c>
      <c r="FX30" s="64">
        <v>45</v>
      </c>
      <c r="FY30" s="64">
        <v>50</v>
      </c>
      <c r="FZ30" s="64">
        <v>55</v>
      </c>
      <c r="GA30" s="64">
        <v>60</v>
      </c>
      <c r="GB30" s="64">
        <v>65</v>
      </c>
      <c r="GC30" s="64"/>
      <c r="GD30" s="64" t="s">
        <v>72</v>
      </c>
      <c r="GE30" s="64">
        <v>0</v>
      </c>
      <c r="GF30" s="64">
        <v>10</v>
      </c>
      <c r="GG30" s="64">
        <v>15</v>
      </c>
      <c r="GH30" s="64">
        <v>20</v>
      </c>
      <c r="GI30" s="64">
        <v>25</v>
      </c>
      <c r="GJ30" s="64">
        <v>30</v>
      </c>
      <c r="GK30" s="64">
        <v>35</v>
      </c>
      <c r="GL30" s="64">
        <v>40</v>
      </c>
      <c r="GM30" s="64">
        <v>45</v>
      </c>
      <c r="GN30" s="64">
        <v>50</v>
      </c>
      <c r="GO30" s="64">
        <v>55</v>
      </c>
      <c r="GP30" s="64">
        <v>60</v>
      </c>
      <c r="GQ30" s="64">
        <v>65</v>
      </c>
      <c r="GR30" s="64"/>
      <c r="GS30" s="64" t="s">
        <v>232</v>
      </c>
      <c r="GT30" s="64">
        <v>0</v>
      </c>
      <c r="GU30" s="64">
        <v>10</v>
      </c>
      <c r="GV30" s="64">
        <v>15</v>
      </c>
      <c r="GW30" s="64">
        <v>20</v>
      </c>
      <c r="GX30" s="64">
        <v>25</v>
      </c>
      <c r="GY30" s="64">
        <v>30</v>
      </c>
      <c r="GZ30" s="64">
        <v>35</v>
      </c>
      <c r="HA30" s="64">
        <v>40</v>
      </c>
      <c r="HB30" s="64">
        <v>45</v>
      </c>
      <c r="HC30" s="64">
        <v>50</v>
      </c>
      <c r="HD30" s="64">
        <v>55</v>
      </c>
      <c r="HE30" s="64">
        <v>60</v>
      </c>
      <c r="HF30" s="64">
        <v>65</v>
      </c>
      <c r="HG30" s="70"/>
      <c r="HH30" s="64"/>
    </row>
    <row r="31" spans="1:216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290</v>
      </c>
      <c r="M31" s="11">
        <f>INDEX(cenník!$C$2:$I$568,MATCH($L31,cenník!$B$2:$B$557,0),MATCH(M$2,cenník!$C$1:$I$1,0))</f>
        <v>867810</v>
      </c>
      <c r="N31" s="11" t="str">
        <f>INDEX(cenník!$C$2:$I$568,MATCH($L31,cenník!$B$2:$B$557,0),MATCH(N$2,cenník!$C$1:$I$1,0))</f>
        <v>ks</v>
      </c>
      <c r="O31" s="11">
        <f>E6*4</f>
        <v>0</v>
      </c>
      <c r="P31" s="36">
        <f>INDEX(cenník!$C$2:$I$568,MATCH($L31,cenník!$B$2:$B$557,0),MATCH(P$2,cenník!$C$1:$I$1,0))</f>
        <v>17.5</v>
      </c>
      <c r="Q31" s="36">
        <f>O31*P31</f>
        <v>0</v>
      </c>
      <c r="R31" s="37">
        <f>$E$7</f>
        <v>0</v>
      </c>
      <c r="S31" s="36">
        <f>P31*((100-$E$7)/100)</f>
        <v>17.5</v>
      </c>
      <c r="T31" s="36">
        <f>O31*S31</f>
        <v>0</v>
      </c>
      <c r="U31" s="36">
        <f>INDEX(cenník!$C$2:$I$568,MATCH($L31,cenník!$B$2:$B$557,0),MATCH(U$2,cenník!$C$1:$I$1,0))*O31</f>
        <v>0</v>
      </c>
      <c r="V31" s="85"/>
      <c r="AC31" s="64"/>
      <c r="AD31" s="64"/>
      <c r="AE31" s="68" t="s">
        <v>350</v>
      </c>
      <c r="AF31" s="64">
        <v>1350</v>
      </c>
      <c r="AG31" s="64"/>
      <c r="AH31" s="64"/>
      <c r="AJ31" s="64"/>
      <c r="AK31" s="64"/>
      <c r="AL31" s="64"/>
      <c r="AM31" s="64"/>
      <c r="AN31" s="64"/>
      <c r="AO31" s="64"/>
      <c r="AP31" s="64"/>
      <c r="AQ31" s="64"/>
      <c r="AR31" s="64" t="s">
        <v>199</v>
      </c>
      <c r="AS31" s="64" t="s">
        <v>293</v>
      </c>
      <c r="AT31" s="64" t="s">
        <v>295</v>
      </c>
      <c r="AU31" s="64" t="s">
        <v>293</v>
      </c>
      <c r="AV31" s="64" t="s">
        <v>293</v>
      </c>
      <c r="AW31" s="64"/>
      <c r="AX31" s="64"/>
      <c r="AY31" s="64"/>
      <c r="AZ31" s="64"/>
      <c r="BA31" s="64"/>
      <c r="BB31" s="64"/>
      <c r="BC31" s="64"/>
      <c r="BD31" s="64"/>
      <c r="BE31" s="64"/>
      <c r="BF31" s="64"/>
      <c r="BG31" s="87">
        <f t="shared" si="58"/>
        <v>1</v>
      </c>
      <c r="BH31" s="64" t="s">
        <v>104</v>
      </c>
      <c r="BI31" s="64">
        <v>0</v>
      </c>
      <c r="BJ31" s="64">
        <f>IF(BJ3=0,0,IF(BJ3=5,6,IF(BJ3=10,12,IF(BJ3=15,18,IF(BJ3=20,24,0)))))</f>
        <v>0</v>
      </c>
      <c r="BK31" s="64">
        <f t="shared" ref="BK31:BU31" si="59">IF(BK3=0,0,IF(BK3=5,6,IF(BK3=10,12,IF(BK3=15,18,IF(BK3=20,24,0)))))</f>
        <v>0</v>
      </c>
      <c r="BL31" s="64">
        <f>IF(BL3=0,0,IF(BL3=5,6,IF(BL3=10,12,IF(BL3=15,18,IF(BL3=20,24,0)))))</f>
        <v>6</v>
      </c>
      <c r="BM31" s="64">
        <f t="shared" si="59"/>
        <v>0</v>
      </c>
      <c r="BN31" s="64">
        <f t="shared" si="59"/>
        <v>6</v>
      </c>
      <c r="BO31" s="64">
        <f t="shared" si="59"/>
        <v>0</v>
      </c>
      <c r="BP31" s="64">
        <f t="shared" si="59"/>
        <v>12</v>
      </c>
      <c r="BQ31" s="64">
        <f t="shared" si="59"/>
        <v>6</v>
      </c>
      <c r="BR31" s="64">
        <f t="shared" si="59"/>
        <v>12</v>
      </c>
      <c r="BS31" s="64">
        <f t="shared" si="59"/>
        <v>6</v>
      </c>
      <c r="BT31" s="64">
        <f t="shared" si="59"/>
        <v>12</v>
      </c>
      <c r="BU31" s="64">
        <f t="shared" si="59"/>
        <v>12</v>
      </c>
      <c r="BV31" s="64"/>
      <c r="BW31" s="64" t="s">
        <v>104</v>
      </c>
      <c r="BX31" s="64">
        <v>0</v>
      </c>
      <c r="BY31" s="64">
        <f t="shared" ref="BY31:CJ34" si="60">IF(BY3=0,0,IF(BY3=5,6,IF(BY3=10,12,IF(BY3=15,18,IF(BY3=20,24,0)))))</f>
        <v>0</v>
      </c>
      <c r="BZ31" s="64">
        <f t="shared" si="60"/>
        <v>6</v>
      </c>
      <c r="CA31" s="64">
        <f t="shared" si="60"/>
        <v>6</v>
      </c>
      <c r="CB31" s="64">
        <f t="shared" si="60"/>
        <v>0</v>
      </c>
      <c r="CC31" s="64">
        <f t="shared" si="60"/>
        <v>6</v>
      </c>
      <c r="CD31" s="64">
        <f t="shared" si="60"/>
        <v>0</v>
      </c>
      <c r="CE31" s="64">
        <f t="shared" si="60"/>
        <v>6</v>
      </c>
      <c r="CF31" s="64">
        <f t="shared" si="60"/>
        <v>12</v>
      </c>
      <c r="CG31" s="64">
        <f t="shared" si="60"/>
        <v>12</v>
      </c>
      <c r="CH31" s="64">
        <f t="shared" si="60"/>
        <v>12</v>
      </c>
      <c r="CI31" s="64">
        <f t="shared" si="60"/>
        <v>12</v>
      </c>
      <c r="CJ31" s="64">
        <f t="shared" si="60"/>
        <v>18</v>
      </c>
      <c r="CK31" s="64"/>
      <c r="CL31" s="64"/>
      <c r="CM31" s="64"/>
      <c r="CN31" s="64" t="s">
        <v>104</v>
      </c>
      <c r="CO31" s="64">
        <v>0</v>
      </c>
      <c r="CP31" s="64">
        <f t="shared" ref="CP31:DA34" si="61">IF(CP3=0,0,IF(CP3=5,6,IF(CP3=10,12,IF(CP3=15,18,IF(CP3=20,24,0)))))</f>
        <v>0</v>
      </c>
      <c r="CQ31" s="64">
        <f t="shared" si="61"/>
        <v>6</v>
      </c>
      <c r="CR31" s="64">
        <f t="shared" si="61"/>
        <v>0</v>
      </c>
      <c r="CS31" s="64">
        <f t="shared" si="61"/>
        <v>6</v>
      </c>
      <c r="CT31" s="64">
        <f t="shared" si="61"/>
        <v>0</v>
      </c>
      <c r="CU31" s="64">
        <f t="shared" si="61"/>
        <v>12</v>
      </c>
      <c r="CV31" s="64">
        <f t="shared" si="61"/>
        <v>6</v>
      </c>
      <c r="CW31" s="64">
        <f t="shared" si="61"/>
        <v>12</v>
      </c>
      <c r="CX31" s="64">
        <f t="shared" si="61"/>
        <v>18</v>
      </c>
      <c r="CY31" s="64">
        <f t="shared" si="61"/>
        <v>12</v>
      </c>
      <c r="CZ31" s="64">
        <f t="shared" si="61"/>
        <v>18</v>
      </c>
      <c r="DA31" s="64">
        <f t="shared" si="61"/>
        <v>24</v>
      </c>
      <c r="DB31" s="64"/>
      <c r="DC31" s="64" t="s">
        <v>104</v>
      </c>
      <c r="DD31" s="64">
        <v>0</v>
      </c>
      <c r="DE31" s="64">
        <f t="shared" ref="DE31:DP34" si="62">IF(DE3=0,0,IF(DE3=5,6,IF(DE3=10,12,IF(DE3=15,18,IF(DE3=20,24,0)))))</f>
        <v>0</v>
      </c>
      <c r="DF31" s="64">
        <f t="shared" si="62"/>
        <v>6</v>
      </c>
      <c r="DG31" s="64">
        <f t="shared" si="62"/>
        <v>0</v>
      </c>
      <c r="DH31" s="64">
        <f t="shared" si="62"/>
        <v>6</v>
      </c>
      <c r="DI31" s="64">
        <f t="shared" si="62"/>
        <v>0</v>
      </c>
      <c r="DJ31" s="64">
        <f t="shared" si="62"/>
        <v>6</v>
      </c>
      <c r="DK31" s="64">
        <f t="shared" si="62"/>
        <v>12</v>
      </c>
      <c r="DL31" s="64">
        <f t="shared" si="62"/>
        <v>6</v>
      </c>
      <c r="DM31" s="64">
        <f t="shared" si="62"/>
        <v>12</v>
      </c>
      <c r="DN31" s="64">
        <f t="shared" si="62"/>
        <v>18</v>
      </c>
      <c r="DO31" s="64">
        <f t="shared" si="62"/>
        <v>12</v>
      </c>
      <c r="DP31" s="64">
        <f t="shared" si="62"/>
        <v>18</v>
      </c>
      <c r="DQ31" s="80"/>
      <c r="DR31" s="80">
        <v>15</v>
      </c>
      <c r="DS31" s="80"/>
      <c r="DT31" s="64" t="s">
        <v>104</v>
      </c>
      <c r="DU31" s="64">
        <v>0</v>
      </c>
      <c r="DV31" s="64">
        <f t="shared" ref="DV31:EG34" si="63">IF(DV3=0,0,IF(DV3=5,6,IF(DV3=10,12,IF(DV3=15,18,IF(DV3=20,24,0)))))</f>
        <v>0</v>
      </c>
      <c r="DW31" s="64">
        <f t="shared" si="63"/>
        <v>6</v>
      </c>
      <c r="DX31" s="64">
        <f t="shared" si="63"/>
        <v>0</v>
      </c>
      <c r="DY31" s="64">
        <f t="shared" si="63"/>
        <v>0</v>
      </c>
      <c r="DZ31" s="64">
        <f t="shared" si="63"/>
        <v>12</v>
      </c>
      <c r="EA31" s="64">
        <f t="shared" si="63"/>
        <v>6</v>
      </c>
      <c r="EB31" s="64">
        <f t="shared" si="63"/>
        <v>12</v>
      </c>
      <c r="EC31" s="64">
        <f t="shared" si="63"/>
        <v>12</v>
      </c>
      <c r="ED31" s="64">
        <f t="shared" si="63"/>
        <v>18</v>
      </c>
      <c r="EE31" s="64">
        <f t="shared" si="63"/>
        <v>12</v>
      </c>
      <c r="EF31" s="64">
        <f t="shared" si="63"/>
        <v>18</v>
      </c>
      <c r="EG31" s="64">
        <f t="shared" si="63"/>
        <v>24</v>
      </c>
      <c r="EH31" s="64"/>
      <c r="EI31" s="64"/>
      <c r="EJ31" s="69"/>
      <c r="EK31" s="64" t="s">
        <v>286</v>
      </c>
      <c r="EL31" s="64">
        <v>0</v>
      </c>
      <c r="EM31" s="64">
        <f t="shared" ref="EM31:EX31" si="64">EM3/5*6</f>
        <v>0</v>
      </c>
      <c r="EN31" s="64">
        <f t="shared" si="64"/>
        <v>0</v>
      </c>
      <c r="EO31" s="64">
        <f t="shared" si="64"/>
        <v>6</v>
      </c>
      <c r="EP31" s="64">
        <f t="shared" si="64"/>
        <v>0</v>
      </c>
      <c r="EQ31" s="64">
        <f t="shared" si="64"/>
        <v>0</v>
      </c>
      <c r="ER31" s="64">
        <f t="shared" si="64"/>
        <v>0</v>
      </c>
      <c r="ES31" s="64">
        <f t="shared" si="64"/>
        <v>0</v>
      </c>
      <c r="ET31" s="64">
        <f t="shared" si="64"/>
        <v>0</v>
      </c>
      <c r="EU31" s="64">
        <f t="shared" si="64"/>
        <v>0</v>
      </c>
      <c r="EV31" s="64">
        <f t="shared" si="64"/>
        <v>0</v>
      </c>
      <c r="EW31" s="64">
        <f t="shared" si="64"/>
        <v>0</v>
      </c>
      <c r="EX31" s="64">
        <f t="shared" si="64"/>
        <v>0</v>
      </c>
      <c r="EZ31" s="64" t="s">
        <v>286</v>
      </c>
      <c r="FA31" s="64">
        <v>0</v>
      </c>
      <c r="FB31" s="64">
        <f t="shared" ref="FB31:FM31" si="65">FB3/5*6</f>
        <v>0</v>
      </c>
      <c r="FC31" s="64">
        <f t="shared" si="65"/>
        <v>6</v>
      </c>
      <c r="FD31" s="64">
        <f t="shared" si="65"/>
        <v>6</v>
      </c>
      <c r="FE31" s="64">
        <f t="shared" si="65"/>
        <v>0</v>
      </c>
      <c r="FF31" s="64">
        <f t="shared" si="65"/>
        <v>0</v>
      </c>
      <c r="FG31" s="64">
        <f t="shared" si="65"/>
        <v>0</v>
      </c>
      <c r="FH31" s="64">
        <f t="shared" si="65"/>
        <v>0</v>
      </c>
      <c r="FI31" s="64">
        <f t="shared" si="65"/>
        <v>0</v>
      </c>
      <c r="FJ31" s="64">
        <f t="shared" si="65"/>
        <v>0</v>
      </c>
      <c r="FK31" s="64">
        <f t="shared" si="65"/>
        <v>0</v>
      </c>
      <c r="FL31" s="64">
        <f t="shared" si="65"/>
        <v>0</v>
      </c>
      <c r="FM31" s="64">
        <f t="shared" si="65"/>
        <v>0</v>
      </c>
      <c r="FO31" s="64" t="s">
        <v>286</v>
      </c>
      <c r="FP31" s="64">
        <v>0</v>
      </c>
      <c r="FQ31" s="64">
        <f t="shared" ref="FQ31:GB31" si="66">FQ3/5*6</f>
        <v>0</v>
      </c>
      <c r="FR31" s="64">
        <f t="shared" si="66"/>
        <v>6</v>
      </c>
      <c r="FS31" s="64">
        <f t="shared" si="66"/>
        <v>0</v>
      </c>
      <c r="FT31" s="64">
        <f t="shared" si="66"/>
        <v>0</v>
      </c>
      <c r="FU31" s="64">
        <f t="shared" si="66"/>
        <v>0</v>
      </c>
      <c r="FV31" s="64">
        <f t="shared" si="66"/>
        <v>0</v>
      </c>
      <c r="FW31" s="64">
        <f t="shared" si="66"/>
        <v>0</v>
      </c>
      <c r="FX31" s="64">
        <f t="shared" si="66"/>
        <v>0</v>
      </c>
      <c r="FY31" s="64">
        <f t="shared" si="66"/>
        <v>0</v>
      </c>
      <c r="FZ31" s="64">
        <f t="shared" si="66"/>
        <v>0</v>
      </c>
      <c r="GA31" s="64">
        <f t="shared" si="66"/>
        <v>0</v>
      </c>
      <c r="GB31" s="64">
        <f t="shared" si="66"/>
        <v>0</v>
      </c>
      <c r="GD31" s="64" t="s">
        <v>286</v>
      </c>
      <c r="GE31" s="64">
        <v>0</v>
      </c>
      <c r="GF31" s="64">
        <f t="shared" ref="GF31:GQ31" si="67">GF3/5*6</f>
        <v>0</v>
      </c>
      <c r="GG31" s="64">
        <f t="shared" si="67"/>
        <v>6</v>
      </c>
      <c r="GH31" s="64">
        <f t="shared" si="67"/>
        <v>0</v>
      </c>
      <c r="GI31" s="64">
        <f t="shared" si="67"/>
        <v>0</v>
      </c>
      <c r="GJ31" s="64">
        <f t="shared" si="67"/>
        <v>0</v>
      </c>
      <c r="GK31" s="64">
        <f t="shared" si="67"/>
        <v>0</v>
      </c>
      <c r="GL31" s="64">
        <f t="shared" si="67"/>
        <v>0</v>
      </c>
      <c r="GM31" s="64">
        <f t="shared" si="67"/>
        <v>0</v>
      </c>
      <c r="GN31" s="64">
        <f t="shared" si="67"/>
        <v>0</v>
      </c>
      <c r="GO31" s="64">
        <f t="shared" si="67"/>
        <v>0</v>
      </c>
      <c r="GP31" s="64">
        <f t="shared" si="67"/>
        <v>0</v>
      </c>
      <c r="GQ31" s="64">
        <f t="shared" si="67"/>
        <v>0</v>
      </c>
      <c r="GS31" s="64" t="s">
        <v>286</v>
      </c>
      <c r="GT31" s="64">
        <v>0</v>
      </c>
      <c r="GU31" s="64">
        <f t="shared" ref="GU31:HF31" si="68">GU3/5*6</f>
        <v>0</v>
      </c>
      <c r="GV31" s="64">
        <f t="shared" si="68"/>
        <v>6</v>
      </c>
      <c r="GW31" s="64">
        <f t="shared" si="68"/>
        <v>0</v>
      </c>
      <c r="GX31" s="64">
        <f t="shared" si="68"/>
        <v>0</v>
      </c>
      <c r="GY31" s="64">
        <f t="shared" si="68"/>
        <v>0</v>
      </c>
      <c r="GZ31" s="64">
        <f t="shared" si="68"/>
        <v>0</v>
      </c>
      <c r="HA31" s="64">
        <f t="shared" si="68"/>
        <v>0</v>
      </c>
      <c r="HB31" s="64">
        <f t="shared" si="68"/>
        <v>0</v>
      </c>
      <c r="HC31" s="64">
        <f t="shared" si="68"/>
        <v>0</v>
      </c>
      <c r="HD31" s="64">
        <f t="shared" si="68"/>
        <v>0</v>
      </c>
      <c r="HE31" s="64">
        <f t="shared" si="68"/>
        <v>0</v>
      </c>
      <c r="HF31" s="64">
        <f t="shared" si="68"/>
        <v>0</v>
      </c>
      <c r="HG31" s="70"/>
      <c r="HH31" s="64"/>
    </row>
    <row r="32" spans="1:216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3"/>
      <c r="N32" s="23"/>
      <c r="O32" s="23"/>
      <c r="P32" s="23"/>
      <c r="Q32" s="23"/>
      <c r="R32" s="23"/>
      <c r="S32" s="23"/>
      <c r="T32" s="36">
        <f>SUM(T3:T31)</f>
        <v>0</v>
      </c>
      <c r="U32" s="36">
        <f>SUM(U3:U31)</f>
        <v>0</v>
      </c>
      <c r="V32" s="85"/>
      <c r="W32" s="82"/>
      <c r="X32" s="82"/>
      <c r="Y32" s="82"/>
      <c r="Z32" s="82"/>
      <c r="AA32" s="83" t="s">
        <v>124</v>
      </c>
      <c r="AB32" s="84" t="s">
        <v>126</v>
      </c>
      <c r="AC32" s="64"/>
      <c r="AD32" s="64"/>
      <c r="AE32" s="68" t="s">
        <v>355</v>
      </c>
      <c r="AF32" s="64">
        <v>1400</v>
      </c>
      <c r="AG32" s="64"/>
      <c r="AH32" s="64"/>
      <c r="AI32" s="64"/>
      <c r="AJ32" s="64"/>
      <c r="AK32" s="68" t="s">
        <v>515</v>
      </c>
      <c r="AL32" s="68" t="s">
        <v>516</v>
      </c>
      <c r="AM32" s="68" t="s">
        <v>483</v>
      </c>
      <c r="AN32" s="68" t="s">
        <v>517</v>
      </c>
      <c r="AO32" s="64"/>
      <c r="AP32" s="64"/>
      <c r="AQ32" s="64"/>
      <c r="AR32" s="64" t="s">
        <v>205</v>
      </c>
      <c r="AS32" s="64" t="s">
        <v>293</v>
      </c>
      <c r="AT32" s="64" t="s">
        <v>295</v>
      </c>
      <c r="AU32" s="64" t="s">
        <v>293</v>
      </c>
      <c r="AV32" s="64" t="s">
        <v>293</v>
      </c>
      <c r="AW32" s="64"/>
      <c r="AX32" s="64"/>
      <c r="AY32" s="64"/>
      <c r="AZ32" s="64"/>
      <c r="BA32" s="64"/>
      <c r="BB32" s="64"/>
      <c r="BC32" s="64"/>
      <c r="BD32" s="64"/>
      <c r="BE32" s="64"/>
      <c r="BF32" s="64"/>
      <c r="BG32" s="87">
        <f t="shared" si="58"/>
        <v>1</v>
      </c>
      <c r="BH32" s="64" t="s">
        <v>103</v>
      </c>
      <c r="BI32" s="64">
        <v>0</v>
      </c>
      <c r="BJ32" s="64">
        <f t="shared" ref="BJ32:BU33" si="69">IF(BJ4=0,0,IF(BJ4=5,6,IF(BJ4=10,12,IF(BJ4=15,18,IF(BJ4=20,24,0)))))</f>
        <v>0</v>
      </c>
      <c r="BK32" s="64">
        <f t="shared" si="69"/>
        <v>6</v>
      </c>
      <c r="BL32" s="64">
        <f t="shared" si="69"/>
        <v>0</v>
      </c>
      <c r="BM32" s="64">
        <f t="shared" si="69"/>
        <v>12</v>
      </c>
      <c r="BN32" s="64">
        <f t="shared" si="69"/>
        <v>0</v>
      </c>
      <c r="BO32" s="64">
        <f t="shared" si="69"/>
        <v>12</v>
      </c>
      <c r="BP32" s="64">
        <f t="shared" si="69"/>
        <v>0</v>
      </c>
      <c r="BQ32" s="64">
        <f t="shared" si="69"/>
        <v>12</v>
      </c>
      <c r="BR32" s="64">
        <f t="shared" si="69"/>
        <v>0</v>
      </c>
      <c r="BS32" s="64">
        <f t="shared" si="69"/>
        <v>12</v>
      </c>
      <c r="BT32" s="64">
        <f t="shared" si="69"/>
        <v>6</v>
      </c>
      <c r="BU32" s="64">
        <f t="shared" si="69"/>
        <v>12</v>
      </c>
      <c r="BV32" s="64"/>
      <c r="BW32" s="64" t="s">
        <v>103</v>
      </c>
      <c r="BX32" s="64">
        <v>0</v>
      </c>
      <c r="BY32" s="64">
        <f t="shared" si="60"/>
        <v>0</v>
      </c>
      <c r="BZ32" s="64">
        <f t="shared" si="60"/>
        <v>0</v>
      </c>
      <c r="CA32" s="64">
        <f t="shared" si="60"/>
        <v>0</v>
      </c>
      <c r="CB32" s="64">
        <f t="shared" si="60"/>
        <v>12</v>
      </c>
      <c r="CC32" s="64">
        <f t="shared" si="60"/>
        <v>6</v>
      </c>
      <c r="CD32" s="64">
        <f t="shared" si="60"/>
        <v>12</v>
      </c>
      <c r="CE32" s="64">
        <f t="shared" si="60"/>
        <v>12</v>
      </c>
      <c r="CF32" s="64">
        <f t="shared" si="60"/>
        <v>0</v>
      </c>
      <c r="CG32" s="64">
        <f t="shared" si="60"/>
        <v>6</v>
      </c>
      <c r="CH32" s="64">
        <f t="shared" si="60"/>
        <v>6</v>
      </c>
      <c r="CI32" s="64">
        <f t="shared" si="60"/>
        <v>12</v>
      </c>
      <c r="CJ32" s="64">
        <f t="shared" si="60"/>
        <v>6</v>
      </c>
      <c r="CK32" s="64"/>
      <c r="CL32" s="64"/>
      <c r="CM32" s="64"/>
      <c r="CN32" s="64" t="s">
        <v>103</v>
      </c>
      <c r="CO32" s="64">
        <v>0</v>
      </c>
      <c r="CP32" s="64">
        <f t="shared" si="61"/>
        <v>0</v>
      </c>
      <c r="CQ32" s="64">
        <f t="shared" si="61"/>
        <v>0</v>
      </c>
      <c r="CR32" s="64">
        <f t="shared" si="61"/>
        <v>6</v>
      </c>
      <c r="CS32" s="64">
        <f t="shared" si="61"/>
        <v>0</v>
      </c>
      <c r="CT32" s="64">
        <f t="shared" si="61"/>
        <v>12</v>
      </c>
      <c r="CU32" s="64">
        <f t="shared" si="61"/>
        <v>0</v>
      </c>
      <c r="CV32" s="64">
        <f t="shared" si="61"/>
        <v>12</v>
      </c>
      <c r="CW32" s="64">
        <f t="shared" si="61"/>
        <v>6</v>
      </c>
      <c r="CX32" s="64">
        <f t="shared" si="61"/>
        <v>0</v>
      </c>
      <c r="CY32" s="64">
        <f t="shared" si="61"/>
        <v>12</v>
      </c>
      <c r="CZ32" s="64">
        <f t="shared" si="61"/>
        <v>6</v>
      </c>
      <c r="DA32" s="64">
        <f t="shared" si="61"/>
        <v>0</v>
      </c>
      <c r="DB32" s="64"/>
      <c r="DC32" s="64" t="s">
        <v>103</v>
      </c>
      <c r="DD32" s="64">
        <v>0</v>
      </c>
      <c r="DE32" s="64">
        <f t="shared" si="62"/>
        <v>6</v>
      </c>
      <c r="DF32" s="64">
        <f t="shared" si="62"/>
        <v>0</v>
      </c>
      <c r="DG32" s="64">
        <f t="shared" si="62"/>
        <v>12</v>
      </c>
      <c r="DH32" s="64">
        <f t="shared" si="62"/>
        <v>0</v>
      </c>
      <c r="DI32" s="64">
        <f t="shared" si="62"/>
        <v>12</v>
      </c>
      <c r="DJ32" s="64">
        <f t="shared" si="62"/>
        <v>12</v>
      </c>
      <c r="DK32" s="64">
        <f t="shared" si="62"/>
        <v>6</v>
      </c>
      <c r="DL32" s="64">
        <f t="shared" si="62"/>
        <v>12</v>
      </c>
      <c r="DM32" s="64">
        <f t="shared" si="62"/>
        <v>6</v>
      </c>
      <c r="DN32" s="64">
        <f t="shared" si="62"/>
        <v>6</v>
      </c>
      <c r="DO32" s="64">
        <f t="shared" si="62"/>
        <v>12</v>
      </c>
      <c r="DP32" s="64">
        <f t="shared" si="62"/>
        <v>6</v>
      </c>
      <c r="DQ32" s="80"/>
      <c r="DR32" s="80">
        <v>20</v>
      </c>
      <c r="DS32" s="80"/>
      <c r="DT32" s="64" t="s">
        <v>103</v>
      </c>
      <c r="DU32" s="64">
        <v>0</v>
      </c>
      <c r="DV32" s="64">
        <f t="shared" si="63"/>
        <v>6</v>
      </c>
      <c r="DW32" s="64">
        <f t="shared" si="63"/>
        <v>0</v>
      </c>
      <c r="DX32" s="64">
        <f t="shared" si="63"/>
        <v>12</v>
      </c>
      <c r="DY32" s="64">
        <f t="shared" si="63"/>
        <v>12</v>
      </c>
      <c r="DZ32" s="64">
        <f t="shared" si="63"/>
        <v>0</v>
      </c>
      <c r="EA32" s="64">
        <f t="shared" si="63"/>
        <v>12</v>
      </c>
      <c r="EB32" s="64">
        <f t="shared" si="63"/>
        <v>6</v>
      </c>
      <c r="EC32" s="64">
        <f t="shared" si="63"/>
        <v>6</v>
      </c>
      <c r="ED32" s="64">
        <f t="shared" si="63"/>
        <v>6</v>
      </c>
      <c r="EE32" s="64">
        <f t="shared" si="63"/>
        <v>12</v>
      </c>
      <c r="EF32" s="64">
        <f t="shared" si="63"/>
        <v>6</v>
      </c>
      <c r="EG32" s="64">
        <f t="shared" si="63"/>
        <v>0</v>
      </c>
      <c r="EH32" s="64"/>
      <c r="EI32" s="64"/>
      <c r="EJ32" s="69"/>
      <c r="EK32" s="64" t="s">
        <v>240</v>
      </c>
      <c r="EL32" s="64">
        <v>0</v>
      </c>
      <c r="EM32" s="64">
        <f>EM4/5*6</f>
        <v>0</v>
      </c>
      <c r="EN32" s="64">
        <f t="shared" ref="EN32:EX32" si="70">EN4/5*6</f>
        <v>6</v>
      </c>
      <c r="EO32" s="64">
        <f t="shared" si="70"/>
        <v>0</v>
      </c>
      <c r="EP32" s="64">
        <f t="shared" si="70"/>
        <v>12</v>
      </c>
      <c r="EQ32" s="64">
        <f t="shared" si="70"/>
        <v>0</v>
      </c>
      <c r="ER32" s="64">
        <f t="shared" si="70"/>
        <v>12</v>
      </c>
      <c r="ES32" s="64">
        <f t="shared" si="70"/>
        <v>0</v>
      </c>
      <c r="ET32" s="64">
        <f t="shared" si="70"/>
        <v>12</v>
      </c>
      <c r="EU32" s="64">
        <f t="shared" si="70"/>
        <v>0</v>
      </c>
      <c r="EV32" s="64">
        <f t="shared" si="70"/>
        <v>12</v>
      </c>
      <c r="EW32" s="64">
        <f t="shared" si="70"/>
        <v>6</v>
      </c>
      <c r="EX32" s="64">
        <f t="shared" si="70"/>
        <v>12</v>
      </c>
      <c r="EY32" s="64"/>
      <c r="EZ32" s="64" t="s">
        <v>240</v>
      </c>
      <c r="FA32" s="64">
        <v>0</v>
      </c>
      <c r="FB32" s="64">
        <f t="shared" ref="FB32:FM32" si="71">FB4/5*6</f>
        <v>0</v>
      </c>
      <c r="FC32" s="64">
        <f t="shared" si="71"/>
        <v>0</v>
      </c>
      <c r="FD32" s="64">
        <f t="shared" si="71"/>
        <v>0</v>
      </c>
      <c r="FE32" s="64">
        <f t="shared" si="71"/>
        <v>12</v>
      </c>
      <c r="FF32" s="64">
        <f t="shared" si="71"/>
        <v>6</v>
      </c>
      <c r="FG32" s="64">
        <f t="shared" si="71"/>
        <v>12</v>
      </c>
      <c r="FH32" s="64">
        <f t="shared" si="71"/>
        <v>12</v>
      </c>
      <c r="FI32" s="64">
        <f t="shared" si="71"/>
        <v>0</v>
      </c>
      <c r="FJ32" s="64">
        <f t="shared" si="71"/>
        <v>6</v>
      </c>
      <c r="FK32" s="64">
        <f t="shared" si="71"/>
        <v>6</v>
      </c>
      <c r="FL32" s="64">
        <f t="shared" si="71"/>
        <v>12</v>
      </c>
      <c r="FM32" s="64">
        <f t="shared" si="71"/>
        <v>6</v>
      </c>
      <c r="FN32" s="64"/>
      <c r="FO32" s="64" t="s">
        <v>240</v>
      </c>
      <c r="FP32" s="64">
        <v>0</v>
      </c>
      <c r="FQ32" s="64">
        <f t="shared" ref="FQ32:GB32" si="72">FQ4/5*6</f>
        <v>0</v>
      </c>
      <c r="FR32" s="64">
        <f t="shared" si="72"/>
        <v>0</v>
      </c>
      <c r="FS32" s="64">
        <f t="shared" si="72"/>
        <v>6</v>
      </c>
      <c r="FT32" s="64">
        <f t="shared" si="72"/>
        <v>0</v>
      </c>
      <c r="FU32" s="64">
        <f t="shared" si="72"/>
        <v>12</v>
      </c>
      <c r="FV32" s="64">
        <f t="shared" si="72"/>
        <v>0</v>
      </c>
      <c r="FW32" s="64">
        <f t="shared" si="72"/>
        <v>12</v>
      </c>
      <c r="FX32" s="64">
        <f t="shared" si="72"/>
        <v>6</v>
      </c>
      <c r="FY32" s="64">
        <f t="shared" si="72"/>
        <v>0</v>
      </c>
      <c r="FZ32" s="64">
        <f t="shared" si="72"/>
        <v>12</v>
      </c>
      <c r="GA32" s="64">
        <f t="shared" si="72"/>
        <v>6</v>
      </c>
      <c r="GB32" s="64">
        <f t="shared" si="72"/>
        <v>0</v>
      </c>
      <c r="GC32" s="64"/>
      <c r="GD32" s="64" t="s">
        <v>240</v>
      </c>
      <c r="GE32" s="64">
        <v>0</v>
      </c>
      <c r="GF32" s="64">
        <f t="shared" ref="GF32:GQ32" si="73">GF4/5*6</f>
        <v>6</v>
      </c>
      <c r="GG32" s="64">
        <f t="shared" si="73"/>
        <v>0</v>
      </c>
      <c r="GH32" s="64">
        <f t="shared" si="73"/>
        <v>12</v>
      </c>
      <c r="GI32" s="64">
        <f t="shared" si="73"/>
        <v>0</v>
      </c>
      <c r="GJ32" s="64">
        <f t="shared" si="73"/>
        <v>12</v>
      </c>
      <c r="GK32" s="64">
        <f t="shared" si="73"/>
        <v>12</v>
      </c>
      <c r="GL32" s="64">
        <f t="shared" si="73"/>
        <v>6</v>
      </c>
      <c r="GM32" s="64">
        <f t="shared" si="73"/>
        <v>12</v>
      </c>
      <c r="GN32" s="64">
        <f t="shared" si="73"/>
        <v>6</v>
      </c>
      <c r="GO32" s="64">
        <f t="shared" si="73"/>
        <v>6</v>
      </c>
      <c r="GP32" s="64">
        <f t="shared" si="73"/>
        <v>12</v>
      </c>
      <c r="GQ32" s="64">
        <f t="shared" si="73"/>
        <v>6</v>
      </c>
      <c r="GR32" s="64"/>
      <c r="GS32" s="64" t="s">
        <v>240</v>
      </c>
      <c r="GT32" s="64">
        <v>0</v>
      </c>
      <c r="GU32" s="64">
        <f t="shared" ref="GU32:HF32" si="74">GU4/5*6</f>
        <v>6</v>
      </c>
      <c r="GV32" s="64">
        <f t="shared" si="74"/>
        <v>0</v>
      </c>
      <c r="GW32" s="64">
        <f t="shared" si="74"/>
        <v>12</v>
      </c>
      <c r="GX32" s="64">
        <f t="shared" si="74"/>
        <v>12</v>
      </c>
      <c r="GY32" s="64">
        <f t="shared" si="74"/>
        <v>0</v>
      </c>
      <c r="GZ32" s="64">
        <f t="shared" si="74"/>
        <v>12</v>
      </c>
      <c r="HA32" s="64">
        <f t="shared" si="74"/>
        <v>6</v>
      </c>
      <c r="HB32" s="64">
        <f t="shared" si="74"/>
        <v>6</v>
      </c>
      <c r="HC32" s="64">
        <f t="shared" si="74"/>
        <v>6</v>
      </c>
      <c r="HD32" s="64">
        <f t="shared" si="74"/>
        <v>12</v>
      </c>
      <c r="HE32" s="64">
        <f t="shared" si="74"/>
        <v>6</v>
      </c>
      <c r="HF32" s="64">
        <f t="shared" si="74"/>
        <v>0</v>
      </c>
      <c r="HG32" s="70"/>
      <c r="HH32" s="64"/>
    </row>
    <row r="33" spans="1:216" ht="39" x14ac:dyDescent="0.25">
      <c r="A33" s="3" t="s">
        <v>554</v>
      </c>
      <c r="B33" s="3"/>
      <c r="C33" s="3" t="s">
        <v>555</v>
      </c>
      <c r="D33" s="9"/>
      <c r="E33" s="9"/>
      <c r="F33" s="9"/>
      <c r="G33" s="9"/>
      <c r="H33" s="9"/>
      <c r="I33" s="9"/>
      <c r="J33" s="9"/>
      <c r="K33" s="9"/>
      <c r="L33" s="221" t="str">
        <f>IF(E37="zatĺkaná","KONŠTRUKCIA W-H5G2-25°",IF(E37="betónovaná","KONŠTRUKCIA W-H5B2-25°",IF(E37="kotvená","KONŠTRUKCIA W-H5K2-25°",IF(E37="na zemných skrutkach","KONŠTRUKCIA W-H5S2-25°"))))</f>
        <v>KONŠTRUKCIA W-H5G2-25°</v>
      </c>
      <c r="M33" s="221"/>
      <c r="N33" s="221"/>
      <c r="O33" s="221"/>
      <c r="P33" s="221"/>
      <c r="Q33" s="221"/>
      <c r="R33" s="221"/>
      <c r="S33" s="221"/>
      <c r="T33" s="221"/>
      <c r="U33" s="221"/>
      <c r="V33" s="85"/>
      <c r="W33" s="82"/>
      <c r="X33" s="82"/>
      <c r="Y33" s="82"/>
      <c r="Z33" s="82"/>
      <c r="AA33" s="64">
        <f t="shared" ref="AA33:AA48" si="75">(VLOOKUP(BG30,$AY$5:$BA$9,3,1))*C34</f>
        <v>0</v>
      </c>
      <c r="AB33" s="64">
        <f t="shared" ref="AB33:AB48" si="76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64"/>
      <c r="AD33" s="64"/>
      <c r="AE33" s="87" t="s">
        <v>56</v>
      </c>
      <c r="AF33" s="64">
        <v>1650</v>
      </c>
      <c r="AG33" s="64"/>
      <c r="AH33" s="64"/>
      <c r="AI33" s="64"/>
      <c r="AJ33" s="64">
        <v>25</v>
      </c>
      <c r="AK33" s="64" t="s">
        <v>564</v>
      </c>
      <c r="AL33" s="64" t="s">
        <v>565</v>
      </c>
      <c r="AM33" s="64" t="s">
        <v>566</v>
      </c>
      <c r="AN33" s="64" t="s">
        <v>567</v>
      </c>
      <c r="AO33" s="64"/>
      <c r="AP33" s="64"/>
      <c r="AQ33" s="64"/>
      <c r="AR33" s="64" t="s">
        <v>329</v>
      </c>
      <c r="AS33" s="64" t="s">
        <v>293</v>
      </c>
      <c r="AT33" s="64" t="s">
        <v>295</v>
      </c>
      <c r="AU33" s="64" t="s">
        <v>293</v>
      </c>
      <c r="AV33" s="64" t="s">
        <v>293</v>
      </c>
      <c r="AW33" s="64"/>
      <c r="AX33" s="64"/>
      <c r="AY33" s="64"/>
      <c r="AZ33" s="64"/>
      <c r="BA33" s="64"/>
      <c r="BB33" s="64"/>
      <c r="BC33" s="64"/>
      <c r="BD33" s="64"/>
      <c r="BE33" s="64"/>
      <c r="BF33" s="64"/>
      <c r="BG33" s="87">
        <f t="shared" si="58"/>
        <v>1</v>
      </c>
      <c r="BH33" s="64" t="s">
        <v>16</v>
      </c>
      <c r="BI33" s="64">
        <v>0</v>
      </c>
      <c r="BJ33" s="64">
        <f>IF(BJ5=0,0,IF(BJ5=5,6,IF(BJ5=10,12,IF(BJ5=15,18,IF(BJ5=20,24,0)))))</f>
        <v>6</v>
      </c>
      <c r="BK33" s="64">
        <f t="shared" si="69"/>
        <v>0</v>
      </c>
      <c r="BL33" s="64">
        <f t="shared" si="69"/>
        <v>0</v>
      </c>
      <c r="BM33" s="64">
        <f t="shared" si="69"/>
        <v>0</v>
      </c>
      <c r="BN33" s="64">
        <f t="shared" si="69"/>
        <v>6</v>
      </c>
      <c r="BO33" s="64">
        <f t="shared" si="69"/>
        <v>6</v>
      </c>
      <c r="BP33" s="64">
        <f t="shared" si="69"/>
        <v>0</v>
      </c>
      <c r="BQ33" s="64">
        <f t="shared" si="69"/>
        <v>0</v>
      </c>
      <c r="BR33" s="64">
        <f t="shared" si="69"/>
        <v>6</v>
      </c>
      <c r="BS33" s="64">
        <f t="shared" si="69"/>
        <v>6</v>
      </c>
      <c r="BT33" s="64">
        <f t="shared" si="69"/>
        <v>6</v>
      </c>
      <c r="BU33" s="64">
        <f t="shared" si="69"/>
        <v>0</v>
      </c>
      <c r="BV33" s="64"/>
      <c r="BW33" s="64" t="s">
        <v>16</v>
      </c>
      <c r="BX33" s="64">
        <v>0</v>
      </c>
      <c r="BY33" s="64">
        <f t="shared" si="60"/>
        <v>6</v>
      </c>
      <c r="BZ33" s="64">
        <f t="shared" si="60"/>
        <v>0</v>
      </c>
      <c r="CA33" s="64">
        <f t="shared" si="60"/>
        <v>0</v>
      </c>
      <c r="CB33" s="64">
        <f t="shared" si="60"/>
        <v>0</v>
      </c>
      <c r="CC33" s="64">
        <f t="shared" si="60"/>
        <v>0</v>
      </c>
      <c r="CD33" s="64">
        <f t="shared" si="60"/>
        <v>6</v>
      </c>
      <c r="CE33" s="64">
        <f t="shared" si="60"/>
        <v>0</v>
      </c>
      <c r="CF33" s="64">
        <f t="shared" si="60"/>
        <v>6</v>
      </c>
      <c r="CG33" s="64">
        <f t="shared" si="60"/>
        <v>0</v>
      </c>
      <c r="CH33" s="64">
        <f t="shared" si="60"/>
        <v>6</v>
      </c>
      <c r="CI33" s="64">
        <f t="shared" si="60"/>
        <v>0</v>
      </c>
      <c r="CJ33" s="64">
        <f t="shared" si="60"/>
        <v>0</v>
      </c>
      <c r="CK33" s="64"/>
      <c r="CL33" s="64"/>
      <c r="CM33" s="64"/>
      <c r="CN33" s="64" t="s">
        <v>16</v>
      </c>
      <c r="CO33" s="64">
        <v>0</v>
      </c>
      <c r="CP33" s="64">
        <f t="shared" si="61"/>
        <v>6</v>
      </c>
      <c r="CQ33" s="64">
        <f t="shared" si="61"/>
        <v>0</v>
      </c>
      <c r="CR33" s="64">
        <f t="shared" si="61"/>
        <v>6</v>
      </c>
      <c r="CS33" s="64">
        <f t="shared" si="61"/>
        <v>6</v>
      </c>
      <c r="CT33" s="64">
        <f t="shared" si="61"/>
        <v>6</v>
      </c>
      <c r="CU33" s="64">
        <f t="shared" si="61"/>
        <v>0</v>
      </c>
      <c r="CV33" s="64">
        <f t="shared" si="61"/>
        <v>0</v>
      </c>
      <c r="CW33" s="64">
        <f t="shared" si="61"/>
        <v>0</v>
      </c>
      <c r="CX33" s="64">
        <f t="shared" si="61"/>
        <v>0</v>
      </c>
      <c r="CY33" s="64">
        <f t="shared" si="61"/>
        <v>0</v>
      </c>
      <c r="CZ33" s="64">
        <f t="shared" si="61"/>
        <v>0</v>
      </c>
      <c r="DA33" s="64">
        <f t="shared" si="61"/>
        <v>0</v>
      </c>
      <c r="DB33" s="64"/>
      <c r="DC33" s="64" t="s">
        <v>16</v>
      </c>
      <c r="DD33" s="64">
        <v>0</v>
      </c>
      <c r="DE33" s="64">
        <f t="shared" si="62"/>
        <v>0</v>
      </c>
      <c r="DF33" s="64">
        <f t="shared" si="62"/>
        <v>0</v>
      </c>
      <c r="DG33" s="64">
        <f t="shared" si="62"/>
        <v>0</v>
      </c>
      <c r="DH33" s="64">
        <f t="shared" si="62"/>
        <v>6</v>
      </c>
      <c r="DI33" s="64">
        <f t="shared" si="62"/>
        <v>6</v>
      </c>
      <c r="DJ33" s="64">
        <f t="shared" si="62"/>
        <v>0</v>
      </c>
      <c r="DK33" s="64">
        <f t="shared" si="62"/>
        <v>0</v>
      </c>
      <c r="DL33" s="64">
        <f t="shared" si="62"/>
        <v>6</v>
      </c>
      <c r="DM33" s="64">
        <f t="shared" si="62"/>
        <v>6</v>
      </c>
      <c r="DN33" s="64">
        <f t="shared" si="62"/>
        <v>0</v>
      </c>
      <c r="DO33" s="64">
        <f t="shared" si="62"/>
        <v>6</v>
      </c>
      <c r="DP33" s="64">
        <f t="shared" si="62"/>
        <v>6</v>
      </c>
      <c r="DQ33" s="80"/>
      <c r="DR33" s="80">
        <v>25</v>
      </c>
      <c r="DS33" s="80"/>
      <c r="DT33" s="64" t="s">
        <v>16</v>
      </c>
      <c r="DU33" s="64">
        <v>0</v>
      </c>
      <c r="DV33" s="64">
        <f t="shared" si="63"/>
        <v>0</v>
      </c>
      <c r="DW33" s="64">
        <f t="shared" si="63"/>
        <v>0</v>
      </c>
      <c r="DX33" s="64">
        <f t="shared" si="63"/>
        <v>0</v>
      </c>
      <c r="DY33" s="64">
        <f t="shared" si="63"/>
        <v>6</v>
      </c>
      <c r="DZ33" s="64">
        <f t="shared" si="63"/>
        <v>0</v>
      </c>
      <c r="EA33" s="64">
        <f t="shared" si="63"/>
        <v>0</v>
      </c>
      <c r="EB33" s="64">
        <f t="shared" si="63"/>
        <v>0</v>
      </c>
      <c r="EC33" s="64">
        <f t="shared" si="63"/>
        <v>6</v>
      </c>
      <c r="ED33" s="64">
        <f t="shared" si="63"/>
        <v>0</v>
      </c>
      <c r="EE33" s="64">
        <f t="shared" si="63"/>
        <v>6</v>
      </c>
      <c r="EF33" s="64">
        <f t="shared" si="63"/>
        <v>6</v>
      </c>
      <c r="EG33" s="64">
        <f t="shared" si="63"/>
        <v>6</v>
      </c>
      <c r="EH33" s="64"/>
      <c r="EI33" s="64"/>
      <c r="EJ33" s="69"/>
      <c r="EK33" s="64" t="s">
        <v>241</v>
      </c>
      <c r="EL33" s="64">
        <v>0</v>
      </c>
      <c r="EM33" s="64">
        <f t="shared" ref="EM33:EX33" si="77">EM5/5*6</f>
        <v>6</v>
      </c>
      <c r="EN33" s="64">
        <f t="shared" si="77"/>
        <v>0</v>
      </c>
      <c r="EO33" s="64">
        <f t="shared" si="77"/>
        <v>0</v>
      </c>
      <c r="EP33" s="64">
        <f t="shared" si="77"/>
        <v>0</v>
      </c>
      <c r="EQ33" s="64">
        <f t="shared" si="77"/>
        <v>18</v>
      </c>
      <c r="ER33" s="64">
        <f t="shared" si="77"/>
        <v>6</v>
      </c>
      <c r="ES33" s="64">
        <f t="shared" si="77"/>
        <v>24</v>
      </c>
      <c r="ET33" s="64">
        <f t="shared" si="77"/>
        <v>12</v>
      </c>
      <c r="EU33" s="64">
        <f t="shared" si="77"/>
        <v>30</v>
      </c>
      <c r="EV33" s="64">
        <f t="shared" si="77"/>
        <v>18</v>
      </c>
      <c r="EW33" s="64">
        <f t="shared" si="77"/>
        <v>30</v>
      </c>
      <c r="EX33" s="64">
        <f t="shared" si="77"/>
        <v>24</v>
      </c>
      <c r="EY33" s="64"/>
      <c r="EZ33" s="64" t="s">
        <v>241</v>
      </c>
      <c r="FA33" s="64">
        <v>0</v>
      </c>
      <c r="FB33" s="64">
        <f t="shared" ref="FB33:FM33" si="78">FB5/5*6</f>
        <v>6</v>
      </c>
      <c r="FC33" s="64">
        <f t="shared" si="78"/>
        <v>0</v>
      </c>
      <c r="FD33" s="64">
        <f t="shared" si="78"/>
        <v>0</v>
      </c>
      <c r="FE33" s="64">
        <f t="shared" si="78"/>
        <v>0</v>
      </c>
      <c r="FF33" s="64">
        <f t="shared" si="78"/>
        <v>12</v>
      </c>
      <c r="FG33" s="64">
        <f t="shared" si="78"/>
        <v>6</v>
      </c>
      <c r="FH33" s="64">
        <f t="shared" si="78"/>
        <v>12</v>
      </c>
      <c r="FI33" s="64">
        <f t="shared" si="78"/>
        <v>30</v>
      </c>
      <c r="FJ33" s="64">
        <f t="shared" si="78"/>
        <v>24</v>
      </c>
      <c r="FK33" s="64">
        <f t="shared" si="78"/>
        <v>30</v>
      </c>
      <c r="FL33" s="64">
        <f t="shared" si="78"/>
        <v>24</v>
      </c>
      <c r="FM33" s="64">
        <f t="shared" si="78"/>
        <v>36</v>
      </c>
      <c r="FN33" s="64"/>
      <c r="FO33" s="64" t="s">
        <v>241</v>
      </c>
      <c r="FP33" s="64">
        <v>0</v>
      </c>
      <c r="FQ33" s="64">
        <f t="shared" ref="FQ33:GB33" si="79">FQ5/5*6</f>
        <v>6</v>
      </c>
      <c r="FR33" s="64">
        <f t="shared" si="79"/>
        <v>0</v>
      </c>
      <c r="FS33" s="64">
        <f t="shared" si="79"/>
        <v>6</v>
      </c>
      <c r="FT33" s="64">
        <f t="shared" si="79"/>
        <v>18</v>
      </c>
      <c r="FU33" s="64">
        <f t="shared" si="79"/>
        <v>6</v>
      </c>
      <c r="FV33" s="64">
        <f t="shared" si="79"/>
        <v>24</v>
      </c>
      <c r="FW33" s="64">
        <f t="shared" si="79"/>
        <v>12</v>
      </c>
      <c r="FX33" s="64">
        <f t="shared" si="79"/>
        <v>24</v>
      </c>
      <c r="FY33" s="64">
        <f t="shared" si="79"/>
        <v>36</v>
      </c>
      <c r="FZ33" s="64">
        <f t="shared" si="79"/>
        <v>24</v>
      </c>
      <c r="GA33" s="64">
        <f t="shared" si="79"/>
        <v>36</v>
      </c>
      <c r="GB33" s="64">
        <f t="shared" si="79"/>
        <v>48</v>
      </c>
      <c r="GC33" s="64"/>
      <c r="GD33" s="64" t="s">
        <v>241</v>
      </c>
      <c r="GE33" s="64">
        <v>0</v>
      </c>
      <c r="GF33" s="64">
        <f t="shared" ref="GF33:GQ33" si="80">GF5/5*6</f>
        <v>0</v>
      </c>
      <c r="GG33" s="64">
        <f t="shared" si="80"/>
        <v>0</v>
      </c>
      <c r="GH33" s="64">
        <f t="shared" si="80"/>
        <v>0</v>
      </c>
      <c r="GI33" s="64">
        <f t="shared" si="80"/>
        <v>18</v>
      </c>
      <c r="GJ33" s="64">
        <f t="shared" si="80"/>
        <v>6</v>
      </c>
      <c r="GK33" s="64">
        <f t="shared" si="80"/>
        <v>12</v>
      </c>
      <c r="GL33" s="64">
        <f t="shared" si="80"/>
        <v>24</v>
      </c>
      <c r="GM33" s="64">
        <f t="shared" si="80"/>
        <v>18</v>
      </c>
      <c r="GN33" s="64">
        <f t="shared" si="80"/>
        <v>30</v>
      </c>
      <c r="GO33" s="64">
        <f t="shared" si="80"/>
        <v>36</v>
      </c>
      <c r="GP33" s="64">
        <f t="shared" si="80"/>
        <v>30</v>
      </c>
      <c r="GQ33" s="64">
        <f t="shared" si="80"/>
        <v>42</v>
      </c>
      <c r="GR33" s="64"/>
      <c r="GS33" s="64" t="s">
        <v>241</v>
      </c>
      <c r="GT33" s="64">
        <v>0</v>
      </c>
      <c r="GU33" s="64">
        <f t="shared" ref="GU33:HF33" si="81">GU5/5*6</f>
        <v>0</v>
      </c>
      <c r="GV33" s="64">
        <f t="shared" si="81"/>
        <v>0</v>
      </c>
      <c r="GW33" s="64">
        <f t="shared" si="81"/>
        <v>0</v>
      </c>
      <c r="GX33" s="64">
        <f t="shared" si="81"/>
        <v>6</v>
      </c>
      <c r="GY33" s="64">
        <f t="shared" si="81"/>
        <v>24</v>
      </c>
      <c r="GZ33" s="64">
        <f t="shared" si="81"/>
        <v>12</v>
      </c>
      <c r="HA33" s="64">
        <f t="shared" si="81"/>
        <v>24</v>
      </c>
      <c r="HB33" s="64">
        <f t="shared" si="81"/>
        <v>30</v>
      </c>
      <c r="HC33" s="64">
        <f t="shared" si="81"/>
        <v>36</v>
      </c>
      <c r="HD33" s="64">
        <f t="shared" si="81"/>
        <v>30</v>
      </c>
      <c r="HE33" s="64">
        <f t="shared" si="81"/>
        <v>42</v>
      </c>
      <c r="HF33" s="64">
        <f t="shared" si="81"/>
        <v>54</v>
      </c>
      <c r="HG33" s="70"/>
      <c r="HH33" s="64"/>
    </row>
    <row r="34" spans="1:216" x14ac:dyDescent="0.25">
      <c r="A34" s="8"/>
      <c r="B34" s="5" t="s">
        <v>61</v>
      </c>
      <c r="C34" s="8"/>
      <c r="D34" s="9"/>
      <c r="E34" s="1"/>
      <c r="F34" s="9"/>
      <c r="G34" s="9"/>
      <c r="H34" s="9"/>
      <c r="I34" s="9"/>
      <c r="J34" s="9"/>
      <c r="K34" s="9"/>
      <c r="L34" s="5" t="s">
        <v>53</v>
      </c>
      <c r="M34" s="5" t="s">
        <v>559</v>
      </c>
      <c r="N34" s="5" t="s">
        <v>436</v>
      </c>
      <c r="O34" s="5" t="s">
        <v>442</v>
      </c>
      <c r="P34" s="5" t="s">
        <v>443</v>
      </c>
      <c r="Q34" s="5" t="s">
        <v>444</v>
      </c>
      <c r="R34" s="5" t="s">
        <v>445</v>
      </c>
      <c r="S34" s="5" t="s">
        <v>446</v>
      </c>
      <c r="T34" s="5" t="s">
        <v>447</v>
      </c>
      <c r="U34" s="5" t="s">
        <v>438</v>
      </c>
      <c r="V34" s="85"/>
      <c r="W34" s="72" t="s">
        <v>17</v>
      </c>
      <c r="X34" s="64" t="s">
        <v>104</v>
      </c>
      <c r="Y34" s="64" t="s">
        <v>103</v>
      </c>
      <c r="Z34" s="64" t="s">
        <v>16</v>
      </c>
      <c r="AA34" s="64">
        <f t="shared" si="75"/>
        <v>0</v>
      </c>
      <c r="AB34" s="64">
        <f t="shared" si="76"/>
        <v>0</v>
      </c>
      <c r="AC34" s="64"/>
      <c r="AD34" s="64"/>
      <c r="AE34" s="87" t="s">
        <v>57</v>
      </c>
      <c r="AF34" s="64">
        <v>1700</v>
      </c>
      <c r="AG34" s="64"/>
      <c r="AH34" s="64"/>
      <c r="AI34" s="64"/>
      <c r="AJ34" s="64">
        <v>30</v>
      </c>
      <c r="AK34" s="64" t="s">
        <v>568</v>
      </c>
      <c r="AL34" s="64" t="s">
        <v>569</v>
      </c>
      <c r="AM34" s="64" t="s">
        <v>570</v>
      </c>
      <c r="AN34" s="64" t="s">
        <v>571</v>
      </c>
      <c r="AO34" s="64"/>
      <c r="AP34" s="64"/>
      <c r="AQ34" s="64"/>
      <c r="AR34" s="64" t="s">
        <v>330</v>
      </c>
      <c r="AS34" s="64" t="s">
        <v>293</v>
      </c>
      <c r="AT34" s="64" t="s">
        <v>295</v>
      </c>
      <c r="AU34" s="64" t="s">
        <v>293</v>
      </c>
      <c r="AV34" s="64" t="s">
        <v>293</v>
      </c>
      <c r="AW34" s="64"/>
      <c r="AX34" s="64"/>
      <c r="AY34" s="64"/>
      <c r="AZ34" s="64"/>
      <c r="BA34" s="64"/>
      <c r="BB34" s="64"/>
      <c r="BC34" s="64"/>
      <c r="BD34" s="64"/>
      <c r="BE34" s="64"/>
      <c r="BF34" s="64"/>
      <c r="BG34" s="87">
        <f t="shared" si="58"/>
        <v>1</v>
      </c>
      <c r="BH34" s="72" t="s">
        <v>364</v>
      </c>
      <c r="BI34" s="72">
        <v>0</v>
      </c>
      <c r="BJ34" s="64">
        <f t="shared" ref="BJ34:BU34" si="82">IF(BJ6=0,0,IF(BJ6=5,6,IF(BJ6=10,12,IF(BJ6=15,18,IF(BJ6=20,24,0)))))</f>
        <v>0</v>
      </c>
      <c r="BK34" s="64">
        <f t="shared" si="82"/>
        <v>0</v>
      </c>
      <c r="BL34" s="64">
        <f t="shared" si="82"/>
        <v>0</v>
      </c>
      <c r="BM34" s="64">
        <f t="shared" si="82"/>
        <v>6</v>
      </c>
      <c r="BN34" s="64">
        <f t="shared" si="82"/>
        <v>6</v>
      </c>
      <c r="BO34" s="64">
        <f t="shared" si="82"/>
        <v>12</v>
      </c>
      <c r="BP34" s="64">
        <f t="shared" si="82"/>
        <v>6</v>
      </c>
      <c r="BQ34" s="64">
        <f t="shared" si="82"/>
        <v>12</v>
      </c>
      <c r="BR34" s="64">
        <f t="shared" si="82"/>
        <v>12</v>
      </c>
      <c r="BS34" s="64">
        <f>IF(BS6=0,0,IF(BS6=5,6,IF(BS6=10,12,IF(BS6=15,18,IF(BS6=20,24,0)))))</f>
        <v>18</v>
      </c>
      <c r="BT34" s="64">
        <f t="shared" si="82"/>
        <v>18</v>
      </c>
      <c r="BU34" s="64">
        <f t="shared" si="82"/>
        <v>18</v>
      </c>
      <c r="BV34" s="64"/>
      <c r="BW34" s="72" t="s">
        <v>364</v>
      </c>
      <c r="BX34" s="64">
        <v>0</v>
      </c>
      <c r="BY34" s="64">
        <f t="shared" si="60"/>
        <v>0</v>
      </c>
      <c r="BZ34" s="64">
        <f t="shared" si="60"/>
        <v>0</v>
      </c>
      <c r="CA34" s="64">
        <f t="shared" si="60"/>
        <v>0</v>
      </c>
      <c r="CB34" s="64">
        <f t="shared" si="60"/>
        <v>6</v>
      </c>
      <c r="CC34" s="64">
        <f t="shared" si="60"/>
        <v>6</v>
      </c>
      <c r="CD34" s="64">
        <f t="shared" si="60"/>
        <v>12</v>
      </c>
      <c r="CE34" s="64">
        <f t="shared" si="60"/>
        <v>12</v>
      </c>
      <c r="CF34" s="64">
        <f t="shared" si="60"/>
        <v>12</v>
      </c>
      <c r="CG34" s="64">
        <f t="shared" si="60"/>
        <v>12</v>
      </c>
      <c r="CH34" s="64">
        <f t="shared" si="60"/>
        <v>18</v>
      </c>
      <c r="CI34" s="64">
        <f t="shared" si="60"/>
        <v>18</v>
      </c>
      <c r="CJ34" s="64">
        <f t="shared" si="60"/>
        <v>18</v>
      </c>
      <c r="CK34" s="64"/>
      <c r="CL34" s="64"/>
      <c r="CM34" s="64"/>
      <c r="CN34" s="72" t="s">
        <v>364</v>
      </c>
      <c r="CO34" s="64">
        <v>0</v>
      </c>
      <c r="CP34" s="64">
        <f t="shared" si="61"/>
        <v>0</v>
      </c>
      <c r="CQ34" s="64">
        <f t="shared" si="61"/>
        <v>0</v>
      </c>
      <c r="CR34" s="64">
        <f t="shared" si="61"/>
        <v>6</v>
      </c>
      <c r="CS34" s="64">
        <f t="shared" si="61"/>
        <v>6</v>
      </c>
      <c r="CT34" s="64">
        <f t="shared" si="61"/>
        <v>12</v>
      </c>
      <c r="CU34" s="64">
        <f t="shared" si="61"/>
        <v>6</v>
      </c>
      <c r="CV34" s="64">
        <f t="shared" si="61"/>
        <v>12</v>
      </c>
      <c r="CW34" s="64">
        <f t="shared" si="61"/>
        <v>12</v>
      </c>
      <c r="CX34" s="64">
        <f t="shared" si="61"/>
        <v>12</v>
      </c>
      <c r="CY34" s="64">
        <f t="shared" si="61"/>
        <v>18</v>
      </c>
      <c r="CZ34" s="64">
        <f t="shared" si="61"/>
        <v>18</v>
      </c>
      <c r="DA34" s="64">
        <f t="shared" si="61"/>
        <v>18</v>
      </c>
      <c r="DB34" s="64"/>
      <c r="DC34" s="72" t="s">
        <v>364</v>
      </c>
      <c r="DD34" s="72">
        <v>0</v>
      </c>
      <c r="DE34" s="64">
        <f t="shared" si="62"/>
        <v>0</v>
      </c>
      <c r="DF34" s="64">
        <f t="shared" si="62"/>
        <v>0</v>
      </c>
      <c r="DG34" s="64">
        <f t="shared" si="62"/>
        <v>6</v>
      </c>
      <c r="DH34" s="64">
        <f t="shared" si="62"/>
        <v>6</v>
      </c>
      <c r="DI34" s="64">
        <f t="shared" si="62"/>
        <v>12</v>
      </c>
      <c r="DJ34" s="64">
        <f t="shared" si="62"/>
        <v>12</v>
      </c>
      <c r="DK34" s="64">
        <f t="shared" si="62"/>
        <v>12</v>
      </c>
      <c r="DL34" s="64">
        <f t="shared" si="62"/>
        <v>18</v>
      </c>
      <c r="DM34" s="64">
        <f t="shared" si="62"/>
        <v>18</v>
      </c>
      <c r="DN34" s="64">
        <f t="shared" si="62"/>
        <v>18</v>
      </c>
      <c r="DO34" s="64">
        <f t="shared" si="62"/>
        <v>24</v>
      </c>
      <c r="DP34" s="64">
        <f t="shared" si="62"/>
        <v>24</v>
      </c>
      <c r="DQ34" s="80"/>
      <c r="DR34" s="80">
        <v>30</v>
      </c>
      <c r="DS34" s="80"/>
      <c r="DT34" s="72" t="s">
        <v>364</v>
      </c>
      <c r="DU34" s="64">
        <v>0</v>
      </c>
      <c r="DV34" s="64">
        <f t="shared" si="63"/>
        <v>0</v>
      </c>
      <c r="DW34" s="64">
        <f t="shared" si="63"/>
        <v>0</v>
      </c>
      <c r="DX34" s="64">
        <f t="shared" si="63"/>
        <v>6</v>
      </c>
      <c r="DY34" s="64">
        <f t="shared" si="63"/>
        <v>12</v>
      </c>
      <c r="DZ34" s="64">
        <f t="shared" si="63"/>
        <v>6</v>
      </c>
      <c r="EA34" s="64">
        <f t="shared" si="63"/>
        <v>12</v>
      </c>
      <c r="EB34" s="64">
        <f t="shared" si="63"/>
        <v>12</v>
      </c>
      <c r="EC34" s="64">
        <f t="shared" si="63"/>
        <v>18</v>
      </c>
      <c r="ED34" s="64">
        <f t="shared" si="63"/>
        <v>18</v>
      </c>
      <c r="EE34" s="64">
        <f t="shared" si="63"/>
        <v>24</v>
      </c>
      <c r="EF34" s="64">
        <f t="shared" si="63"/>
        <v>24</v>
      </c>
      <c r="EG34" s="64">
        <f t="shared" si="63"/>
        <v>24</v>
      </c>
      <c r="EH34" s="64"/>
      <c r="EI34" s="64"/>
      <c r="EJ34" s="69"/>
      <c r="EK34" s="72" t="s">
        <v>364</v>
      </c>
      <c r="EL34" s="64">
        <v>0</v>
      </c>
      <c r="EM34" s="64">
        <f t="shared" ref="EM34:EX34" si="83">EM6/5*6</f>
        <v>0</v>
      </c>
      <c r="EN34" s="64">
        <f t="shared" si="83"/>
        <v>0</v>
      </c>
      <c r="EO34" s="64">
        <f t="shared" si="83"/>
        <v>0</v>
      </c>
      <c r="EP34" s="64">
        <f t="shared" si="83"/>
        <v>6</v>
      </c>
      <c r="EQ34" s="64">
        <f t="shared" si="83"/>
        <v>12</v>
      </c>
      <c r="ER34" s="64">
        <f t="shared" si="83"/>
        <v>12</v>
      </c>
      <c r="ES34" s="64">
        <f t="shared" si="83"/>
        <v>18</v>
      </c>
      <c r="ET34" s="64">
        <f t="shared" si="83"/>
        <v>18</v>
      </c>
      <c r="EU34" s="64">
        <f t="shared" si="83"/>
        <v>24</v>
      </c>
      <c r="EV34" s="64">
        <f t="shared" si="83"/>
        <v>24</v>
      </c>
      <c r="EW34" s="64">
        <f t="shared" si="83"/>
        <v>30</v>
      </c>
      <c r="EX34" s="64">
        <f t="shared" si="83"/>
        <v>30</v>
      </c>
      <c r="EY34" s="64"/>
      <c r="EZ34" s="72" t="s">
        <v>364</v>
      </c>
      <c r="FA34" s="64">
        <v>0</v>
      </c>
      <c r="FB34" s="64">
        <f t="shared" ref="FB34:FM34" si="84">FB6/5*6</f>
        <v>0</v>
      </c>
      <c r="FC34" s="64">
        <f t="shared" si="84"/>
        <v>0</v>
      </c>
      <c r="FD34" s="64">
        <f t="shared" si="84"/>
        <v>0</v>
      </c>
      <c r="FE34" s="64">
        <f t="shared" si="84"/>
        <v>6</v>
      </c>
      <c r="FF34" s="64">
        <f t="shared" si="84"/>
        <v>12</v>
      </c>
      <c r="FG34" s="64">
        <f t="shared" si="84"/>
        <v>12</v>
      </c>
      <c r="FH34" s="64">
        <f t="shared" si="84"/>
        <v>18</v>
      </c>
      <c r="FI34" s="64">
        <f t="shared" si="84"/>
        <v>24</v>
      </c>
      <c r="FJ34" s="64">
        <f t="shared" si="84"/>
        <v>24</v>
      </c>
      <c r="FK34" s="64">
        <f t="shared" si="84"/>
        <v>30</v>
      </c>
      <c r="FL34" s="64">
        <f t="shared" si="84"/>
        <v>30</v>
      </c>
      <c r="FM34" s="64">
        <f t="shared" si="84"/>
        <v>36</v>
      </c>
      <c r="FN34" s="64"/>
      <c r="FO34" s="72" t="s">
        <v>364</v>
      </c>
      <c r="FP34" s="64">
        <v>0</v>
      </c>
      <c r="FQ34" s="64">
        <f t="shared" ref="FQ34:GB34" si="85">FQ6/5*6</f>
        <v>0</v>
      </c>
      <c r="FR34" s="64">
        <f t="shared" si="85"/>
        <v>0</v>
      </c>
      <c r="FS34" s="64">
        <f t="shared" si="85"/>
        <v>6</v>
      </c>
      <c r="FT34" s="64">
        <f t="shared" si="85"/>
        <v>12</v>
      </c>
      <c r="FU34" s="64">
        <f t="shared" si="85"/>
        <v>12</v>
      </c>
      <c r="FV34" s="64">
        <f t="shared" si="85"/>
        <v>18</v>
      </c>
      <c r="FW34" s="64">
        <f t="shared" si="85"/>
        <v>18</v>
      </c>
      <c r="FX34" s="64">
        <f t="shared" si="85"/>
        <v>24</v>
      </c>
      <c r="FY34" s="64">
        <f t="shared" si="85"/>
        <v>30</v>
      </c>
      <c r="FZ34" s="64">
        <f t="shared" si="85"/>
        <v>30</v>
      </c>
      <c r="GA34" s="64">
        <f t="shared" si="85"/>
        <v>36</v>
      </c>
      <c r="GB34" s="64">
        <f t="shared" si="85"/>
        <v>42</v>
      </c>
      <c r="GC34" s="64"/>
      <c r="GD34" s="72" t="s">
        <v>364</v>
      </c>
      <c r="GE34" s="64">
        <v>0</v>
      </c>
      <c r="GF34" s="64">
        <f t="shared" ref="GF34:GQ34" si="86">GF6/5*6</f>
        <v>0</v>
      </c>
      <c r="GG34" s="64">
        <f t="shared" si="86"/>
        <v>0</v>
      </c>
      <c r="GH34" s="64">
        <f t="shared" si="86"/>
        <v>6</v>
      </c>
      <c r="GI34" s="64">
        <f t="shared" si="86"/>
        <v>12</v>
      </c>
      <c r="GJ34" s="64">
        <f t="shared" si="86"/>
        <v>12</v>
      </c>
      <c r="GK34" s="64">
        <f t="shared" si="86"/>
        <v>18</v>
      </c>
      <c r="GL34" s="64">
        <f t="shared" si="86"/>
        <v>24</v>
      </c>
      <c r="GM34" s="64">
        <f t="shared" si="86"/>
        <v>24</v>
      </c>
      <c r="GN34" s="64">
        <f t="shared" si="86"/>
        <v>30</v>
      </c>
      <c r="GO34" s="64">
        <f t="shared" si="86"/>
        <v>36</v>
      </c>
      <c r="GP34" s="64">
        <f t="shared" si="86"/>
        <v>36</v>
      </c>
      <c r="GQ34" s="64">
        <f t="shared" si="86"/>
        <v>42</v>
      </c>
      <c r="GR34" s="64"/>
      <c r="GS34" s="72" t="s">
        <v>364</v>
      </c>
      <c r="GT34" s="64">
        <v>0</v>
      </c>
      <c r="GU34" s="64">
        <f t="shared" ref="GU34:HF34" si="87">GU6/5*6</f>
        <v>0</v>
      </c>
      <c r="GV34" s="64">
        <f t="shared" si="87"/>
        <v>0</v>
      </c>
      <c r="GW34" s="64">
        <f t="shared" si="87"/>
        <v>6</v>
      </c>
      <c r="GX34" s="64">
        <f t="shared" si="87"/>
        <v>12</v>
      </c>
      <c r="GY34" s="64">
        <f t="shared" si="87"/>
        <v>18</v>
      </c>
      <c r="GZ34" s="64">
        <f t="shared" si="87"/>
        <v>18</v>
      </c>
      <c r="HA34" s="64">
        <f t="shared" si="87"/>
        <v>24</v>
      </c>
      <c r="HB34" s="64">
        <f t="shared" si="87"/>
        <v>30</v>
      </c>
      <c r="HC34" s="64">
        <f t="shared" si="87"/>
        <v>36</v>
      </c>
      <c r="HD34" s="64">
        <f t="shared" si="87"/>
        <v>36</v>
      </c>
      <c r="HE34" s="64">
        <f t="shared" si="87"/>
        <v>42</v>
      </c>
      <c r="HF34" s="64">
        <f t="shared" si="87"/>
        <v>48</v>
      </c>
      <c r="HG34" s="70"/>
      <c r="HH34" s="64"/>
    </row>
    <row r="35" spans="1:216" x14ac:dyDescent="0.25">
      <c r="A35" s="8"/>
      <c r="B35" s="5" t="s">
        <v>61</v>
      </c>
      <c r="C35" s="8"/>
      <c r="D35" s="6" t="s">
        <v>452</v>
      </c>
      <c r="E35" s="8" t="s">
        <v>231</v>
      </c>
      <c r="F35" s="5" t="s">
        <v>61</v>
      </c>
      <c r="G35" s="8" t="s">
        <v>205</v>
      </c>
      <c r="H35" s="5" t="s">
        <v>61</v>
      </c>
      <c r="I35" s="8">
        <v>35</v>
      </c>
      <c r="J35" s="5" t="s">
        <v>62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str">
        <f>INDEX(cenník!$C$2:$I$568,MATCH($L35,cenník!$B$2:$B$557,0),MATCH(M$2,cenník!$C$1:$I$1,0))</f>
        <v>-------</v>
      </c>
      <c r="N35" s="11">
        <f>INDEX(cenník!$C$2:$I$568,MATCH($L35,cenník!$B$2:$B$557,0),MATCH(N$2,cenník!$C$1:$I$1,0))</f>
        <v>0</v>
      </c>
      <c r="O35" s="11">
        <f>IF(L35="-------",0,SUM(O37:O38))</f>
        <v>0</v>
      </c>
      <c r="P35" s="36">
        <f>INDEX(cenník!$C$2:$I$568,MATCH($L35,cenník!$B$2:$B$557,0),MATCH(P$2,cenník!$C$1:$I$1,0))</f>
        <v>0</v>
      </c>
      <c r="Q35" s="36">
        <f>O35*P35</f>
        <v>0</v>
      </c>
      <c r="R35" s="37">
        <f t="shared" ref="R35:R59" si="88">$E$39</f>
        <v>0</v>
      </c>
      <c r="S35" s="36">
        <f t="shared" ref="S35:S59" si="89">P35*((100-$E$39)/100)</f>
        <v>0</v>
      </c>
      <c r="T35" s="36">
        <f>O35*S35</f>
        <v>0</v>
      </c>
      <c r="U35" s="36">
        <f>INDEX(cenník!$C$2:$I$568,MATCH($L35,cenník!$B$2:$B$557,0),MATCH(U$2,cenník!$C$1:$I$1,0))*O35</f>
        <v>0</v>
      </c>
      <c r="V35" s="85"/>
      <c r="W35" s="64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64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64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64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64">
        <f t="shared" si="75"/>
        <v>0</v>
      </c>
      <c r="AB35" s="64">
        <f t="shared" si="76"/>
        <v>0</v>
      </c>
      <c r="AC35" s="64"/>
      <c r="AD35" s="64"/>
      <c r="AE35" s="87" t="s">
        <v>67</v>
      </c>
      <c r="AF35" s="64">
        <v>1750</v>
      </c>
      <c r="AG35" s="64"/>
      <c r="AH35" s="64"/>
      <c r="AI35" s="64"/>
      <c r="AJ35" s="64"/>
      <c r="AK35" s="64"/>
      <c r="AL35" s="64"/>
      <c r="AM35" s="64"/>
      <c r="AN35" s="64"/>
      <c r="AO35" s="64"/>
      <c r="AP35" s="64"/>
      <c r="AQ35" s="64"/>
      <c r="AR35" s="64" t="s">
        <v>331</v>
      </c>
      <c r="AS35" s="64" t="s">
        <v>293</v>
      </c>
      <c r="AT35" s="64" t="s">
        <v>295</v>
      </c>
      <c r="AU35" s="64" t="s">
        <v>293</v>
      </c>
      <c r="AV35" s="64" t="s">
        <v>293</v>
      </c>
      <c r="AW35" s="64"/>
      <c r="AX35" s="64"/>
      <c r="AY35" s="64"/>
      <c r="AZ35" s="64"/>
      <c r="BA35" s="64"/>
      <c r="BB35" s="64"/>
      <c r="BC35" s="64"/>
      <c r="BD35" s="64"/>
      <c r="BE35" s="64"/>
      <c r="BF35" s="64"/>
      <c r="BG35" s="87">
        <f t="shared" si="58"/>
        <v>1</v>
      </c>
      <c r="BH35" s="64"/>
      <c r="BI35" s="64"/>
      <c r="BJ35" s="64"/>
      <c r="BK35" s="64"/>
      <c r="BL35" s="64"/>
      <c r="BM35" s="64"/>
      <c r="BN35" s="64"/>
      <c r="BO35" s="64"/>
      <c r="BP35" s="64"/>
      <c r="BQ35" s="64"/>
      <c r="BR35" s="64"/>
      <c r="BS35" s="64"/>
      <c r="BT35" s="64"/>
      <c r="BU35" s="64"/>
      <c r="BV35" s="64"/>
      <c r="BW35" s="64"/>
      <c r="BX35" s="64"/>
      <c r="BY35" s="64"/>
      <c r="BZ35" s="64"/>
      <c r="CA35" s="64"/>
      <c r="CB35" s="64"/>
      <c r="CC35" s="64"/>
      <c r="CD35" s="64"/>
      <c r="CE35" s="64"/>
      <c r="CF35" s="64"/>
      <c r="CG35" s="64"/>
      <c r="CH35" s="64"/>
      <c r="CI35" s="64"/>
      <c r="CJ35" s="64"/>
      <c r="CK35" s="64"/>
      <c r="CL35" s="64"/>
      <c r="CM35" s="64"/>
      <c r="CN35" s="64"/>
      <c r="CO35" s="64"/>
      <c r="CP35" s="64"/>
      <c r="CQ35" s="64"/>
      <c r="CR35" s="64"/>
      <c r="CS35" s="64"/>
      <c r="CT35" s="64"/>
      <c r="CU35" s="64"/>
      <c r="CV35" s="64"/>
      <c r="CW35" s="64"/>
      <c r="CX35" s="64"/>
      <c r="CY35" s="64"/>
      <c r="CZ35" s="64"/>
      <c r="DA35" s="64"/>
      <c r="DB35" s="64"/>
      <c r="DC35" s="64"/>
      <c r="DD35" s="64"/>
      <c r="DE35" s="64"/>
      <c r="DF35" s="64"/>
      <c r="DG35" s="64"/>
      <c r="DH35" s="64"/>
      <c r="DI35" s="64"/>
      <c r="DJ35" s="64"/>
      <c r="DK35" s="64"/>
      <c r="DL35" s="64"/>
      <c r="DM35" s="64"/>
      <c r="DN35" s="64"/>
      <c r="DO35" s="64"/>
      <c r="DP35" s="64"/>
      <c r="DQ35" s="80"/>
      <c r="DR35" s="80">
        <v>35</v>
      </c>
      <c r="DS35" s="80"/>
      <c r="DT35" s="64"/>
      <c r="DU35" s="64"/>
      <c r="DV35" s="64"/>
      <c r="DW35" s="64"/>
      <c r="DX35" s="64"/>
      <c r="DY35" s="64"/>
      <c r="DZ35" s="64"/>
      <c r="EA35" s="64"/>
      <c r="EB35" s="64"/>
      <c r="EC35" s="64"/>
      <c r="ED35" s="64"/>
      <c r="EE35" s="64"/>
      <c r="EF35" s="64"/>
      <c r="EG35" s="64"/>
      <c r="EH35" s="64"/>
      <c r="EI35" s="64"/>
      <c r="EJ35" s="69"/>
      <c r="HG35" s="70"/>
      <c r="HH35" s="64"/>
    </row>
    <row r="36" spans="1:216" x14ac:dyDescent="0.25">
      <c r="A36" s="8"/>
      <c r="B36" s="5" t="s">
        <v>61</v>
      </c>
      <c r="C36" s="8"/>
      <c r="D36" s="6" t="s">
        <v>456</v>
      </c>
      <c r="E36" s="8" t="s">
        <v>466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-------</v>
      </c>
      <c r="M36" s="11" t="str">
        <f>INDEX(cenník!$C$2:$I$568,MATCH($L36,cenník!$B$2:$B$557,0),MATCH(M$2,cenník!$C$1:$I$1,0))</f>
        <v>-------</v>
      </c>
      <c r="N36" s="11">
        <f>INDEX(cenník!$C$2:$I$568,MATCH($L36,cenník!$B$2:$B$557,0),MATCH(N$2,cenník!$C$1:$I$1,0))</f>
        <v>0</v>
      </c>
      <c r="O36" s="11">
        <f>IF(E37=AC7,SUM(O37:O38),IF(E37=AC8,SUM(O37:O38),IF(E37=AC5,0,IF(E37=AC6,0,0))))</f>
        <v>0</v>
      </c>
      <c r="P36" s="36">
        <f>INDEX(cenník!$C$2:$I$568,MATCH($L36,cenník!$B$2:$B$557,0),MATCH(P$2,cenník!$C$1:$I$1,0))</f>
        <v>0</v>
      </c>
      <c r="Q36" s="36">
        <f t="shared" ref="Q36:Q38" si="90">O36*P36</f>
        <v>0</v>
      </c>
      <c r="R36" s="37">
        <f t="shared" si="88"/>
        <v>0</v>
      </c>
      <c r="S36" s="36">
        <f t="shared" si="89"/>
        <v>0</v>
      </c>
      <c r="T36" s="36">
        <f t="shared" ref="T36:T38" si="91">O36*S36</f>
        <v>0</v>
      </c>
      <c r="U36" s="36">
        <f>INDEX(cenník!$C$2:$I$568,MATCH($L36,cenník!$B$2:$B$557,0),MATCH(U$2,cenník!$C$1:$I$1,0))*O36</f>
        <v>0</v>
      </c>
      <c r="V36" s="85"/>
      <c r="W36" s="64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64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64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64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64">
        <f t="shared" si="75"/>
        <v>0</v>
      </c>
      <c r="AB36" s="64">
        <f t="shared" si="76"/>
        <v>0</v>
      </c>
      <c r="AC36" s="64"/>
      <c r="AD36" s="64"/>
      <c r="AE36" s="64" t="s">
        <v>195</v>
      </c>
      <c r="AF36" s="64">
        <v>1800</v>
      </c>
      <c r="AG36" s="64"/>
      <c r="AH36" s="64"/>
      <c r="AI36" s="64"/>
      <c r="AJ36" s="64"/>
      <c r="AK36" s="64"/>
      <c r="AL36" s="64"/>
      <c r="AM36" s="64"/>
      <c r="AN36" s="64"/>
      <c r="AO36" s="64"/>
      <c r="AP36" s="64"/>
      <c r="AQ36" s="64"/>
      <c r="AR36" s="64"/>
      <c r="AS36" s="64"/>
      <c r="AT36" s="64"/>
      <c r="AU36" s="64"/>
      <c r="AV36" s="64"/>
      <c r="AW36" s="64"/>
      <c r="AX36" s="64"/>
      <c r="AY36" s="64"/>
      <c r="AZ36" s="64"/>
      <c r="BA36" s="64"/>
      <c r="BB36" s="64"/>
      <c r="BC36" s="64"/>
      <c r="BD36" s="64"/>
      <c r="BE36" s="64"/>
      <c r="BF36" s="64"/>
      <c r="BG36" s="87">
        <f t="shared" si="58"/>
        <v>1</v>
      </c>
      <c r="BH36" s="64" t="s">
        <v>57</v>
      </c>
      <c r="BI36" s="64">
        <v>0</v>
      </c>
      <c r="BJ36" s="64">
        <v>10</v>
      </c>
      <c r="BK36" s="64">
        <v>15</v>
      </c>
      <c r="BL36" s="64">
        <v>20</v>
      </c>
      <c r="BM36" s="64">
        <v>25</v>
      </c>
      <c r="BN36" s="64">
        <v>30</v>
      </c>
      <c r="BO36" s="64">
        <v>35</v>
      </c>
      <c r="BP36" s="64">
        <v>40</v>
      </c>
      <c r="BQ36" s="64">
        <v>45</v>
      </c>
      <c r="BR36" s="64">
        <v>50</v>
      </c>
      <c r="BS36" s="64">
        <v>55</v>
      </c>
      <c r="BT36" s="64">
        <v>60</v>
      </c>
      <c r="BU36" s="64">
        <v>65</v>
      </c>
      <c r="BV36" s="64"/>
      <c r="BW36" s="64" t="s">
        <v>197</v>
      </c>
      <c r="BX36" s="64">
        <v>0</v>
      </c>
      <c r="BY36" s="64">
        <v>10</v>
      </c>
      <c r="BZ36" s="64">
        <v>15</v>
      </c>
      <c r="CA36" s="64">
        <v>20</v>
      </c>
      <c r="CB36" s="64">
        <v>25</v>
      </c>
      <c r="CC36" s="64">
        <v>30</v>
      </c>
      <c r="CD36" s="64">
        <v>35</v>
      </c>
      <c r="CE36" s="64">
        <v>40</v>
      </c>
      <c r="CF36" s="64">
        <v>45</v>
      </c>
      <c r="CG36" s="64">
        <v>50</v>
      </c>
      <c r="CH36" s="64">
        <v>55</v>
      </c>
      <c r="CI36" s="64">
        <v>60</v>
      </c>
      <c r="CJ36" s="64">
        <v>65</v>
      </c>
      <c r="CK36" s="64"/>
      <c r="CL36" s="64"/>
      <c r="CM36" s="64"/>
      <c r="CN36" s="64" t="s">
        <v>58</v>
      </c>
      <c r="CO36" s="64">
        <v>0</v>
      </c>
      <c r="CP36" s="64">
        <v>10</v>
      </c>
      <c r="CQ36" s="64">
        <v>15</v>
      </c>
      <c r="CR36" s="64">
        <v>20</v>
      </c>
      <c r="CS36" s="64">
        <v>25</v>
      </c>
      <c r="CT36" s="64">
        <v>30</v>
      </c>
      <c r="CU36" s="64">
        <v>35</v>
      </c>
      <c r="CV36" s="64">
        <v>40</v>
      </c>
      <c r="CW36" s="64">
        <v>45</v>
      </c>
      <c r="CX36" s="64">
        <v>50</v>
      </c>
      <c r="CY36" s="64">
        <v>55</v>
      </c>
      <c r="CZ36" s="64">
        <v>60</v>
      </c>
      <c r="DA36" s="64">
        <v>65</v>
      </c>
      <c r="DB36" s="64"/>
      <c r="DC36" s="64" t="s">
        <v>203</v>
      </c>
      <c r="DD36" s="64">
        <v>0</v>
      </c>
      <c r="DE36" s="64">
        <v>10</v>
      </c>
      <c r="DF36" s="64">
        <v>15</v>
      </c>
      <c r="DG36" s="64">
        <v>20</v>
      </c>
      <c r="DH36" s="64">
        <v>25</v>
      </c>
      <c r="DI36" s="64">
        <v>30</v>
      </c>
      <c r="DJ36" s="64">
        <v>35</v>
      </c>
      <c r="DK36" s="64">
        <v>40</v>
      </c>
      <c r="DL36" s="64">
        <v>45</v>
      </c>
      <c r="DM36" s="64">
        <v>50</v>
      </c>
      <c r="DN36" s="64">
        <v>55</v>
      </c>
      <c r="DO36" s="64">
        <v>60</v>
      </c>
      <c r="DP36" s="64">
        <v>65</v>
      </c>
      <c r="DQ36" s="80"/>
      <c r="DR36" s="80">
        <v>40</v>
      </c>
      <c r="DS36" s="80"/>
      <c r="DT36" s="64" t="s">
        <v>231</v>
      </c>
      <c r="DU36" s="64">
        <v>0</v>
      </c>
      <c r="DV36" s="64">
        <v>10</v>
      </c>
      <c r="DW36" s="64">
        <v>15</v>
      </c>
      <c r="DX36" s="64">
        <v>20</v>
      </c>
      <c r="DY36" s="64">
        <v>25</v>
      </c>
      <c r="DZ36" s="64">
        <v>30</v>
      </c>
      <c r="EA36" s="64">
        <v>35</v>
      </c>
      <c r="EB36" s="64">
        <v>40</v>
      </c>
      <c r="EC36" s="64">
        <v>45</v>
      </c>
      <c r="ED36" s="64">
        <v>50</v>
      </c>
      <c r="EE36" s="64">
        <v>55</v>
      </c>
      <c r="EF36" s="64">
        <v>60</v>
      </c>
      <c r="EG36" s="64">
        <v>65</v>
      </c>
      <c r="EH36" s="64"/>
      <c r="EI36" s="64"/>
      <c r="EJ36" s="69"/>
      <c r="EK36" s="64" t="s">
        <v>57</v>
      </c>
      <c r="EL36" s="64">
        <v>0</v>
      </c>
      <c r="EM36" s="64">
        <v>10</v>
      </c>
      <c r="EN36" s="64">
        <v>15</v>
      </c>
      <c r="EO36" s="64">
        <v>20</v>
      </c>
      <c r="EP36" s="64">
        <v>25</v>
      </c>
      <c r="EQ36" s="64">
        <v>30</v>
      </c>
      <c r="ER36" s="64">
        <v>35</v>
      </c>
      <c r="ES36" s="64">
        <v>40</v>
      </c>
      <c r="ET36" s="64">
        <v>45</v>
      </c>
      <c r="EU36" s="64">
        <v>50</v>
      </c>
      <c r="EV36" s="64">
        <v>55</v>
      </c>
      <c r="EW36" s="64">
        <v>60</v>
      </c>
      <c r="EX36" s="64">
        <v>65</v>
      </c>
      <c r="EY36" s="64"/>
      <c r="EZ36" s="64" t="s">
        <v>197</v>
      </c>
      <c r="FA36" s="64">
        <v>0</v>
      </c>
      <c r="FB36" s="64">
        <v>10</v>
      </c>
      <c r="FC36" s="64">
        <v>15</v>
      </c>
      <c r="FD36" s="64">
        <v>20</v>
      </c>
      <c r="FE36" s="64">
        <v>25</v>
      </c>
      <c r="FF36" s="64">
        <v>30</v>
      </c>
      <c r="FG36" s="64">
        <v>35</v>
      </c>
      <c r="FH36" s="64">
        <v>40</v>
      </c>
      <c r="FI36" s="64">
        <v>45</v>
      </c>
      <c r="FJ36" s="64">
        <v>50</v>
      </c>
      <c r="FK36" s="64">
        <v>55</v>
      </c>
      <c r="FL36" s="64">
        <v>60</v>
      </c>
      <c r="FM36" s="64">
        <v>65</v>
      </c>
      <c r="FN36" s="64"/>
      <c r="FO36" s="64" t="s">
        <v>58</v>
      </c>
      <c r="FP36" s="64">
        <v>0</v>
      </c>
      <c r="FQ36" s="64">
        <v>10</v>
      </c>
      <c r="FR36" s="64">
        <v>15</v>
      </c>
      <c r="FS36" s="64">
        <v>20</v>
      </c>
      <c r="FT36" s="64">
        <v>25</v>
      </c>
      <c r="FU36" s="64">
        <v>30</v>
      </c>
      <c r="FV36" s="64">
        <v>35</v>
      </c>
      <c r="FW36" s="64">
        <v>40</v>
      </c>
      <c r="FX36" s="64">
        <v>45</v>
      </c>
      <c r="FY36" s="64">
        <v>50</v>
      </c>
      <c r="FZ36" s="64">
        <v>55</v>
      </c>
      <c r="GA36" s="64">
        <v>60</v>
      </c>
      <c r="GB36" s="64">
        <v>65</v>
      </c>
      <c r="GC36" s="64"/>
      <c r="GD36" s="64" t="s">
        <v>203</v>
      </c>
      <c r="GE36" s="64">
        <v>0</v>
      </c>
      <c r="GF36" s="64">
        <v>10</v>
      </c>
      <c r="GG36" s="64">
        <v>15</v>
      </c>
      <c r="GH36" s="64">
        <v>20</v>
      </c>
      <c r="GI36" s="64">
        <v>25</v>
      </c>
      <c r="GJ36" s="64">
        <v>30</v>
      </c>
      <c r="GK36" s="64">
        <v>35</v>
      </c>
      <c r="GL36" s="64">
        <v>40</v>
      </c>
      <c r="GM36" s="64">
        <v>45</v>
      </c>
      <c r="GN36" s="64">
        <v>50</v>
      </c>
      <c r="GO36" s="64">
        <v>55</v>
      </c>
      <c r="GP36" s="64">
        <v>60</v>
      </c>
      <c r="GQ36" s="64">
        <v>65</v>
      </c>
      <c r="GR36" s="64"/>
      <c r="GS36" s="64" t="s">
        <v>231</v>
      </c>
      <c r="GT36" s="64">
        <v>0</v>
      </c>
      <c r="GU36" s="64">
        <v>10</v>
      </c>
      <c r="GV36" s="64">
        <v>15</v>
      </c>
      <c r="GW36" s="64">
        <v>20</v>
      </c>
      <c r="GX36" s="64">
        <v>25</v>
      </c>
      <c r="GY36" s="64">
        <v>30</v>
      </c>
      <c r="GZ36" s="64">
        <v>35</v>
      </c>
      <c r="HA36" s="64">
        <v>40</v>
      </c>
      <c r="HB36" s="64">
        <v>45</v>
      </c>
      <c r="HC36" s="64">
        <v>50</v>
      </c>
      <c r="HD36" s="64">
        <v>55</v>
      </c>
      <c r="HE36" s="64">
        <v>60</v>
      </c>
      <c r="HF36" s="64">
        <v>65</v>
      </c>
      <c r="HG36" s="70"/>
      <c r="HH36" s="64"/>
    </row>
    <row r="37" spans="1:216" x14ac:dyDescent="0.25">
      <c r="A37" s="8"/>
      <c r="B37" s="5" t="s">
        <v>61</v>
      </c>
      <c r="C37" s="8"/>
      <c r="D37" s="6" t="s">
        <v>475</v>
      </c>
      <c r="E37" s="8" t="s">
        <v>515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CWT70H50/3NMC</v>
      </c>
      <c r="M37" s="11">
        <f>INDEX(cenník!$C$2:$I$568,MATCH($L37,cenník!$B$2:$B$557,0),MATCH(M$2,cenník!$C$1:$I$1,0))</f>
        <v>867830</v>
      </c>
      <c r="N37" s="11" t="str">
        <f>INDEX(cenník!$C$2:$I$568,MATCH($L37,cenník!$B$2:$B$557,0),MATCH(N$2,cenník!$C$1:$I$1,0))</f>
        <v>ks</v>
      </c>
      <c r="O37" s="11">
        <f>SUM(AB33:AB48)</f>
        <v>0</v>
      </c>
      <c r="P37" s="36">
        <f>INDEX(cenník!$C$2:$I$568,MATCH($L37,cenník!$B$2:$B$557,0),MATCH(P$2,cenník!$C$1:$I$1,0))</f>
        <v>52.49</v>
      </c>
      <c r="Q37" s="36">
        <f t="shared" si="90"/>
        <v>0</v>
      </c>
      <c r="R37" s="37">
        <f t="shared" si="88"/>
        <v>0</v>
      </c>
      <c r="S37" s="36">
        <f t="shared" si="89"/>
        <v>52.49</v>
      </c>
      <c r="T37" s="36">
        <f t="shared" si="91"/>
        <v>0</v>
      </c>
      <c r="U37" s="36">
        <f>INDEX(cenník!$C$2:$I$568,MATCH($L37,cenník!$B$2:$B$557,0),MATCH(U$2,cenník!$C$1:$I$1,0))*O37</f>
        <v>0</v>
      </c>
      <c r="V37" s="85"/>
      <c r="W37" s="64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64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64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64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64">
        <f t="shared" si="75"/>
        <v>0</v>
      </c>
      <c r="AB37" s="64">
        <f t="shared" si="76"/>
        <v>0</v>
      </c>
      <c r="AC37" s="64"/>
      <c r="AD37" s="64"/>
      <c r="AE37" s="64" t="s">
        <v>197</v>
      </c>
      <c r="AF37" s="64">
        <v>1850</v>
      </c>
      <c r="AG37" s="64"/>
      <c r="AH37" s="64"/>
      <c r="AI37" s="64"/>
      <c r="AJ37" s="64"/>
      <c r="AK37" s="64"/>
      <c r="AL37" s="64"/>
      <c r="AM37" s="64"/>
      <c r="AN37" s="64"/>
      <c r="AO37" s="64"/>
      <c r="AP37" s="64"/>
      <c r="AQ37" s="64"/>
      <c r="AR37" s="83" t="s">
        <v>338</v>
      </c>
      <c r="AS37" s="64"/>
      <c r="AT37" s="64"/>
      <c r="AU37" s="64"/>
      <c r="AV37" s="64"/>
      <c r="AW37" s="64"/>
      <c r="AX37" s="64"/>
      <c r="AY37" s="64"/>
      <c r="AZ37" s="64"/>
      <c r="BA37" s="64"/>
      <c r="BB37" s="64"/>
      <c r="BC37" s="64"/>
      <c r="BD37" s="64"/>
      <c r="BE37" s="64"/>
      <c r="BF37" s="64"/>
      <c r="BG37" s="87">
        <f t="shared" si="58"/>
        <v>1</v>
      </c>
      <c r="BH37" s="64" t="s">
        <v>104</v>
      </c>
      <c r="BI37" s="64">
        <v>0</v>
      </c>
      <c r="BJ37" s="64">
        <f>IF(BJ9=0,0,IF(BJ9=5,6,IF(BJ9=10,12,IF(BJ9=15,18,IF(BJ9=20,24,0)))))</f>
        <v>0</v>
      </c>
      <c r="BK37" s="64">
        <f t="shared" ref="BK37:BU37" si="92">IF(BK9=0,0,IF(BK9=5,6,IF(BK9=10,12,IF(BK9=15,18,IF(BK9=20,24,0)))))</f>
        <v>6</v>
      </c>
      <c r="BL37" s="64">
        <f t="shared" si="92"/>
        <v>6</v>
      </c>
      <c r="BM37" s="64">
        <f t="shared" si="92"/>
        <v>0</v>
      </c>
      <c r="BN37" s="64">
        <f t="shared" si="92"/>
        <v>6</v>
      </c>
      <c r="BO37" s="64">
        <f t="shared" si="92"/>
        <v>0</v>
      </c>
      <c r="BP37" s="64">
        <f t="shared" si="92"/>
        <v>12</v>
      </c>
      <c r="BQ37" s="64">
        <f t="shared" si="92"/>
        <v>6</v>
      </c>
      <c r="BR37" s="64">
        <f t="shared" si="92"/>
        <v>12</v>
      </c>
      <c r="BS37" s="64">
        <f t="shared" si="92"/>
        <v>6</v>
      </c>
      <c r="BT37" s="64">
        <f t="shared" si="92"/>
        <v>12</v>
      </c>
      <c r="BU37" s="64">
        <f t="shared" si="92"/>
        <v>12</v>
      </c>
      <c r="BV37" s="64"/>
      <c r="BW37" s="64" t="s">
        <v>104</v>
      </c>
      <c r="BX37" s="64">
        <v>0</v>
      </c>
      <c r="BY37" s="64">
        <f t="shared" ref="BY37:CJ40" si="93">IF(BY9=0,0,IF(BY9=5,6,IF(BY9=10,12,IF(BY9=15,18,IF(BY9=20,24,0)))))</f>
        <v>0</v>
      </c>
      <c r="BZ37" s="64">
        <f t="shared" si="93"/>
        <v>6</v>
      </c>
      <c r="CA37" s="64">
        <f t="shared" si="93"/>
        <v>0</v>
      </c>
      <c r="CB37" s="64">
        <f t="shared" si="93"/>
        <v>0</v>
      </c>
      <c r="CC37" s="64">
        <f t="shared" si="93"/>
        <v>0</v>
      </c>
      <c r="CD37" s="64">
        <f t="shared" si="93"/>
        <v>12</v>
      </c>
      <c r="CE37" s="64">
        <f t="shared" si="93"/>
        <v>6</v>
      </c>
      <c r="CF37" s="64">
        <f t="shared" si="93"/>
        <v>12</v>
      </c>
      <c r="CG37" s="64">
        <f t="shared" si="93"/>
        <v>6</v>
      </c>
      <c r="CH37" s="64">
        <f t="shared" si="93"/>
        <v>12</v>
      </c>
      <c r="CI37" s="64">
        <f t="shared" si="93"/>
        <v>12</v>
      </c>
      <c r="CJ37" s="64">
        <f t="shared" si="93"/>
        <v>18</v>
      </c>
      <c r="CK37" s="64"/>
      <c r="CL37" s="64"/>
      <c r="CM37" s="64"/>
      <c r="CN37" s="64" t="s">
        <v>104</v>
      </c>
      <c r="CO37" s="64">
        <v>0</v>
      </c>
      <c r="CP37" s="64">
        <f t="shared" ref="CP37:DA40" si="94">IF(CP9=0,0,IF(CP9=5,6,IF(CP9=10,12,IF(CP9=15,18,IF(CP9=20,24,0)))))</f>
        <v>0</v>
      </c>
      <c r="CQ37" s="64">
        <f t="shared" si="94"/>
        <v>6</v>
      </c>
      <c r="CR37" s="64">
        <f t="shared" si="94"/>
        <v>0</v>
      </c>
      <c r="CS37" s="64">
        <f t="shared" si="94"/>
        <v>6</v>
      </c>
      <c r="CT37" s="64">
        <f t="shared" si="94"/>
        <v>0</v>
      </c>
      <c r="CU37" s="64">
        <f t="shared" si="94"/>
        <v>6</v>
      </c>
      <c r="CV37" s="64">
        <f t="shared" si="94"/>
        <v>12</v>
      </c>
      <c r="CW37" s="64">
        <f t="shared" si="94"/>
        <v>12</v>
      </c>
      <c r="CX37" s="64">
        <f t="shared" si="94"/>
        <v>12</v>
      </c>
      <c r="CY37" s="64">
        <f t="shared" si="94"/>
        <v>12</v>
      </c>
      <c r="CZ37" s="64">
        <f t="shared" si="94"/>
        <v>18</v>
      </c>
      <c r="DA37" s="64">
        <f t="shared" si="94"/>
        <v>24</v>
      </c>
      <c r="DB37" s="64"/>
      <c r="DC37" s="64" t="s">
        <v>104</v>
      </c>
      <c r="DD37" s="64">
        <v>0</v>
      </c>
      <c r="DE37" s="64">
        <f>IF(DE9=0,0,IF(DE9=5,6,IF(DE9=10,12,IF(DE9=15,18,IF(DE9=20,24,0)))))</f>
        <v>0</v>
      </c>
      <c r="DF37" s="64">
        <f t="shared" ref="DF37:DP37" si="95">IF(DF9=0,0,IF(DF9=5,6,IF(DF9=10,12,IF(DF9=15,18,IF(DF9=20,24,0)))))</f>
        <v>6</v>
      </c>
      <c r="DG37" s="64">
        <f t="shared" si="95"/>
        <v>0</v>
      </c>
      <c r="DH37" s="64">
        <f t="shared" si="95"/>
        <v>6</v>
      </c>
      <c r="DI37" s="64">
        <f t="shared" si="95"/>
        <v>12</v>
      </c>
      <c r="DJ37" s="64">
        <f t="shared" si="95"/>
        <v>6</v>
      </c>
      <c r="DK37" s="64">
        <f t="shared" si="95"/>
        <v>12</v>
      </c>
      <c r="DL37" s="64">
        <f t="shared" si="95"/>
        <v>18</v>
      </c>
      <c r="DM37" s="64">
        <f t="shared" si="95"/>
        <v>12</v>
      </c>
      <c r="DN37" s="64">
        <f t="shared" si="95"/>
        <v>18</v>
      </c>
      <c r="DO37" s="64">
        <f t="shared" si="95"/>
        <v>24</v>
      </c>
      <c r="DP37" s="64">
        <f t="shared" si="95"/>
        <v>18</v>
      </c>
      <c r="DQ37" s="80"/>
      <c r="DR37" s="80">
        <v>45</v>
      </c>
      <c r="DS37" s="80"/>
      <c r="DT37" s="64" t="s">
        <v>104</v>
      </c>
      <c r="DU37" s="64">
        <v>0</v>
      </c>
      <c r="DV37" s="64">
        <f>IF(DV9=0,0,IF(DV9=5,6,IF(DV9=10,12,IF(DV9=15,18,IF(DV9=20,24,0)))))</f>
        <v>0</v>
      </c>
      <c r="DW37" s="64">
        <f t="shared" ref="DW37:EG37" si="96">IF(DW9=0,0,IF(DW9=5,6,IF(DW9=10,12,IF(DW9=15,18,IF(DW9=20,24,0)))))</f>
        <v>6</v>
      </c>
      <c r="DX37" s="64">
        <f t="shared" si="96"/>
        <v>0</v>
      </c>
      <c r="DY37" s="64">
        <f t="shared" si="96"/>
        <v>0</v>
      </c>
      <c r="DZ37" s="64">
        <f t="shared" si="96"/>
        <v>12</v>
      </c>
      <c r="EA37" s="64">
        <f t="shared" si="96"/>
        <v>12</v>
      </c>
      <c r="EB37" s="64">
        <f t="shared" si="96"/>
        <v>6</v>
      </c>
      <c r="EC37" s="64">
        <f t="shared" si="96"/>
        <v>12</v>
      </c>
      <c r="ED37" s="64">
        <f t="shared" si="96"/>
        <v>18</v>
      </c>
      <c r="EE37" s="64">
        <f t="shared" si="96"/>
        <v>12</v>
      </c>
      <c r="EF37" s="64">
        <f t="shared" si="96"/>
        <v>18</v>
      </c>
      <c r="EG37" s="64">
        <f t="shared" si="96"/>
        <v>24</v>
      </c>
      <c r="EH37" s="64"/>
      <c r="EI37" s="64"/>
      <c r="EJ37" s="69"/>
      <c r="EK37" s="64" t="s">
        <v>286</v>
      </c>
      <c r="EL37" s="64">
        <v>0</v>
      </c>
      <c r="EM37" s="64">
        <f t="shared" ref="EM37:EX37" si="97">EM9/5*6</f>
        <v>0</v>
      </c>
      <c r="EN37" s="64">
        <f t="shared" si="97"/>
        <v>6</v>
      </c>
      <c r="EO37" s="64">
        <f t="shared" si="97"/>
        <v>6</v>
      </c>
      <c r="EP37" s="64">
        <f t="shared" si="97"/>
        <v>0</v>
      </c>
      <c r="EQ37" s="64">
        <f t="shared" si="97"/>
        <v>0</v>
      </c>
      <c r="ER37" s="64">
        <f t="shared" si="97"/>
        <v>0</v>
      </c>
      <c r="ES37" s="64">
        <f t="shared" si="97"/>
        <v>0</v>
      </c>
      <c r="ET37" s="64">
        <f t="shared" si="97"/>
        <v>0</v>
      </c>
      <c r="EU37" s="64">
        <f t="shared" si="97"/>
        <v>0</v>
      </c>
      <c r="EV37" s="64">
        <f t="shared" si="97"/>
        <v>0</v>
      </c>
      <c r="EW37" s="64">
        <f t="shared" si="97"/>
        <v>0</v>
      </c>
      <c r="EX37" s="64">
        <f t="shared" si="97"/>
        <v>0</v>
      </c>
      <c r="EZ37" s="64" t="s">
        <v>286</v>
      </c>
      <c r="FA37" s="64">
        <v>0</v>
      </c>
      <c r="FB37" s="64">
        <f t="shared" ref="FB37:FM37" si="98">FB9/5*6</f>
        <v>0</v>
      </c>
      <c r="FC37" s="64">
        <f t="shared" si="98"/>
        <v>6</v>
      </c>
      <c r="FD37" s="64">
        <f t="shared" si="98"/>
        <v>0</v>
      </c>
      <c r="FE37" s="64">
        <f t="shared" si="98"/>
        <v>0</v>
      </c>
      <c r="FF37" s="64">
        <f t="shared" si="98"/>
        <v>0</v>
      </c>
      <c r="FG37" s="64">
        <f t="shared" si="98"/>
        <v>0</v>
      </c>
      <c r="FH37" s="64">
        <f t="shared" si="98"/>
        <v>0</v>
      </c>
      <c r="FI37" s="64">
        <f t="shared" si="98"/>
        <v>0</v>
      </c>
      <c r="FJ37" s="64">
        <f t="shared" si="98"/>
        <v>0</v>
      </c>
      <c r="FK37" s="64">
        <f t="shared" si="98"/>
        <v>0</v>
      </c>
      <c r="FL37" s="64">
        <f t="shared" si="98"/>
        <v>0</v>
      </c>
      <c r="FM37" s="64">
        <f t="shared" si="98"/>
        <v>0</v>
      </c>
      <c r="FO37" s="64" t="s">
        <v>286</v>
      </c>
      <c r="FP37" s="64">
        <v>0</v>
      </c>
      <c r="FQ37" s="64">
        <f t="shared" ref="FQ37:GB37" si="99">FQ9/5*6</f>
        <v>0</v>
      </c>
      <c r="FR37" s="64">
        <f t="shared" si="99"/>
        <v>6</v>
      </c>
      <c r="FS37" s="64">
        <f t="shared" si="99"/>
        <v>0</v>
      </c>
      <c r="FT37" s="64">
        <f t="shared" si="99"/>
        <v>0</v>
      </c>
      <c r="FU37" s="64">
        <f t="shared" si="99"/>
        <v>0</v>
      </c>
      <c r="FV37" s="64">
        <f t="shared" si="99"/>
        <v>0</v>
      </c>
      <c r="FW37" s="64">
        <f t="shared" si="99"/>
        <v>0</v>
      </c>
      <c r="FX37" s="64">
        <f t="shared" si="99"/>
        <v>0</v>
      </c>
      <c r="FY37" s="64">
        <f t="shared" si="99"/>
        <v>0</v>
      </c>
      <c r="FZ37" s="64">
        <f t="shared" si="99"/>
        <v>0</v>
      </c>
      <c r="GA37" s="64">
        <f t="shared" si="99"/>
        <v>0</v>
      </c>
      <c r="GB37" s="64">
        <f t="shared" si="99"/>
        <v>0</v>
      </c>
      <c r="GD37" s="64" t="s">
        <v>286</v>
      </c>
      <c r="GE37" s="64">
        <v>0</v>
      </c>
      <c r="GF37" s="64">
        <f t="shared" ref="GF37:GQ37" si="100">GF9/5*6</f>
        <v>0</v>
      </c>
      <c r="GG37" s="64">
        <f t="shared" si="100"/>
        <v>6</v>
      </c>
      <c r="GH37" s="64">
        <f t="shared" si="100"/>
        <v>0</v>
      </c>
      <c r="GI37" s="64">
        <f t="shared" si="100"/>
        <v>0</v>
      </c>
      <c r="GJ37" s="64">
        <f t="shared" si="100"/>
        <v>0</v>
      </c>
      <c r="GK37" s="64">
        <f t="shared" si="100"/>
        <v>0</v>
      </c>
      <c r="GL37" s="64">
        <f t="shared" si="100"/>
        <v>0</v>
      </c>
      <c r="GM37" s="64">
        <f t="shared" si="100"/>
        <v>0</v>
      </c>
      <c r="GN37" s="64">
        <f t="shared" si="100"/>
        <v>0</v>
      </c>
      <c r="GO37" s="64">
        <f t="shared" si="100"/>
        <v>0</v>
      </c>
      <c r="GP37" s="64">
        <f t="shared" si="100"/>
        <v>0</v>
      </c>
      <c r="GQ37" s="64">
        <f t="shared" si="100"/>
        <v>0</v>
      </c>
      <c r="GS37" s="64" t="s">
        <v>286</v>
      </c>
      <c r="GT37" s="64">
        <v>0</v>
      </c>
      <c r="GU37" s="64">
        <f t="shared" ref="GU37:HF37" si="101">GU9/5*6</f>
        <v>0</v>
      </c>
      <c r="GV37" s="64">
        <f t="shared" si="101"/>
        <v>6</v>
      </c>
      <c r="GW37" s="64">
        <f t="shared" si="101"/>
        <v>0</v>
      </c>
      <c r="GX37" s="64">
        <f t="shared" si="101"/>
        <v>0</v>
      </c>
      <c r="GY37" s="64">
        <f t="shared" si="101"/>
        <v>0</v>
      </c>
      <c r="GZ37" s="64">
        <f t="shared" si="101"/>
        <v>0</v>
      </c>
      <c r="HA37" s="64">
        <f t="shared" si="101"/>
        <v>0</v>
      </c>
      <c r="HB37" s="64">
        <f t="shared" si="101"/>
        <v>0</v>
      </c>
      <c r="HC37" s="64">
        <f t="shared" si="101"/>
        <v>0</v>
      </c>
      <c r="HD37" s="64">
        <f t="shared" si="101"/>
        <v>0</v>
      </c>
      <c r="HE37" s="64">
        <f t="shared" si="101"/>
        <v>0</v>
      </c>
      <c r="HF37" s="64">
        <f t="shared" si="101"/>
        <v>0</v>
      </c>
      <c r="HG37" s="70"/>
      <c r="HH37" s="64"/>
    </row>
    <row r="38" spans="1:216" x14ac:dyDescent="0.25">
      <c r="A38" s="8"/>
      <c r="B38" s="5" t="s">
        <v>61</v>
      </c>
      <c r="C38" s="8"/>
      <c r="D38" s="6" t="s">
        <v>488</v>
      </c>
      <c r="E38" s="8">
        <v>0</v>
      </c>
      <c r="F38" s="5"/>
      <c r="G38" s="5"/>
      <c r="H38" s="5"/>
      <c r="I38" s="5"/>
      <c r="J38" s="5" t="s">
        <v>461</v>
      </c>
      <c r="K38" s="9"/>
      <c r="L38" s="6" t="str">
        <f>INDEX((AS29:AV35),MATCH(G35,AR29:AR35,0),MATCH(E37,AS28:AV28,0))</f>
        <v>CWT70H50/3NMC</v>
      </c>
      <c r="M38" s="11">
        <f>INDEX(cenník!$C$2:$I$568,MATCH($L38,cenník!$B$2:$B$557,0),MATCH(M$2,cenník!$C$1:$I$1,0))</f>
        <v>867830</v>
      </c>
      <c r="N38" s="11" t="str">
        <f>INDEX(cenník!$C$2:$I$568,MATCH($L38,cenník!$B$2:$B$557,0),MATCH(N$2,cenník!$C$1:$I$1,0))</f>
        <v>ks</v>
      </c>
      <c r="O38" s="11">
        <f>O37</f>
        <v>0</v>
      </c>
      <c r="P38" s="36">
        <f>INDEX(cenník!$C$2:$I$568,MATCH($L38,cenník!$B$2:$B$557,0),MATCH(P$2,cenník!$C$1:$I$1,0))</f>
        <v>52.49</v>
      </c>
      <c r="Q38" s="36">
        <f t="shared" si="90"/>
        <v>0</v>
      </c>
      <c r="R38" s="37">
        <f t="shared" si="88"/>
        <v>0</v>
      </c>
      <c r="S38" s="36">
        <f t="shared" si="89"/>
        <v>52.49</v>
      </c>
      <c r="T38" s="36">
        <f t="shared" si="91"/>
        <v>0</v>
      </c>
      <c r="U38" s="36">
        <f>INDEX(cenník!$C$2:$I$568,MATCH($L38,cenník!$B$2:$B$557,0),MATCH(U$2,cenník!$C$1:$I$1,0))*O38</f>
        <v>0</v>
      </c>
      <c r="V38" s="85"/>
      <c r="W38" s="64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64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64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64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64">
        <f t="shared" si="75"/>
        <v>0</v>
      </c>
      <c r="AB38" s="64">
        <f t="shared" si="76"/>
        <v>0</v>
      </c>
      <c r="AC38" s="64"/>
      <c r="AD38" s="64"/>
      <c r="AE38" s="64" t="s">
        <v>196</v>
      </c>
      <c r="AF38" s="64">
        <v>1900</v>
      </c>
      <c r="AG38" s="64"/>
      <c r="AH38" s="64"/>
      <c r="AI38" s="64"/>
      <c r="AJ38" s="64"/>
      <c r="AK38" s="64"/>
      <c r="AL38" s="64"/>
      <c r="AM38" s="64"/>
      <c r="AN38" s="64"/>
      <c r="AO38" s="64"/>
      <c r="AP38" s="64"/>
      <c r="AQ38" s="64"/>
      <c r="AR38" s="64"/>
      <c r="AS38" s="64" t="s">
        <v>515</v>
      </c>
      <c r="AT38" s="64" t="s">
        <v>516</v>
      </c>
      <c r="AU38" s="64" t="s">
        <v>483</v>
      </c>
      <c r="AV38" s="64" t="s">
        <v>517</v>
      </c>
      <c r="AW38" s="64"/>
      <c r="AX38" s="64"/>
      <c r="AY38" s="64"/>
      <c r="AZ38" s="64"/>
      <c r="BA38" s="64"/>
      <c r="BB38" s="64"/>
      <c r="BC38" s="64"/>
      <c r="BD38" s="64"/>
      <c r="BE38" s="64"/>
      <c r="BF38" s="64"/>
      <c r="BG38" s="87">
        <f t="shared" si="58"/>
        <v>1</v>
      </c>
      <c r="BH38" s="64" t="s">
        <v>103</v>
      </c>
      <c r="BI38" s="64">
        <v>0</v>
      </c>
      <c r="BJ38" s="64">
        <f t="shared" ref="BJ38:BU40" si="102">IF(BJ10=0,0,IF(BJ10=5,6,IF(BJ10=10,12,IF(BJ10=15,18,IF(BJ10=20,24,0)))))</f>
        <v>0</v>
      </c>
      <c r="BK38" s="64">
        <f t="shared" si="102"/>
        <v>0</v>
      </c>
      <c r="BL38" s="64">
        <f>IF(BL10=0,0,IF(BL10=5,6,IF(BL10=10,12,IF(BL10=15,18,IF(BL10=20,24,0)))))</f>
        <v>0</v>
      </c>
      <c r="BM38" s="64">
        <f t="shared" si="102"/>
        <v>12</v>
      </c>
      <c r="BN38" s="64">
        <f t="shared" si="102"/>
        <v>0</v>
      </c>
      <c r="BO38" s="64">
        <f t="shared" si="102"/>
        <v>12</v>
      </c>
      <c r="BP38" s="64">
        <f t="shared" si="102"/>
        <v>0</v>
      </c>
      <c r="BQ38" s="64">
        <f t="shared" si="102"/>
        <v>12</v>
      </c>
      <c r="BR38" s="64">
        <f t="shared" si="102"/>
        <v>0</v>
      </c>
      <c r="BS38" s="64">
        <f t="shared" si="102"/>
        <v>12</v>
      </c>
      <c r="BT38" s="64">
        <f t="shared" si="102"/>
        <v>6</v>
      </c>
      <c r="BU38" s="64">
        <f t="shared" si="102"/>
        <v>12</v>
      </c>
      <c r="BV38" s="64"/>
      <c r="BW38" s="64" t="s">
        <v>103</v>
      </c>
      <c r="BX38" s="64">
        <v>0</v>
      </c>
      <c r="BY38" s="64">
        <f t="shared" si="93"/>
        <v>0</v>
      </c>
      <c r="BZ38" s="64">
        <f t="shared" si="93"/>
        <v>0</v>
      </c>
      <c r="CA38" s="64">
        <f t="shared" si="93"/>
        <v>6</v>
      </c>
      <c r="CB38" s="64">
        <f t="shared" si="93"/>
        <v>12</v>
      </c>
      <c r="CC38" s="64">
        <f t="shared" si="93"/>
        <v>12</v>
      </c>
      <c r="CD38" s="64">
        <f t="shared" si="93"/>
        <v>0</v>
      </c>
      <c r="CE38" s="64">
        <f t="shared" si="93"/>
        <v>12</v>
      </c>
      <c r="CF38" s="64">
        <f t="shared" si="93"/>
        <v>6</v>
      </c>
      <c r="CG38" s="64">
        <f t="shared" si="93"/>
        <v>12</v>
      </c>
      <c r="CH38" s="64">
        <f t="shared" si="93"/>
        <v>6</v>
      </c>
      <c r="CI38" s="64">
        <f t="shared" si="93"/>
        <v>12</v>
      </c>
      <c r="CJ38" s="64">
        <f t="shared" si="93"/>
        <v>6</v>
      </c>
      <c r="CK38" s="64"/>
      <c r="CL38" s="64"/>
      <c r="CM38" s="64"/>
      <c r="CN38" s="64" t="s">
        <v>103</v>
      </c>
      <c r="CO38" s="64">
        <v>0</v>
      </c>
      <c r="CP38" s="64">
        <f t="shared" si="94"/>
        <v>6</v>
      </c>
      <c r="CQ38" s="64">
        <f t="shared" si="94"/>
        <v>0</v>
      </c>
      <c r="CR38" s="64">
        <f t="shared" si="94"/>
        <v>6</v>
      </c>
      <c r="CS38" s="64">
        <f t="shared" si="94"/>
        <v>0</v>
      </c>
      <c r="CT38" s="64">
        <f t="shared" si="94"/>
        <v>12</v>
      </c>
      <c r="CU38" s="64">
        <f t="shared" si="94"/>
        <v>12</v>
      </c>
      <c r="CV38" s="64">
        <f t="shared" si="94"/>
        <v>0</v>
      </c>
      <c r="CW38" s="64">
        <f t="shared" si="94"/>
        <v>6</v>
      </c>
      <c r="CX38" s="64">
        <f t="shared" si="94"/>
        <v>6</v>
      </c>
      <c r="CY38" s="64">
        <f t="shared" si="94"/>
        <v>12</v>
      </c>
      <c r="CZ38" s="64">
        <f t="shared" si="94"/>
        <v>6</v>
      </c>
      <c r="DA38" s="64">
        <f t="shared" si="94"/>
        <v>0</v>
      </c>
      <c r="DB38" s="64"/>
      <c r="DC38" s="64" t="s">
        <v>103</v>
      </c>
      <c r="DD38" s="64">
        <v>0</v>
      </c>
      <c r="DE38" s="64">
        <f t="shared" ref="DE38:DP40" si="103">IF(DE10=0,0,IF(DE10=5,6,IF(DE10=10,12,IF(DE10=15,18,IF(DE10=20,24,0)))))</f>
        <v>6</v>
      </c>
      <c r="DF38" s="64">
        <f t="shared" si="103"/>
        <v>0</v>
      </c>
      <c r="DG38" s="64">
        <f t="shared" si="103"/>
        <v>12</v>
      </c>
      <c r="DH38" s="64">
        <f t="shared" si="103"/>
        <v>6</v>
      </c>
      <c r="DI38" s="64">
        <f t="shared" si="103"/>
        <v>0</v>
      </c>
      <c r="DJ38" s="64">
        <f t="shared" si="103"/>
        <v>12</v>
      </c>
      <c r="DK38" s="64">
        <f t="shared" si="103"/>
        <v>6</v>
      </c>
      <c r="DL38" s="64">
        <f t="shared" si="103"/>
        <v>0</v>
      </c>
      <c r="DM38" s="64">
        <f t="shared" si="103"/>
        <v>12</v>
      </c>
      <c r="DN38" s="64">
        <f t="shared" si="103"/>
        <v>6</v>
      </c>
      <c r="DO38" s="64">
        <f t="shared" si="103"/>
        <v>0</v>
      </c>
      <c r="DP38" s="64">
        <f t="shared" si="103"/>
        <v>6</v>
      </c>
      <c r="DQ38" s="80"/>
      <c r="DR38" s="80">
        <v>50</v>
      </c>
      <c r="DS38" s="80"/>
      <c r="DT38" s="64" t="s">
        <v>103</v>
      </c>
      <c r="DU38" s="64">
        <v>0</v>
      </c>
      <c r="DV38" s="64">
        <f t="shared" ref="DV38:EG40" si="104">IF(DV10=0,0,IF(DV10=5,6,IF(DV10=10,12,IF(DV10=15,18,IF(DV10=20,24,0)))))</f>
        <v>6</v>
      </c>
      <c r="DW38" s="64">
        <f t="shared" si="104"/>
        <v>0</v>
      </c>
      <c r="DX38" s="64">
        <f t="shared" si="104"/>
        <v>12</v>
      </c>
      <c r="DY38" s="64">
        <f t="shared" si="104"/>
        <v>12</v>
      </c>
      <c r="DZ38" s="64">
        <f t="shared" si="104"/>
        <v>0</v>
      </c>
      <c r="EA38" s="64">
        <f t="shared" si="104"/>
        <v>0</v>
      </c>
      <c r="EB38" s="64">
        <f t="shared" si="104"/>
        <v>12</v>
      </c>
      <c r="EC38" s="64">
        <f t="shared" si="104"/>
        <v>6</v>
      </c>
      <c r="ED38" s="64">
        <f t="shared" si="104"/>
        <v>6</v>
      </c>
      <c r="EE38" s="64">
        <f t="shared" si="104"/>
        <v>12</v>
      </c>
      <c r="EF38" s="64">
        <f t="shared" si="104"/>
        <v>6</v>
      </c>
      <c r="EG38" s="64">
        <f t="shared" si="104"/>
        <v>0</v>
      </c>
      <c r="EH38" s="64"/>
      <c r="EI38" s="64"/>
      <c r="EJ38" s="69"/>
      <c r="EK38" s="64" t="s">
        <v>240</v>
      </c>
      <c r="EL38" s="64">
        <v>0</v>
      </c>
      <c r="EM38" s="64">
        <f t="shared" ref="EM38:EX38" si="105">EM10/5*6</f>
        <v>0</v>
      </c>
      <c r="EN38" s="64">
        <f t="shared" si="105"/>
        <v>0</v>
      </c>
      <c r="EO38" s="64">
        <f t="shared" si="105"/>
        <v>0</v>
      </c>
      <c r="EP38" s="64">
        <f t="shared" si="105"/>
        <v>12</v>
      </c>
      <c r="EQ38" s="64">
        <f t="shared" si="105"/>
        <v>0</v>
      </c>
      <c r="ER38" s="64">
        <f t="shared" si="105"/>
        <v>12</v>
      </c>
      <c r="ES38" s="64">
        <f t="shared" si="105"/>
        <v>0</v>
      </c>
      <c r="ET38" s="64">
        <f t="shared" si="105"/>
        <v>12</v>
      </c>
      <c r="EU38" s="64">
        <f t="shared" si="105"/>
        <v>0</v>
      </c>
      <c r="EV38" s="64">
        <f t="shared" si="105"/>
        <v>12</v>
      </c>
      <c r="EW38" s="64">
        <f t="shared" si="105"/>
        <v>6</v>
      </c>
      <c r="EX38" s="64">
        <f t="shared" si="105"/>
        <v>12</v>
      </c>
      <c r="EY38" s="64"/>
      <c r="EZ38" s="64" t="s">
        <v>240</v>
      </c>
      <c r="FA38" s="64">
        <v>0</v>
      </c>
      <c r="FB38" s="64">
        <f t="shared" ref="FB38:FM38" si="106">FB10/5*6</f>
        <v>0</v>
      </c>
      <c r="FC38" s="64">
        <f t="shared" si="106"/>
        <v>0</v>
      </c>
      <c r="FD38" s="64">
        <f t="shared" si="106"/>
        <v>6</v>
      </c>
      <c r="FE38" s="64">
        <f t="shared" si="106"/>
        <v>12</v>
      </c>
      <c r="FF38" s="64">
        <f t="shared" si="106"/>
        <v>12</v>
      </c>
      <c r="FG38" s="64">
        <f t="shared" si="106"/>
        <v>0</v>
      </c>
      <c r="FH38" s="64">
        <f t="shared" si="106"/>
        <v>12</v>
      </c>
      <c r="FI38" s="64">
        <f t="shared" si="106"/>
        <v>6</v>
      </c>
      <c r="FJ38" s="64">
        <f t="shared" si="106"/>
        <v>12</v>
      </c>
      <c r="FK38" s="64">
        <f t="shared" si="106"/>
        <v>6</v>
      </c>
      <c r="FL38" s="64">
        <f t="shared" si="106"/>
        <v>12</v>
      </c>
      <c r="FM38" s="64">
        <f t="shared" si="106"/>
        <v>6</v>
      </c>
      <c r="FN38" s="64"/>
      <c r="FO38" s="64" t="s">
        <v>240</v>
      </c>
      <c r="FP38" s="64">
        <v>0</v>
      </c>
      <c r="FQ38" s="64">
        <f t="shared" ref="FQ38:GB38" si="107">FQ10/5*6</f>
        <v>6</v>
      </c>
      <c r="FR38" s="64">
        <f t="shared" si="107"/>
        <v>0</v>
      </c>
      <c r="FS38" s="64">
        <f t="shared" si="107"/>
        <v>6</v>
      </c>
      <c r="FT38" s="64">
        <f t="shared" si="107"/>
        <v>0</v>
      </c>
      <c r="FU38" s="64">
        <f t="shared" si="107"/>
        <v>12</v>
      </c>
      <c r="FV38" s="64">
        <f t="shared" si="107"/>
        <v>12</v>
      </c>
      <c r="FW38" s="64">
        <f t="shared" si="107"/>
        <v>0</v>
      </c>
      <c r="FX38" s="64">
        <f t="shared" si="107"/>
        <v>6</v>
      </c>
      <c r="FY38" s="64">
        <f t="shared" si="107"/>
        <v>6</v>
      </c>
      <c r="FZ38" s="64">
        <f t="shared" si="107"/>
        <v>12</v>
      </c>
      <c r="GA38" s="64">
        <f t="shared" si="107"/>
        <v>6</v>
      </c>
      <c r="GB38" s="64">
        <f t="shared" si="107"/>
        <v>0</v>
      </c>
      <c r="GC38" s="64"/>
      <c r="GD38" s="64" t="s">
        <v>240</v>
      </c>
      <c r="GE38" s="64">
        <v>0</v>
      </c>
      <c r="GF38" s="64">
        <f t="shared" ref="GF38:GQ38" si="108">GF10/5*6</f>
        <v>6</v>
      </c>
      <c r="GG38" s="64">
        <f t="shared" si="108"/>
        <v>0</v>
      </c>
      <c r="GH38" s="64">
        <f t="shared" si="108"/>
        <v>12</v>
      </c>
      <c r="GI38" s="64">
        <f t="shared" si="108"/>
        <v>6</v>
      </c>
      <c r="GJ38" s="64">
        <f t="shared" si="108"/>
        <v>0</v>
      </c>
      <c r="GK38" s="64">
        <f t="shared" si="108"/>
        <v>12</v>
      </c>
      <c r="GL38" s="64">
        <f t="shared" si="108"/>
        <v>6</v>
      </c>
      <c r="GM38" s="64">
        <f t="shared" si="108"/>
        <v>0</v>
      </c>
      <c r="GN38" s="64">
        <f t="shared" si="108"/>
        <v>12</v>
      </c>
      <c r="GO38" s="64">
        <f t="shared" si="108"/>
        <v>6</v>
      </c>
      <c r="GP38" s="64">
        <f t="shared" si="108"/>
        <v>0</v>
      </c>
      <c r="GQ38" s="64">
        <f t="shared" si="108"/>
        <v>6</v>
      </c>
      <c r="GR38" s="64"/>
      <c r="GS38" s="64" t="s">
        <v>240</v>
      </c>
      <c r="GT38" s="64">
        <v>0</v>
      </c>
      <c r="GU38" s="64">
        <f t="shared" ref="GU38:HF38" si="109">GU10/5*6</f>
        <v>6</v>
      </c>
      <c r="GV38" s="64">
        <f t="shared" si="109"/>
        <v>0</v>
      </c>
      <c r="GW38" s="64">
        <f t="shared" si="109"/>
        <v>12</v>
      </c>
      <c r="GX38" s="64">
        <f t="shared" si="109"/>
        <v>12</v>
      </c>
      <c r="GY38" s="64">
        <f t="shared" si="109"/>
        <v>0</v>
      </c>
      <c r="GZ38" s="64">
        <f t="shared" si="109"/>
        <v>0</v>
      </c>
      <c r="HA38" s="64">
        <f t="shared" si="109"/>
        <v>12</v>
      </c>
      <c r="HB38" s="64">
        <f t="shared" si="109"/>
        <v>6</v>
      </c>
      <c r="HC38" s="64">
        <f t="shared" si="109"/>
        <v>6</v>
      </c>
      <c r="HD38" s="64">
        <f t="shared" si="109"/>
        <v>12</v>
      </c>
      <c r="HE38" s="64">
        <f t="shared" si="109"/>
        <v>6</v>
      </c>
      <c r="HF38" s="64">
        <f t="shared" si="109"/>
        <v>0</v>
      </c>
      <c r="HG38" s="70"/>
      <c r="HH38" s="64"/>
    </row>
    <row r="39" spans="1:216" x14ac:dyDescent="0.25">
      <c r="A39" s="8"/>
      <c r="B39" s="5" t="s">
        <v>61</v>
      </c>
      <c r="C39" s="8"/>
      <c r="D39" s="6" t="s">
        <v>458</v>
      </c>
      <c r="E39" s="8">
        <v>0</v>
      </c>
      <c r="F39" s="5"/>
      <c r="G39" s="5"/>
      <c r="H39" s="5"/>
      <c r="I39" s="5"/>
      <c r="J39" s="5" t="s">
        <v>95</v>
      </c>
      <c r="K39" s="9"/>
      <c r="L39" s="6" t="str">
        <f>INDEX((AS39:AV45),MATCH(G35,AR39:AR45,0),MATCH(E37,AS38:AV38,0))</f>
        <v>CWT70H50/2,4NMC</v>
      </c>
      <c r="M39" s="11">
        <f>INDEX(cenník!$C$2:$I$568,MATCH($L39,cenník!$B$2:$B$557,0),MATCH(M$2,cenník!$C$1:$I$1,0))</f>
        <v>867824</v>
      </c>
      <c r="N39" s="11" t="str">
        <f>INDEX(cenník!$C$2:$I$568,MATCH($L39,cenník!$B$2:$B$557,0),MATCH(N$2,cenník!$C$1:$I$1,0))</f>
        <v>ks</v>
      </c>
      <c r="O39" s="11">
        <f>IF(L39="CWT70H50/2NMC",O38,IF(L39="CWT70H50/2,4NMC",O38,0))</f>
        <v>0</v>
      </c>
      <c r="P39" s="36">
        <f>INDEX(cenník!$C$2:$I$568,MATCH($L39,cenník!$B$2:$B$557,0),MATCH(P$2,cenník!$C$1:$I$1,0))</f>
        <v>41.99</v>
      </c>
      <c r="Q39" s="36">
        <f t="shared" ref="Q39:Q40" si="110">O39*P39</f>
        <v>0</v>
      </c>
      <c r="R39" s="37">
        <f t="shared" si="88"/>
        <v>0</v>
      </c>
      <c r="S39" s="36">
        <f t="shared" si="89"/>
        <v>41.99</v>
      </c>
      <c r="T39" s="36">
        <f t="shared" ref="T39:T40" si="111">O39*S39</f>
        <v>0</v>
      </c>
      <c r="U39" s="36">
        <f>INDEX(cenník!$C$2:$I$568,MATCH($L39,cenník!$B$2:$B$557,0),MATCH(U$2,cenník!$C$1:$I$1,0))*O39</f>
        <v>0</v>
      </c>
      <c r="V39" s="85"/>
      <c r="W39" s="64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64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64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64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64">
        <f t="shared" si="75"/>
        <v>0</v>
      </c>
      <c r="AB39" s="64">
        <f t="shared" si="76"/>
        <v>0</v>
      </c>
      <c r="AC39" s="64"/>
      <c r="AD39" s="64"/>
      <c r="AE39" s="64" t="s">
        <v>198</v>
      </c>
      <c r="AF39" s="64">
        <v>1950</v>
      </c>
      <c r="AG39" s="64"/>
      <c r="AH39" s="64"/>
      <c r="AI39" s="64"/>
      <c r="AJ39" s="64"/>
      <c r="AK39" s="64"/>
      <c r="AL39" s="64"/>
      <c r="AM39" s="64"/>
      <c r="AN39" s="64"/>
      <c r="AO39" s="64"/>
      <c r="AP39" s="64"/>
      <c r="AQ39" s="64"/>
      <c r="AR39" s="64" t="s">
        <v>59</v>
      </c>
      <c r="AS39" s="64" t="s">
        <v>84</v>
      </c>
      <c r="AT39" s="64" t="s">
        <v>84</v>
      </c>
      <c r="AU39" s="64" t="s">
        <v>84</v>
      </c>
      <c r="AV39" s="64" t="s">
        <v>84</v>
      </c>
      <c r="AW39" s="64"/>
      <c r="AX39" s="64"/>
      <c r="AY39" s="64"/>
      <c r="AZ39" s="64"/>
      <c r="BA39" s="64"/>
      <c r="BB39" s="64"/>
      <c r="BC39" s="64"/>
      <c r="BD39" s="64"/>
      <c r="BE39" s="64"/>
      <c r="BF39" s="64"/>
      <c r="BG39" s="87">
        <f t="shared" si="58"/>
        <v>1</v>
      </c>
      <c r="BH39" s="64" t="s">
        <v>16</v>
      </c>
      <c r="BI39" s="64">
        <v>0</v>
      </c>
      <c r="BJ39" s="64">
        <f t="shared" si="102"/>
        <v>6</v>
      </c>
      <c r="BK39" s="64">
        <f t="shared" si="102"/>
        <v>0</v>
      </c>
      <c r="BL39" s="64">
        <f t="shared" si="102"/>
        <v>0</v>
      </c>
      <c r="BM39" s="64">
        <f t="shared" si="102"/>
        <v>0</v>
      </c>
      <c r="BN39" s="64">
        <f t="shared" si="102"/>
        <v>6</v>
      </c>
      <c r="BO39" s="64">
        <f t="shared" si="102"/>
        <v>6</v>
      </c>
      <c r="BP39" s="64">
        <f t="shared" si="102"/>
        <v>0</v>
      </c>
      <c r="BQ39" s="64">
        <f t="shared" si="102"/>
        <v>0</v>
      </c>
      <c r="BR39" s="64">
        <f t="shared" si="102"/>
        <v>6</v>
      </c>
      <c r="BS39" s="64">
        <f t="shared" si="102"/>
        <v>6</v>
      </c>
      <c r="BT39" s="64">
        <f t="shared" si="102"/>
        <v>6</v>
      </c>
      <c r="BU39" s="64">
        <f t="shared" si="102"/>
        <v>0</v>
      </c>
      <c r="BV39" s="64"/>
      <c r="BW39" s="64" t="s">
        <v>16</v>
      </c>
      <c r="BX39" s="64">
        <v>0</v>
      </c>
      <c r="BY39" s="64">
        <f t="shared" si="93"/>
        <v>6</v>
      </c>
      <c r="BZ39" s="64">
        <f t="shared" si="93"/>
        <v>0</v>
      </c>
      <c r="CA39" s="64">
        <f t="shared" si="93"/>
        <v>6</v>
      </c>
      <c r="CB39" s="64">
        <f t="shared" si="93"/>
        <v>0</v>
      </c>
      <c r="CC39" s="64">
        <f t="shared" si="93"/>
        <v>6</v>
      </c>
      <c r="CD39" s="64">
        <f t="shared" si="93"/>
        <v>0</v>
      </c>
      <c r="CE39" s="64">
        <f t="shared" si="93"/>
        <v>0</v>
      </c>
      <c r="CF39" s="64">
        <f t="shared" si="93"/>
        <v>0</v>
      </c>
      <c r="CG39" s="64">
        <f t="shared" si="93"/>
        <v>6</v>
      </c>
      <c r="CH39" s="64">
        <f t="shared" si="93"/>
        <v>6</v>
      </c>
      <c r="CI39" s="64">
        <f t="shared" si="93"/>
        <v>0</v>
      </c>
      <c r="CJ39" s="64">
        <f t="shared" si="93"/>
        <v>0</v>
      </c>
      <c r="CK39" s="64"/>
      <c r="CL39" s="64"/>
      <c r="CM39" s="64"/>
      <c r="CN39" s="64" t="s">
        <v>16</v>
      </c>
      <c r="CO39" s="64">
        <v>0</v>
      </c>
      <c r="CP39" s="64">
        <f t="shared" si="94"/>
        <v>0</v>
      </c>
      <c r="CQ39" s="64">
        <f t="shared" si="94"/>
        <v>0</v>
      </c>
      <c r="CR39" s="64">
        <f t="shared" si="94"/>
        <v>6</v>
      </c>
      <c r="CS39" s="64">
        <f t="shared" si="94"/>
        <v>6</v>
      </c>
      <c r="CT39" s="64">
        <f t="shared" si="94"/>
        <v>6</v>
      </c>
      <c r="CU39" s="64">
        <f t="shared" si="94"/>
        <v>0</v>
      </c>
      <c r="CV39" s="64">
        <f t="shared" si="94"/>
        <v>6</v>
      </c>
      <c r="CW39" s="64">
        <f t="shared" si="94"/>
        <v>0</v>
      </c>
      <c r="CX39" s="64">
        <f t="shared" si="94"/>
        <v>6</v>
      </c>
      <c r="CY39" s="64">
        <f t="shared" si="94"/>
        <v>0</v>
      </c>
      <c r="CZ39" s="64">
        <f t="shared" si="94"/>
        <v>0</v>
      </c>
      <c r="DA39" s="64">
        <f t="shared" si="94"/>
        <v>0</v>
      </c>
      <c r="DB39" s="64"/>
      <c r="DC39" s="64" t="s">
        <v>16</v>
      </c>
      <c r="DD39" s="64">
        <v>0</v>
      </c>
      <c r="DE39" s="64">
        <f t="shared" si="103"/>
        <v>0</v>
      </c>
      <c r="DF39" s="64">
        <f t="shared" si="103"/>
        <v>0</v>
      </c>
      <c r="DG39" s="64">
        <f t="shared" si="103"/>
        <v>0</v>
      </c>
      <c r="DH39" s="64">
        <f t="shared" si="103"/>
        <v>0</v>
      </c>
      <c r="DI39" s="64">
        <f t="shared" si="103"/>
        <v>0</v>
      </c>
      <c r="DJ39" s="64">
        <f t="shared" si="103"/>
        <v>0</v>
      </c>
      <c r="DK39" s="64">
        <f t="shared" si="103"/>
        <v>0</v>
      </c>
      <c r="DL39" s="64">
        <f t="shared" si="103"/>
        <v>0</v>
      </c>
      <c r="DM39" s="64">
        <f t="shared" si="103"/>
        <v>0</v>
      </c>
      <c r="DN39" s="64">
        <f t="shared" si="103"/>
        <v>0</v>
      </c>
      <c r="DO39" s="64">
        <f t="shared" si="103"/>
        <v>0</v>
      </c>
      <c r="DP39" s="64">
        <f t="shared" si="103"/>
        <v>6</v>
      </c>
      <c r="DQ39" s="80"/>
      <c r="DR39" s="80">
        <v>55</v>
      </c>
      <c r="DS39" s="80"/>
      <c r="DT39" s="64" t="s">
        <v>16</v>
      </c>
      <c r="DU39" s="64">
        <v>0</v>
      </c>
      <c r="DV39" s="64">
        <f t="shared" si="104"/>
        <v>0</v>
      </c>
      <c r="DW39" s="64">
        <f t="shared" si="104"/>
        <v>0</v>
      </c>
      <c r="DX39" s="64">
        <f t="shared" si="104"/>
        <v>0</v>
      </c>
      <c r="DY39" s="64">
        <f t="shared" si="104"/>
        <v>6</v>
      </c>
      <c r="DZ39" s="64">
        <f t="shared" si="104"/>
        <v>0</v>
      </c>
      <c r="EA39" s="64">
        <f t="shared" si="104"/>
        <v>6</v>
      </c>
      <c r="EB39" s="64">
        <f t="shared" si="104"/>
        <v>6</v>
      </c>
      <c r="EC39" s="64">
        <f t="shared" si="104"/>
        <v>6</v>
      </c>
      <c r="ED39" s="64">
        <f t="shared" si="104"/>
        <v>0</v>
      </c>
      <c r="EE39" s="64">
        <f t="shared" si="104"/>
        <v>6</v>
      </c>
      <c r="EF39" s="64">
        <f t="shared" si="104"/>
        <v>6</v>
      </c>
      <c r="EG39" s="64">
        <f t="shared" si="104"/>
        <v>6</v>
      </c>
      <c r="EH39" s="64"/>
      <c r="EI39" s="64"/>
      <c r="EJ39" s="69"/>
      <c r="EK39" s="64" t="s">
        <v>241</v>
      </c>
      <c r="EL39" s="64">
        <v>0</v>
      </c>
      <c r="EM39" s="64">
        <f t="shared" ref="EM39:EX39" si="112">EM11/5*6</f>
        <v>6</v>
      </c>
      <c r="EN39" s="64">
        <f t="shared" si="112"/>
        <v>0</v>
      </c>
      <c r="EO39" s="64">
        <f t="shared" si="112"/>
        <v>0</v>
      </c>
      <c r="EP39" s="64">
        <f t="shared" si="112"/>
        <v>0</v>
      </c>
      <c r="EQ39" s="64">
        <f t="shared" si="112"/>
        <v>18</v>
      </c>
      <c r="ER39" s="64">
        <f t="shared" si="112"/>
        <v>6</v>
      </c>
      <c r="ES39" s="64">
        <f t="shared" si="112"/>
        <v>24</v>
      </c>
      <c r="ET39" s="64">
        <f t="shared" si="112"/>
        <v>12</v>
      </c>
      <c r="EU39" s="64">
        <f t="shared" si="112"/>
        <v>30</v>
      </c>
      <c r="EV39" s="64">
        <f t="shared" si="112"/>
        <v>18</v>
      </c>
      <c r="EW39" s="64">
        <f t="shared" si="112"/>
        <v>30</v>
      </c>
      <c r="EX39" s="64">
        <f t="shared" si="112"/>
        <v>24</v>
      </c>
      <c r="EY39" s="64"/>
      <c r="EZ39" s="64" t="s">
        <v>241</v>
      </c>
      <c r="FA39" s="64">
        <v>0</v>
      </c>
      <c r="FB39" s="64">
        <f t="shared" ref="FB39:FM39" si="113">FB11/5*6</f>
        <v>6</v>
      </c>
      <c r="FC39" s="64">
        <f t="shared" si="113"/>
        <v>0</v>
      </c>
      <c r="FD39" s="64">
        <f t="shared" si="113"/>
        <v>6</v>
      </c>
      <c r="FE39" s="64">
        <f t="shared" si="113"/>
        <v>0</v>
      </c>
      <c r="FF39" s="64">
        <f t="shared" si="113"/>
        <v>6</v>
      </c>
      <c r="FG39" s="64">
        <f t="shared" si="113"/>
        <v>24</v>
      </c>
      <c r="FH39" s="64">
        <f t="shared" si="113"/>
        <v>12</v>
      </c>
      <c r="FI39" s="64">
        <f t="shared" si="113"/>
        <v>24</v>
      </c>
      <c r="FJ39" s="64">
        <f t="shared" si="113"/>
        <v>18</v>
      </c>
      <c r="FK39" s="64">
        <f t="shared" si="113"/>
        <v>30</v>
      </c>
      <c r="FL39" s="64">
        <f t="shared" si="113"/>
        <v>24</v>
      </c>
      <c r="FM39" s="64">
        <f t="shared" si="113"/>
        <v>36</v>
      </c>
      <c r="FN39" s="64"/>
      <c r="FO39" s="64" t="s">
        <v>241</v>
      </c>
      <c r="FP39" s="64">
        <v>0</v>
      </c>
      <c r="FQ39" s="64">
        <f t="shared" ref="FQ39:GB39" si="114">FQ11/5*6</f>
        <v>0</v>
      </c>
      <c r="FR39" s="64">
        <f t="shared" si="114"/>
        <v>0</v>
      </c>
      <c r="FS39" s="64">
        <f t="shared" si="114"/>
        <v>6</v>
      </c>
      <c r="FT39" s="64">
        <f t="shared" si="114"/>
        <v>18</v>
      </c>
      <c r="FU39" s="64">
        <f t="shared" si="114"/>
        <v>6</v>
      </c>
      <c r="FV39" s="64">
        <f t="shared" si="114"/>
        <v>12</v>
      </c>
      <c r="FW39" s="64">
        <f t="shared" si="114"/>
        <v>30</v>
      </c>
      <c r="FX39" s="64">
        <f t="shared" si="114"/>
        <v>24</v>
      </c>
      <c r="FY39" s="64">
        <f t="shared" si="114"/>
        <v>30</v>
      </c>
      <c r="FZ39" s="64">
        <f t="shared" si="114"/>
        <v>24</v>
      </c>
      <c r="GA39" s="64">
        <f t="shared" si="114"/>
        <v>36</v>
      </c>
      <c r="GB39" s="64">
        <f t="shared" si="114"/>
        <v>48</v>
      </c>
      <c r="GC39" s="64"/>
      <c r="GD39" s="64" t="s">
        <v>241</v>
      </c>
      <c r="GE39" s="64">
        <v>0</v>
      </c>
      <c r="GF39" s="64">
        <f t="shared" ref="GF39:GQ39" si="115">GF11/5*6</f>
        <v>0</v>
      </c>
      <c r="GG39" s="64">
        <f t="shared" si="115"/>
        <v>0</v>
      </c>
      <c r="GH39" s="64">
        <f t="shared" si="115"/>
        <v>0</v>
      </c>
      <c r="GI39" s="64">
        <f t="shared" si="115"/>
        <v>12</v>
      </c>
      <c r="GJ39" s="64">
        <f t="shared" si="115"/>
        <v>24</v>
      </c>
      <c r="GK39" s="64">
        <f t="shared" si="115"/>
        <v>12</v>
      </c>
      <c r="GL39" s="64">
        <f t="shared" si="115"/>
        <v>24</v>
      </c>
      <c r="GM39" s="64">
        <f t="shared" si="115"/>
        <v>36</v>
      </c>
      <c r="GN39" s="64">
        <f t="shared" si="115"/>
        <v>24</v>
      </c>
      <c r="GO39" s="64">
        <f t="shared" si="115"/>
        <v>36</v>
      </c>
      <c r="GP39" s="64">
        <f t="shared" si="115"/>
        <v>48</v>
      </c>
      <c r="GQ39" s="64">
        <f t="shared" si="115"/>
        <v>42</v>
      </c>
      <c r="GR39" s="64"/>
      <c r="GS39" s="64" t="s">
        <v>241</v>
      </c>
      <c r="GT39" s="64">
        <v>0</v>
      </c>
      <c r="GU39" s="64">
        <f t="shared" ref="GU39:HF39" si="116">GU11/5*6</f>
        <v>0</v>
      </c>
      <c r="GV39" s="64">
        <f t="shared" si="116"/>
        <v>0</v>
      </c>
      <c r="GW39" s="64">
        <f t="shared" si="116"/>
        <v>0</v>
      </c>
      <c r="GX39" s="64">
        <f t="shared" si="116"/>
        <v>6</v>
      </c>
      <c r="GY39" s="64">
        <f t="shared" si="116"/>
        <v>24</v>
      </c>
      <c r="GZ39" s="64">
        <f t="shared" si="116"/>
        <v>30</v>
      </c>
      <c r="HA39" s="64">
        <f t="shared" si="116"/>
        <v>18</v>
      </c>
      <c r="HB39" s="64">
        <f t="shared" si="116"/>
        <v>30</v>
      </c>
      <c r="HC39" s="64">
        <f t="shared" si="116"/>
        <v>36</v>
      </c>
      <c r="HD39" s="64">
        <f t="shared" si="116"/>
        <v>30</v>
      </c>
      <c r="HE39" s="64">
        <f t="shared" si="116"/>
        <v>42</v>
      </c>
      <c r="HF39" s="64">
        <f t="shared" si="116"/>
        <v>54</v>
      </c>
      <c r="HG39" s="70"/>
      <c r="HH39" s="64"/>
    </row>
    <row r="40" spans="1:216" x14ac:dyDescent="0.25">
      <c r="A40" s="8"/>
      <c r="B40" s="5" t="s">
        <v>61</v>
      </c>
      <c r="C40" s="8"/>
      <c r="D40" s="6" t="s">
        <v>460</v>
      </c>
      <c r="E40" s="8">
        <v>0</v>
      </c>
      <c r="F40" s="5"/>
      <c r="G40" s="5"/>
      <c r="H40" s="5"/>
      <c r="I40" s="5"/>
      <c r="J40" s="5" t="s">
        <v>461</v>
      </c>
      <c r="K40" s="9"/>
      <c r="L40" s="39" t="str">
        <f>IF(L39="CWT70H50/2NMC","LCT70H50NMC",IF(L39="CWT70H50/2,4NMC","LCT70H50NMC","-------"))</f>
        <v>LCT70H50NMC</v>
      </c>
      <c r="M40" s="11">
        <f>INDEX(cenník!$C$2:$I$568,MATCH($L40,cenník!$B$2:$B$557,0),MATCH(M$2,cenník!$C$1:$I$1,0))</f>
        <v>852002</v>
      </c>
      <c r="N40" s="11" t="str">
        <f>INDEX(cenník!$C$2:$I$568,MATCH($L40,cenník!$B$2:$B$557,0),MATCH(N$2,cenník!$C$1:$I$1,0))</f>
        <v>ks</v>
      </c>
      <c r="O40" s="11">
        <f>O39</f>
        <v>0</v>
      </c>
      <c r="P40" s="36">
        <f>INDEX(cenník!$C$2:$I$568,MATCH($L40,cenník!$B$2:$B$557,0),MATCH(P$2,cenník!$C$1:$I$1,0))</f>
        <v>7.8</v>
      </c>
      <c r="Q40" s="36">
        <f t="shared" si="110"/>
        <v>0</v>
      </c>
      <c r="R40" s="37">
        <f t="shared" si="88"/>
        <v>0</v>
      </c>
      <c r="S40" s="36">
        <f t="shared" si="89"/>
        <v>7.8</v>
      </c>
      <c r="T40" s="36">
        <f t="shared" si="111"/>
        <v>0</v>
      </c>
      <c r="U40" s="36">
        <f>INDEX(cenník!$C$2:$I$568,MATCH($L40,cenník!$B$2:$B$557,0),MATCH(U$2,cenník!$C$1:$I$1,0))*O40</f>
        <v>0</v>
      </c>
      <c r="V40" s="85"/>
      <c r="W40" s="64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64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64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64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64">
        <f t="shared" si="75"/>
        <v>0</v>
      </c>
      <c r="AB40" s="64">
        <f t="shared" si="76"/>
        <v>0</v>
      </c>
      <c r="AC40" s="64"/>
      <c r="AD40" s="64"/>
      <c r="AE40" s="87" t="s">
        <v>58</v>
      </c>
      <c r="AF40" s="64">
        <v>2000</v>
      </c>
      <c r="AG40" s="64"/>
      <c r="AH40" s="64"/>
      <c r="AI40" s="64"/>
      <c r="AJ40" s="64"/>
      <c r="AK40" s="64"/>
      <c r="AL40" s="64"/>
      <c r="AM40" s="64"/>
      <c r="AN40" s="64"/>
      <c r="AO40" s="64"/>
      <c r="AP40" s="64"/>
      <c r="AQ40" s="64"/>
      <c r="AR40" s="64" t="s">
        <v>60</v>
      </c>
      <c r="AS40" s="64" t="s">
        <v>291</v>
      </c>
      <c r="AT40" s="64" t="s">
        <v>84</v>
      </c>
      <c r="AU40" s="64" t="s">
        <v>84</v>
      </c>
      <c r="AV40" s="64" t="s">
        <v>84</v>
      </c>
      <c r="AW40" s="64"/>
      <c r="AX40" s="64"/>
      <c r="AY40" s="64"/>
      <c r="AZ40" s="64"/>
      <c r="BA40" s="64"/>
      <c r="BB40" s="64"/>
      <c r="BC40" s="64"/>
      <c r="BD40" s="64"/>
      <c r="BE40" s="64"/>
      <c r="BF40" s="64"/>
      <c r="BG40" s="87">
        <f t="shared" si="58"/>
        <v>1</v>
      </c>
      <c r="BH40" s="72" t="s">
        <v>364</v>
      </c>
      <c r="BI40" s="72">
        <v>0</v>
      </c>
      <c r="BJ40" s="64">
        <f t="shared" si="102"/>
        <v>0</v>
      </c>
      <c r="BK40" s="64">
        <f t="shared" si="102"/>
        <v>0</v>
      </c>
      <c r="BL40" s="64">
        <f t="shared" si="102"/>
        <v>0</v>
      </c>
      <c r="BM40" s="64">
        <f t="shared" si="102"/>
        <v>6</v>
      </c>
      <c r="BN40" s="64">
        <f t="shared" si="102"/>
        <v>6</v>
      </c>
      <c r="BO40" s="64">
        <f t="shared" si="102"/>
        <v>12</v>
      </c>
      <c r="BP40" s="64">
        <f t="shared" si="102"/>
        <v>6</v>
      </c>
      <c r="BQ40" s="64">
        <f t="shared" si="102"/>
        <v>12</v>
      </c>
      <c r="BR40" s="64">
        <f t="shared" si="102"/>
        <v>12</v>
      </c>
      <c r="BS40" s="64">
        <f t="shared" si="102"/>
        <v>18</v>
      </c>
      <c r="BT40" s="64">
        <f t="shared" si="102"/>
        <v>18</v>
      </c>
      <c r="BU40" s="64">
        <f t="shared" si="102"/>
        <v>18</v>
      </c>
      <c r="BV40" s="64"/>
      <c r="BW40" s="72" t="s">
        <v>364</v>
      </c>
      <c r="BX40" s="64">
        <v>0</v>
      </c>
      <c r="BY40" s="64">
        <f t="shared" si="93"/>
        <v>0</v>
      </c>
      <c r="BZ40" s="64">
        <f t="shared" si="93"/>
        <v>0</v>
      </c>
      <c r="CA40" s="64">
        <f t="shared" si="93"/>
        <v>6</v>
      </c>
      <c r="CB40" s="64">
        <f t="shared" si="93"/>
        <v>6</v>
      </c>
      <c r="CC40" s="64">
        <f t="shared" si="93"/>
        <v>12</v>
      </c>
      <c r="CD40" s="64">
        <f t="shared" si="93"/>
        <v>6</v>
      </c>
      <c r="CE40" s="64">
        <f t="shared" si="93"/>
        <v>12</v>
      </c>
      <c r="CF40" s="64">
        <f t="shared" si="93"/>
        <v>12</v>
      </c>
      <c r="CG40" s="64">
        <f t="shared" si="93"/>
        <v>18</v>
      </c>
      <c r="CH40" s="64">
        <f t="shared" si="93"/>
        <v>18</v>
      </c>
      <c r="CI40" s="64">
        <f t="shared" si="93"/>
        <v>18</v>
      </c>
      <c r="CJ40" s="64">
        <f t="shared" si="93"/>
        <v>18</v>
      </c>
      <c r="CK40" s="64"/>
      <c r="CL40" s="64"/>
      <c r="CM40" s="64"/>
      <c r="CN40" s="72" t="s">
        <v>364</v>
      </c>
      <c r="CO40" s="72">
        <v>0</v>
      </c>
      <c r="CP40" s="64">
        <f t="shared" si="94"/>
        <v>0</v>
      </c>
      <c r="CQ40" s="64">
        <f t="shared" si="94"/>
        <v>0</v>
      </c>
      <c r="CR40" s="64">
        <f t="shared" si="94"/>
        <v>6</v>
      </c>
      <c r="CS40" s="64">
        <f t="shared" si="94"/>
        <v>6</v>
      </c>
      <c r="CT40" s="64">
        <f t="shared" si="94"/>
        <v>12</v>
      </c>
      <c r="CU40" s="64">
        <f t="shared" si="94"/>
        <v>12</v>
      </c>
      <c r="CV40" s="64">
        <f t="shared" si="94"/>
        <v>12</v>
      </c>
      <c r="CW40" s="64">
        <f t="shared" si="94"/>
        <v>12</v>
      </c>
      <c r="CX40" s="64">
        <f t="shared" si="94"/>
        <v>18</v>
      </c>
      <c r="CY40" s="64">
        <f t="shared" si="94"/>
        <v>18</v>
      </c>
      <c r="CZ40" s="64">
        <f t="shared" si="94"/>
        <v>18</v>
      </c>
      <c r="DA40" s="64">
        <f t="shared" si="94"/>
        <v>18</v>
      </c>
      <c r="DB40" s="64"/>
      <c r="DC40" s="72" t="s">
        <v>364</v>
      </c>
      <c r="DD40" s="64">
        <v>0</v>
      </c>
      <c r="DE40" s="64">
        <f t="shared" si="103"/>
        <v>0</v>
      </c>
      <c r="DF40" s="64">
        <f t="shared" si="103"/>
        <v>0</v>
      </c>
      <c r="DG40" s="64">
        <f t="shared" si="103"/>
        <v>6</v>
      </c>
      <c r="DH40" s="64">
        <f t="shared" si="103"/>
        <v>6</v>
      </c>
      <c r="DI40" s="64">
        <f t="shared" si="103"/>
        <v>6</v>
      </c>
      <c r="DJ40" s="64">
        <f t="shared" si="103"/>
        <v>12</v>
      </c>
      <c r="DK40" s="64">
        <f t="shared" si="103"/>
        <v>12</v>
      </c>
      <c r="DL40" s="64">
        <f t="shared" si="103"/>
        <v>12</v>
      </c>
      <c r="DM40" s="64">
        <f t="shared" si="103"/>
        <v>18</v>
      </c>
      <c r="DN40" s="64">
        <f t="shared" si="103"/>
        <v>18</v>
      </c>
      <c r="DO40" s="64">
        <f t="shared" si="103"/>
        <v>18</v>
      </c>
      <c r="DP40" s="64">
        <f t="shared" si="103"/>
        <v>24</v>
      </c>
      <c r="DQ40" s="80"/>
      <c r="DR40" s="80">
        <v>60</v>
      </c>
      <c r="DS40" s="80"/>
      <c r="DT40" s="72" t="s">
        <v>364</v>
      </c>
      <c r="DU40" s="64">
        <v>0</v>
      </c>
      <c r="DV40" s="64">
        <f t="shared" si="104"/>
        <v>0</v>
      </c>
      <c r="DW40" s="64">
        <f t="shared" si="104"/>
        <v>0</v>
      </c>
      <c r="DX40" s="64">
        <f t="shared" si="104"/>
        <v>6</v>
      </c>
      <c r="DY40" s="64">
        <f t="shared" si="104"/>
        <v>12</v>
      </c>
      <c r="DZ40" s="64">
        <f t="shared" si="104"/>
        <v>6</v>
      </c>
      <c r="EA40" s="64">
        <f t="shared" si="104"/>
        <v>12</v>
      </c>
      <c r="EB40" s="64">
        <f t="shared" si="104"/>
        <v>18</v>
      </c>
      <c r="EC40" s="64">
        <f t="shared" si="104"/>
        <v>18</v>
      </c>
      <c r="ED40" s="64">
        <f t="shared" si="104"/>
        <v>18</v>
      </c>
      <c r="EE40" s="64">
        <f t="shared" si="104"/>
        <v>24</v>
      </c>
      <c r="EF40" s="64">
        <f t="shared" si="104"/>
        <v>24</v>
      </c>
      <c r="EG40" s="64">
        <f t="shared" si="104"/>
        <v>24</v>
      </c>
      <c r="EH40" s="64"/>
      <c r="EI40" s="64"/>
      <c r="EJ40" s="69"/>
      <c r="EK40" s="72" t="s">
        <v>364</v>
      </c>
      <c r="EL40" s="64">
        <v>0</v>
      </c>
      <c r="EM40" s="64">
        <f t="shared" ref="EM40:EX40" si="117">EM12/5*6</f>
        <v>0</v>
      </c>
      <c r="EN40" s="64">
        <f t="shared" si="117"/>
        <v>0</v>
      </c>
      <c r="EO40" s="64">
        <f t="shared" si="117"/>
        <v>0</v>
      </c>
      <c r="EP40" s="64">
        <f t="shared" si="117"/>
        <v>6</v>
      </c>
      <c r="EQ40" s="64">
        <f t="shared" si="117"/>
        <v>12</v>
      </c>
      <c r="ER40" s="64">
        <f t="shared" si="117"/>
        <v>12</v>
      </c>
      <c r="ES40" s="64">
        <f t="shared" si="117"/>
        <v>18</v>
      </c>
      <c r="ET40" s="64">
        <f t="shared" si="117"/>
        <v>18</v>
      </c>
      <c r="EU40" s="64">
        <f t="shared" si="117"/>
        <v>24</v>
      </c>
      <c r="EV40" s="64">
        <f t="shared" si="117"/>
        <v>24</v>
      </c>
      <c r="EW40" s="64">
        <f t="shared" si="117"/>
        <v>30</v>
      </c>
      <c r="EX40" s="64">
        <f t="shared" si="117"/>
        <v>30</v>
      </c>
      <c r="EY40" s="64"/>
      <c r="EZ40" s="72" t="s">
        <v>364</v>
      </c>
      <c r="FA40" s="64">
        <v>0</v>
      </c>
      <c r="FB40" s="64">
        <f t="shared" ref="FB40:FM40" si="118">FB12/5*6</f>
        <v>0</v>
      </c>
      <c r="FC40" s="64">
        <f t="shared" si="118"/>
        <v>0</v>
      </c>
      <c r="FD40" s="64">
        <f t="shared" si="118"/>
        <v>6</v>
      </c>
      <c r="FE40" s="64">
        <f t="shared" si="118"/>
        <v>6</v>
      </c>
      <c r="FF40" s="64">
        <f t="shared" si="118"/>
        <v>12</v>
      </c>
      <c r="FG40" s="64">
        <f t="shared" si="118"/>
        <v>18</v>
      </c>
      <c r="FH40" s="64">
        <f t="shared" si="118"/>
        <v>18</v>
      </c>
      <c r="FI40" s="64">
        <f t="shared" si="118"/>
        <v>24</v>
      </c>
      <c r="FJ40" s="64">
        <f t="shared" si="118"/>
        <v>24</v>
      </c>
      <c r="FK40" s="64">
        <f t="shared" si="118"/>
        <v>30</v>
      </c>
      <c r="FL40" s="64">
        <f t="shared" si="118"/>
        <v>30</v>
      </c>
      <c r="FM40" s="64">
        <f t="shared" si="118"/>
        <v>36</v>
      </c>
      <c r="FN40" s="64"/>
      <c r="FO40" s="72" t="s">
        <v>364</v>
      </c>
      <c r="FP40" s="64">
        <v>0</v>
      </c>
      <c r="FQ40" s="64">
        <f t="shared" ref="FQ40:GB40" si="119">FQ12/5*6</f>
        <v>0</v>
      </c>
      <c r="FR40" s="64">
        <f t="shared" si="119"/>
        <v>0</v>
      </c>
      <c r="FS40" s="64">
        <f t="shared" si="119"/>
        <v>6</v>
      </c>
      <c r="FT40" s="64">
        <f t="shared" si="119"/>
        <v>12</v>
      </c>
      <c r="FU40" s="64">
        <f t="shared" si="119"/>
        <v>12</v>
      </c>
      <c r="FV40" s="64">
        <f t="shared" si="119"/>
        <v>18</v>
      </c>
      <c r="FW40" s="64">
        <f t="shared" si="119"/>
        <v>24</v>
      </c>
      <c r="FX40" s="64">
        <f t="shared" si="119"/>
        <v>24</v>
      </c>
      <c r="FY40" s="64">
        <f t="shared" si="119"/>
        <v>30</v>
      </c>
      <c r="FZ40" s="64">
        <f t="shared" si="119"/>
        <v>30</v>
      </c>
      <c r="GA40" s="64">
        <f t="shared" si="119"/>
        <v>36</v>
      </c>
      <c r="GB40" s="64">
        <f t="shared" si="119"/>
        <v>42</v>
      </c>
      <c r="GC40" s="64"/>
      <c r="GD40" s="72" t="s">
        <v>364</v>
      </c>
      <c r="GE40" s="64">
        <v>0</v>
      </c>
      <c r="GF40" s="64">
        <f t="shared" ref="GF40:GQ40" si="120">GF12/5*6</f>
        <v>0</v>
      </c>
      <c r="GG40" s="64">
        <f t="shared" si="120"/>
        <v>0</v>
      </c>
      <c r="GH40" s="64">
        <f t="shared" si="120"/>
        <v>6</v>
      </c>
      <c r="GI40" s="64">
        <f t="shared" si="120"/>
        <v>12</v>
      </c>
      <c r="GJ40" s="64">
        <f t="shared" si="120"/>
        <v>18</v>
      </c>
      <c r="GK40" s="64">
        <f t="shared" si="120"/>
        <v>18</v>
      </c>
      <c r="GL40" s="64">
        <f t="shared" si="120"/>
        <v>24</v>
      </c>
      <c r="GM40" s="64">
        <f t="shared" si="120"/>
        <v>30</v>
      </c>
      <c r="GN40" s="64">
        <f t="shared" si="120"/>
        <v>30</v>
      </c>
      <c r="GO40" s="64">
        <f t="shared" si="120"/>
        <v>36</v>
      </c>
      <c r="GP40" s="64">
        <f t="shared" si="120"/>
        <v>42</v>
      </c>
      <c r="GQ40" s="64">
        <f t="shared" si="120"/>
        <v>42</v>
      </c>
      <c r="GR40" s="64"/>
      <c r="GS40" s="72" t="s">
        <v>364</v>
      </c>
      <c r="GT40" s="64">
        <v>0</v>
      </c>
      <c r="GU40" s="64">
        <f t="shared" ref="GU40:HF40" si="121">GU12/5*6</f>
        <v>0</v>
      </c>
      <c r="GV40" s="64">
        <f t="shared" si="121"/>
        <v>0</v>
      </c>
      <c r="GW40" s="64">
        <f t="shared" si="121"/>
        <v>6</v>
      </c>
      <c r="GX40" s="64">
        <f t="shared" si="121"/>
        <v>12</v>
      </c>
      <c r="GY40" s="64">
        <f t="shared" si="121"/>
        <v>18</v>
      </c>
      <c r="GZ40" s="64">
        <f t="shared" si="121"/>
        <v>24</v>
      </c>
      <c r="HA40" s="64">
        <f t="shared" si="121"/>
        <v>24</v>
      </c>
      <c r="HB40" s="64">
        <f t="shared" si="121"/>
        <v>30</v>
      </c>
      <c r="HC40" s="64">
        <f t="shared" si="121"/>
        <v>36</v>
      </c>
      <c r="HD40" s="64">
        <f t="shared" si="121"/>
        <v>36</v>
      </c>
      <c r="HE40" s="64">
        <f t="shared" si="121"/>
        <v>42</v>
      </c>
      <c r="HF40" s="64">
        <f t="shared" si="121"/>
        <v>48</v>
      </c>
      <c r="HG40" s="70"/>
      <c r="HH40" s="64"/>
    </row>
    <row r="41" spans="1:216" x14ac:dyDescent="0.25">
      <c r="A41" s="8"/>
      <c r="B41" s="5" t="s">
        <v>61</v>
      </c>
      <c r="C41" s="8"/>
      <c r="D41" s="6" t="s">
        <v>474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BDFTH120/6NMC</v>
      </c>
      <c r="M41" s="11">
        <f>INDEX(cenník!$C$2:$I$568,MATCH($L41,cenník!$B$2:$B$557,0),MATCH(M$2,cenník!$C$1:$I$1,0))</f>
        <v>863461</v>
      </c>
      <c r="N41" s="11" t="str">
        <f>INDEX(cenník!$C$2:$I$568,MATCH($L41,cenník!$B$2:$B$557,0),MATCH(N$2,cenník!$C$1:$I$1,0))</f>
        <v>ks</v>
      </c>
      <c r="O41" s="11">
        <f>O37</f>
        <v>0</v>
      </c>
      <c r="P41" s="36">
        <f>INDEX(cenník!$C$2:$I$568,MATCH($L41,cenník!$B$2:$B$557,0),MATCH(P$2,cenník!$C$1:$I$1,0))</f>
        <v>129.53</v>
      </c>
      <c r="Q41" s="36">
        <f t="shared" ref="Q41:Q45" si="122">O41*P41</f>
        <v>0</v>
      </c>
      <c r="R41" s="37">
        <f t="shared" si="88"/>
        <v>0</v>
      </c>
      <c r="S41" s="36">
        <f t="shared" si="89"/>
        <v>129.53</v>
      </c>
      <c r="T41" s="36">
        <f t="shared" ref="T41:T45" si="123">O41*S41</f>
        <v>0</v>
      </c>
      <c r="U41" s="36">
        <f>INDEX(cenník!$C$2:$I$568,MATCH($L41,cenník!$B$2:$B$557,0),MATCH(U$2,cenník!$C$1:$I$1,0))*O41</f>
        <v>0</v>
      </c>
      <c r="V41" s="85"/>
      <c r="W41" s="64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64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64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64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64">
        <f t="shared" si="75"/>
        <v>0</v>
      </c>
      <c r="AB41" s="64">
        <f t="shared" si="76"/>
        <v>0</v>
      </c>
      <c r="AC41" s="64"/>
      <c r="AD41" s="64"/>
      <c r="AE41" s="87" t="s">
        <v>71</v>
      </c>
      <c r="AF41" s="64">
        <v>2050</v>
      </c>
      <c r="AG41" s="64"/>
      <c r="AH41" s="64"/>
      <c r="AI41" s="64"/>
      <c r="AJ41" s="64"/>
      <c r="AK41" s="64"/>
      <c r="AL41" s="64"/>
      <c r="AM41" s="64"/>
      <c r="AN41" s="64"/>
      <c r="AO41" s="64"/>
      <c r="AP41" s="64"/>
      <c r="AQ41" s="64"/>
      <c r="AR41" s="64" t="s">
        <v>199</v>
      </c>
      <c r="AS41" s="64" t="s">
        <v>291</v>
      </c>
      <c r="AT41" s="64" t="s">
        <v>84</v>
      </c>
      <c r="AU41" s="64" t="s">
        <v>84</v>
      </c>
      <c r="AV41" s="64" t="s">
        <v>84</v>
      </c>
      <c r="AW41" s="64"/>
      <c r="AX41" s="64"/>
      <c r="AY41" s="64"/>
      <c r="AZ41" s="64"/>
      <c r="BA41" s="64"/>
      <c r="BB41" s="64"/>
      <c r="BC41" s="64"/>
      <c r="BD41" s="64"/>
      <c r="BE41" s="64"/>
      <c r="BF41" s="64"/>
      <c r="BG41" s="87">
        <f t="shared" si="58"/>
        <v>1</v>
      </c>
      <c r="BH41" s="64"/>
      <c r="BI41" s="64"/>
      <c r="BJ41" s="64"/>
      <c r="BK41" s="64"/>
      <c r="BL41" s="64"/>
      <c r="BM41" s="64"/>
      <c r="BN41" s="64"/>
      <c r="BO41" s="64"/>
      <c r="BP41" s="64"/>
      <c r="BQ41" s="64"/>
      <c r="BR41" s="64"/>
      <c r="BS41" s="64"/>
      <c r="BT41" s="64"/>
      <c r="BU41" s="64"/>
      <c r="BV41" s="64"/>
      <c r="BW41" s="64"/>
      <c r="BX41" s="64"/>
      <c r="BY41" s="64"/>
      <c r="BZ41" s="64"/>
      <c r="CA41" s="64"/>
      <c r="CB41" s="64"/>
      <c r="CC41" s="64"/>
      <c r="CD41" s="64"/>
      <c r="CE41" s="64"/>
      <c r="CF41" s="64"/>
      <c r="CG41" s="64"/>
      <c r="CH41" s="64"/>
      <c r="CI41" s="64"/>
      <c r="CJ41" s="64"/>
      <c r="CK41" s="64"/>
      <c r="CL41" s="64"/>
      <c r="CM41" s="64"/>
      <c r="CN41" s="64"/>
      <c r="CO41" s="64"/>
      <c r="CP41" s="64"/>
      <c r="CQ41" s="64"/>
      <c r="CR41" s="64"/>
      <c r="CS41" s="64"/>
      <c r="CT41" s="64"/>
      <c r="CU41" s="64"/>
      <c r="CV41" s="64"/>
      <c r="CW41" s="64"/>
      <c r="CX41" s="64"/>
      <c r="CY41" s="64"/>
      <c r="CZ41" s="64"/>
      <c r="DA41" s="64"/>
      <c r="DB41" s="64"/>
      <c r="DC41" s="64"/>
      <c r="DD41" s="64"/>
      <c r="DE41" s="64"/>
      <c r="DF41" s="64"/>
      <c r="DG41" s="64"/>
      <c r="DH41" s="64"/>
      <c r="DI41" s="64"/>
      <c r="DJ41" s="64"/>
      <c r="DK41" s="64"/>
      <c r="DL41" s="64"/>
      <c r="DM41" s="64"/>
      <c r="DN41" s="64"/>
      <c r="DO41" s="64"/>
      <c r="DP41" s="64"/>
      <c r="DQ41" s="80"/>
      <c r="DR41" s="80">
        <v>65</v>
      </c>
      <c r="DS41" s="80"/>
      <c r="DT41" s="64"/>
      <c r="DU41" s="64"/>
      <c r="DV41" s="64"/>
      <c r="DW41" s="64"/>
      <c r="DX41" s="64"/>
      <c r="DY41" s="64"/>
      <c r="DZ41" s="64"/>
      <c r="EA41" s="64"/>
      <c r="EB41" s="64"/>
      <c r="EC41" s="64"/>
      <c r="ED41" s="64"/>
      <c r="EE41" s="64"/>
      <c r="EF41" s="64"/>
      <c r="EG41" s="64"/>
      <c r="EH41" s="64"/>
      <c r="EI41" s="64"/>
      <c r="EJ41" s="69"/>
      <c r="EK41" s="64"/>
      <c r="EL41" s="64"/>
      <c r="EM41" s="64"/>
      <c r="EN41" s="64"/>
      <c r="EO41" s="64"/>
      <c r="EP41" s="64"/>
      <c r="EQ41" s="64"/>
      <c r="ER41" s="64"/>
      <c r="ES41" s="64"/>
      <c r="ET41" s="64"/>
      <c r="EU41" s="64"/>
      <c r="EV41" s="64"/>
      <c r="EW41" s="64"/>
      <c r="EX41" s="64"/>
      <c r="EY41" s="64"/>
      <c r="EZ41" s="64"/>
      <c r="FA41" s="64"/>
      <c r="FB41" s="64"/>
      <c r="FC41" s="64"/>
      <c r="FD41" s="64"/>
      <c r="FE41" s="64"/>
      <c r="FF41" s="64"/>
      <c r="FG41" s="64"/>
      <c r="FH41" s="64"/>
      <c r="FI41" s="64"/>
      <c r="FJ41" s="64"/>
      <c r="FK41" s="64"/>
      <c r="FL41" s="64"/>
      <c r="FM41" s="64"/>
      <c r="FN41" s="64"/>
      <c r="FO41" s="64"/>
      <c r="FP41" s="64"/>
      <c r="FQ41" s="64"/>
      <c r="FR41" s="64"/>
      <c r="FS41" s="64"/>
      <c r="FT41" s="64"/>
      <c r="FU41" s="64"/>
      <c r="FV41" s="64"/>
      <c r="FW41" s="64"/>
      <c r="FX41" s="64"/>
      <c r="FY41" s="64"/>
      <c r="FZ41" s="64"/>
      <c r="GA41" s="64"/>
      <c r="GB41" s="64"/>
      <c r="GC41" s="64"/>
      <c r="GD41" s="64"/>
      <c r="GE41" s="64"/>
      <c r="GF41" s="64"/>
      <c r="GG41" s="64"/>
      <c r="GH41" s="64"/>
      <c r="GI41" s="64"/>
      <c r="GJ41" s="64"/>
      <c r="GK41" s="64"/>
      <c r="GL41" s="64"/>
      <c r="GM41" s="64"/>
      <c r="GN41" s="64"/>
      <c r="GO41" s="64"/>
      <c r="GP41" s="64"/>
      <c r="GQ41" s="64"/>
      <c r="GR41" s="64"/>
      <c r="GS41" s="64"/>
      <c r="GT41" s="64"/>
      <c r="GU41" s="64"/>
      <c r="GV41" s="64"/>
      <c r="GW41" s="64"/>
      <c r="GX41" s="64"/>
      <c r="GY41" s="64"/>
      <c r="GZ41" s="64"/>
      <c r="HA41" s="64"/>
      <c r="HB41" s="64"/>
      <c r="HC41" s="64"/>
      <c r="HD41" s="64"/>
      <c r="HE41" s="64"/>
      <c r="HF41" s="64"/>
      <c r="HG41" s="70"/>
      <c r="HH41" s="64"/>
    </row>
    <row r="42" spans="1:216" x14ac:dyDescent="0.25">
      <c r="A42" s="8"/>
      <c r="B42" s="5" t="s">
        <v>61</v>
      </c>
      <c r="C42" s="8"/>
      <c r="D42" s="6" t="s">
        <v>478</v>
      </c>
      <c r="E42" s="8">
        <v>2</v>
      </c>
      <c r="F42" s="43" t="s">
        <v>480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>
        <f>INDEX(cenník!$C$2:$I$568,MATCH($L42,cenník!$B$2:$B$557,0),MATCH(M$2,cenník!$C$1:$I$1,0))</f>
        <v>851117</v>
      </c>
      <c r="N42" s="11" t="str">
        <f>INDEX(cenník!$C$2:$I$568,MATCH($L42,cenník!$B$2:$B$557,0),MATCH(N$2,cenník!$C$1:$I$1,0))</f>
        <v>ks</v>
      </c>
      <c r="O42" s="11">
        <f>O37</f>
        <v>0</v>
      </c>
      <c r="P42" s="36">
        <f>INDEX(cenník!$C$2:$I$568,MATCH($L42,cenník!$B$2:$B$557,0),MATCH(P$2,cenník!$C$1:$I$1,0))</f>
        <v>12.35</v>
      </c>
      <c r="Q42" s="36">
        <f t="shared" si="122"/>
        <v>0</v>
      </c>
      <c r="R42" s="37">
        <f t="shared" si="88"/>
        <v>0</v>
      </c>
      <c r="S42" s="36">
        <f t="shared" si="89"/>
        <v>12.35</v>
      </c>
      <c r="T42" s="36">
        <f t="shared" si="123"/>
        <v>0</v>
      </c>
      <c r="U42" s="36">
        <f>INDEX(cenník!$C$2:$I$568,MATCH($L42,cenník!$B$2:$B$557,0),MATCH(U$2,cenník!$C$1:$I$1,0))*O42</f>
        <v>0</v>
      </c>
      <c r="V42" s="85"/>
      <c r="W42" s="64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64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64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64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64">
        <f t="shared" si="75"/>
        <v>0</v>
      </c>
      <c r="AB42" s="64">
        <f t="shared" si="76"/>
        <v>0</v>
      </c>
      <c r="AC42" s="64"/>
      <c r="AD42" s="64"/>
      <c r="AE42" s="87" t="s">
        <v>72</v>
      </c>
      <c r="AF42" s="64">
        <v>2100</v>
      </c>
      <c r="AG42" s="64"/>
      <c r="AH42" s="64"/>
      <c r="AI42" s="64"/>
      <c r="AJ42" s="64"/>
      <c r="AK42" s="64"/>
      <c r="AL42" s="64"/>
      <c r="AM42" s="64"/>
      <c r="AN42" s="64"/>
      <c r="AO42" s="64"/>
      <c r="AP42" s="64"/>
      <c r="AQ42" s="64"/>
      <c r="AR42" s="64" t="s">
        <v>205</v>
      </c>
      <c r="AS42" s="64" t="s">
        <v>292</v>
      </c>
      <c r="AT42" s="64" t="s">
        <v>84</v>
      </c>
      <c r="AU42" s="64" t="s">
        <v>84</v>
      </c>
      <c r="AV42" s="64" t="s">
        <v>84</v>
      </c>
      <c r="AW42" s="64"/>
      <c r="AX42" s="64"/>
      <c r="AY42" s="64"/>
      <c r="AZ42" s="64"/>
      <c r="BA42" s="64"/>
      <c r="BB42" s="64"/>
      <c r="BC42" s="64"/>
      <c r="BD42" s="64"/>
      <c r="BE42" s="64"/>
      <c r="BF42" s="64"/>
      <c r="BG42" s="87">
        <f t="shared" si="58"/>
        <v>1</v>
      </c>
      <c r="BH42" s="64" t="s">
        <v>67</v>
      </c>
      <c r="BI42" s="64">
        <v>0</v>
      </c>
      <c r="BJ42" s="64">
        <v>10</v>
      </c>
      <c r="BK42" s="64">
        <v>15</v>
      </c>
      <c r="BL42" s="64">
        <v>20</v>
      </c>
      <c r="BM42" s="64">
        <v>25</v>
      </c>
      <c r="BN42" s="64">
        <v>30</v>
      </c>
      <c r="BO42" s="64">
        <v>35</v>
      </c>
      <c r="BP42" s="64">
        <v>40</v>
      </c>
      <c r="BQ42" s="64">
        <v>45</v>
      </c>
      <c r="BR42" s="64">
        <v>50</v>
      </c>
      <c r="BS42" s="64">
        <v>55</v>
      </c>
      <c r="BT42" s="64">
        <v>60</v>
      </c>
      <c r="BU42" s="64">
        <v>65</v>
      </c>
      <c r="BV42" s="64"/>
      <c r="BW42" s="64" t="s">
        <v>196</v>
      </c>
      <c r="BX42" s="64">
        <v>0</v>
      </c>
      <c r="BY42" s="64">
        <v>10</v>
      </c>
      <c r="BZ42" s="64">
        <v>15</v>
      </c>
      <c r="CA42" s="64">
        <v>20</v>
      </c>
      <c r="CB42" s="64">
        <v>25</v>
      </c>
      <c r="CC42" s="64">
        <v>30</v>
      </c>
      <c r="CD42" s="64">
        <v>35</v>
      </c>
      <c r="CE42" s="64">
        <v>40</v>
      </c>
      <c r="CF42" s="64">
        <v>45</v>
      </c>
      <c r="CG42" s="64">
        <v>50</v>
      </c>
      <c r="CH42" s="64">
        <v>55</v>
      </c>
      <c r="CI42" s="64">
        <v>60</v>
      </c>
      <c r="CJ42" s="64">
        <v>65</v>
      </c>
      <c r="CK42" s="64"/>
      <c r="CL42" s="64"/>
      <c r="CM42" s="64"/>
      <c r="CN42" s="64" t="s">
        <v>71</v>
      </c>
      <c r="CO42" s="64">
        <v>0</v>
      </c>
      <c r="CP42" s="64">
        <v>10</v>
      </c>
      <c r="CQ42" s="64">
        <v>15</v>
      </c>
      <c r="CR42" s="64">
        <v>20</v>
      </c>
      <c r="CS42" s="64">
        <v>25</v>
      </c>
      <c r="CT42" s="64">
        <v>30</v>
      </c>
      <c r="CU42" s="64">
        <v>35</v>
      </c>
      <c r="CV42" s="64">
        <v>40</v>
      </c>
      <c r="CW42" s="64">
        <v>45</v>
      </c>
      <c r="CX42" s="64">
        <v>50</v>
      </c>
      <c r="CY42" s="64">
        <v>55</v>
      </c>
      <c r="CZ42" s="64">
        <v>60</v>
      </c>
      <c r="DA42" s="64">
        <v>65</v>
      </c>
      <c r="DB42" s="64"/>
      <c r="DC42" s="64" t="s">
        <v>204</v>
      </c>
      <c r="DD42" s="64">
        <v>0</v>
      </c>
      <c r="DE42" s="64">
        <v>10</v>
      </c>
      <c r="DF42" s="64">
        <v>15</v>
      </c>
      <c r="DG42" s="64">
        <v>20</v>
      </c>
      <c r="DH42" s="64">
        <v>25</v>
      </c>
      <c r="DI42" s="64">
        <v>30</v>
      </c>
      <c r="DJ42" s="64">
        <v>35</v>
      </c>
      <c r="DK42" s="64">
        <v>40</v>
      </c>
      <c r="DL42" s="64">
        <v>45</v>
      </c>
      <c r="DM42" s="64">
        <v>50</v>
      </c>
      <c r="DN42" s="64">
        <v>55</v>
      </c>
      <c r="DO42" s="64">
        <v>60</v>
      </c>
      <c r="DP42" s="64">
        <v>65</v>
      </c>
      <c r="DQ42" s="80"/>
      <c r="DR42" s="80"/>
      <c r="DS42" s="80"/>
      <c r="DT42" s="64"/>
      <c r="DU42" s="64"/>
      <c r="DV42" s="64"/>
      <c r="DW42" s="64"/>
      <c r="DX42" s="64"/>
      <c r="DY42" s="64"/>
      <c r="DZ42" s="64"/>
      <c r="EA42" s="64"/>
      <c r="EB42" s="64"/>
      <c r="EC42" s="64"/>
      <c r="ED42" s="64"/>
      <c r="EE42" s="64"/>
      <c r="EF42" s="64"/>
      <c r="EG42" s="64"/>
      <c r="EH42" s="64"/>
      <c r="EI42" s="64"/>
      <c r="EJ42" s="69"/>
      <c r="EK42" s="64" t="s">
        <v>67</v>
      </c>
      <c r="EL42" s="64">
        <v>0</v>
      </c>
      <c r="EM42" s="64">
        <v>10</v>
      </c>
      <c r="EN42" s="64">
        <v>15</v>
      </c>
      <c r="EO42" s="64">
        <v>20</v>
      </c>
      <c r="EP42" s="64">
        <v>25</v>
      </c>
      <c r="EQ42" s="64">
        <v>30</v>
      </c>
      <c r="ER42" s="64">
        <v>35</v>
      </c>
      <c r="ES42" s="64">
        <v>40</v>
      </c>
      <c r="ET42" s="64">
        <v>45</v>
      </c>
      <c r="EU42" s="64">
        <v>50</v>
      </c>
      <c r="EV42" s="64">
        <v>55</v>
      </c>
      <c r="EW42" s="64">
        <v>60</v>
      </c>
      <c r="EX42" s="64">
        <v>65</v>
      </c>
      <c r="EY42" s="64"/>
      <c r="EZ42" s="64" t="s">
        <v>196</v>
      </c>
      <c r="FA42" s="64">
        <v>0</v>
      </c>
      <c r="FB42" s="64">
        <v>10</v>
      </c>
      <c r="FC42" s="64">
        <v>15</v>
      </c>
      <c r="FD42" s="64">
        <v>20</v>
      </c>
      <c r="FE42" s="64">
        <v>25</v>
      </c>
      <c r="FF42" s="64">
        <v>30</v>
      </c>
      <c r="FG42" s="64">
        <v>35</v>
      </c>
      <c r="FH42" s="64">
        <v>40</v>
      </c>
      <c r="FI42" s="64">
        <v>45</v>
      </c>
      <c r="FJ42" s="64">
        <v>50</v>
      </c>
      <c r="FK42" s="64">
        <v>55</v>
      </c>
      <c r="FL42" s="64">
        <v>60</v>
      </c>
      <c r="FM42" s="64">
        <v>65</v>
      </c>
      <c r="FN42" s="64"/>
      <c r="FO42" s="64" t="s">
        <v>71</v>
      </c>
      <c r="FP42" s="64">
        <v>0</v>
      </c>
      <c r="FQ42" s="64">
        <v>10</v>
      </c>
      <c r="FR42" s="64">
        <v>15</v>
      </c>
      <c r="FS42" s="64">
        <v>20</v>
      </c>
      <c r="FT42" s="64">
        <v>25</v>
      </c>
      <c r="FU42" s="64">
        <v>30</v>
      </c>
      <c r="FV42" s="64">
        <v>35</v>
      </c>
      <c r="FW42" s="64">
        <v>40</v>
      </c>
      <c r="FX42" s="64">
        <v>45</v>
      </c>
      <c r="FY42" s="64">
        <v>50</v>
      </c>
      <c r="FZ42" s="64">
        <v>55</v>
      </c>
      <c r="GA42" s="64">
        <v>60</v>
      </c>
      <c r="GB42" s="64">
        <v>65</v>
      </c>
      <c r="GC42" s="64"/>
      <c r="GD42" s="64" t="s">
        <v>204</v>
      </c>
      <c r="GE42" s="64">
        <v>0</v>
      </c>
      <c r="GF42" s="64">
        <v>10</v>
      </c>
      <c r="GG42" s="64">
        <v>15</v>
      </c>
      <c r="GH42" s="64">
        <v>20</v>
      </c>
      <c r="GI42" s="64">
        <v>25</v>
      </c>
      <c r="GJ42" s="64">
        <v>30</v>
      </c>
      <c r="GK42" s="64">
        <v>35</v>
      </c>
      <c r="GL42" s="64">
        <v>40</v>
      </c>
      <c r="GM42" s="64">
        <v>45</v>
      </c>
      <c r="GN42" s="64">
        <v>50</v>
      </c>
      <c r="GO42" s="64">
        <v>55</v>
      </c>
      <c r="GP42" s="64">
        <v>60</v>
      </c>
      <c r="GQ42" s="64">
        <v>65</v>
      </c>
      <c r="GR42" s="64"/>
      <c r="GS42" s="64"/>
      <c r="GT42" s="64"/>
      <c r="GU42" s="64"/>
      <c r="GV42" s="64"/>
      <c r="GW42" s="64"/>
      <c r="GX42" s="64"/>
      <c r="GY42" s="64"/>
      <c r="GZ42" s="64"/>
      <c r="HA42" s="64"/>
      <c r="HB42" s="64"/>
      <c r="HC42" s="64"/>
      <c r="HD42" s="64"/>
      <c r="HE42" s="64"/>
      <c r="HF42" s="64"/>
      <c r="HG42" s="70"/>
      <c r="HH42" s="64"/>
    </row>
    <row r="43" spans="1:216" x14ac:dyDescent="0.25">
      <c r="A43" s="8"/>
      <c r="B43" s="5" t="s">
        <v>61</v>
      </c>
      <c r="C43" s="8"/>
      <c r="D43" s="6" t="s">
        <v>479</v>
      </c>
      <c r="E43" s="8">
        <v>3</v>
      </c>
      <c r="F43" s="43" t="s">
        <v>481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CMP41H41/1,2MC</v>
      </c>
      <c r="M43" s="11">
        <f>INDEX(cenník!$C$2:$I$568,MATCH($L43,cenník!$B$2:$B$557,0),MATCH(M$2,cenník!$C$1:$I$1,0))</f>
        <v>856211</v>
      </c>
      <c r="N43" s="11" t="str">
        <f>INDEX(cenník!$C$2:$I$568,MATCH($L43,cenník!$B$2:$B$557,0),MATCH(N$2,cenník!$C$1:$I$1,0))</f>
        <v>ks</v>
      </c>
      <c r="O43" s="29">
        <f>IF(L41="BDFCH120/5,4NMC",0,IF(L41="BDFTH120/6NMC",O42,IF(L41="BDFTH120/6,8NMC",O42,0)))</f>
        <v>0</v>
      </c>
      <c r="P43" s="36">
        <f>INDEX(cenník!$C$2:$I$568,MATCH($L43,cenník!$B$2:$B$557,0),MATCH(P$2,cenník!$C$1:$I$1,0))</f>
        <v>8.7100000000000009</v>
      </c>
      <c r="Q43" s="36">
        <f t="shared" si="122"/>
        <v>0</v>
      </c>
      <c r="R43" s="37">
        <f t="shared" si="88"/>
        <v>0</v>
      </c>
      <c r="S43" s="36">
        <f t="shared" si="89"/>
        <v>8.7100000000000009</v>
      </c>
      <c r="T43" s="36">
        <f t="shared" si="123"/>
        <v>0</v>
      </c>
      <c r="U43" s="36">
        <f>INDEX(cenník!$C$2:$I$568,MATCH($L43,cenník!$B$2:$B$557,0),MATCH(U$2,cenník!$C$1:$I$1,0))*O43</f>
        <v>0</v>
      </c>
      <c r="V43" s="85"/>
      <c r="W43" s="64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64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64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64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64">
        <f t="shared" si="75"/>
        <v>0</v>
      </c>
      <c r="AB43" s="64">
        <f t="shared" si="76"/>
        <v>0</v>
      </c>
      <c r="AC43" s="64"/>
      <c r="AD43" s="64"/>
      <c r="AE43" s="64" t="s">
        <v>203</v>
      </c>
      <c r="AF43" s="64">
        <v>2150</v>
      </c>
      <c r="AG43" s="64"/>
      <c r="AH43" s="64"/>
      <c r="AI43" s="64"/>
      <c r="AJ43" s="64"/>
      <c r="AK43" s="64"/>
      <c r="AL43" s="64"/>
      <c r="AM43" s="64"/>
      <c r="AN43" s="64"/>
      <c r="AO43" s="64"/>
      <c r="AP43" s="64"/>
      <c r="AQ43" s="64"/>
      <c r="AR43" s="64" t="s">
        <v>329</v>
      </c>
      <c r="AS43" s="64" t="s">
        <v>292</v>
      </c>
      <c r="AT43" s="64" t="s">
        <v>84</v>
      </c>
      <c r="AU43" s="64" t="s">
        <v>84</v>
      </c>
      <c r="AV43" s="64" t="s">
        <v>84</v>
      </c>
      <c r="AW43" s="64"/>
      <c r="AX43" s="64"/>
      <c r="AY43" s="64"/>
      <c r="AZ43" s="64"/>
      <c r="BA43" s="64"/>
      <c r="BB43" s="64"/>
      <c r="BC43" s="64"/>
      <c r="BD43" s="64"/>
      <c r="BE43" s="64"/>
      <c r="BF43" s="64"/>
      <c r="BG43" s="87">
        <f t="shared" si="58"/>
        <v>1</v>
      </c>
      <c r="BH43" s="64" t="s">
        <v>104</v>
      </c>
      <c r="BI43" s="64">
        <v>0</v>
      </c>
      <c r="BJ43" s="64">
        <f>IF(BJ15=0,0,IF(BJ15=5,6,IF(BJ15=10,12,IF(BJ15=15,18,IF(BJ15=20,24,0)))))</f>
        <v>0</v>
      </c>
      <c r="BK43" s="64">
        <f t="shared" ref="BK43:BU43" si="124">IF(BK15=0,0,IF(BK15=5,6,IF(BK15=10,12,IF(BK15=15,18,IF(BK15=20,24,0)))))</f>
        <v>6</v>
      </c>
      <c r="BL43" s="64">
        <f t="shared" si="124"/>
        <v>6</v>
      </c>
      <c r="BM43" s="64">
        <f t="shared" si="124"/>
        <v>0</v>
      </c>
      <c r="BN43" s="64">
        <f t="shared" si="124"/>
        <v>6</v>
      </c>
      <c r="BO43" s="64">
        <f t="shared" si="124"/>
        <v>0</v>
      </c>
      <c r="BP43" s="64">
        <f t="shared" si="124"/>
        <v>6</v>
      </c>
      <c r="BQ43" s="64">
        <f t="shared" si="124"/>
        <v>6</v>
      </c>
      <c r="BR43" s="64">
        <f t="shared" si="124"/>
        <v>12</v>
      </c>
      <c r="BS43" s="64">
        <f t="shared" si="124"/>
        <v>18</v>
      </c>
      <c r="BT43" s="64">
        <f t="shared" si="124"/>
        <v>12</v>
      </c>
      <c r="BU43" s="64">
        <f t="shared" si="124"/>
        <v>18</v>
      </c>
      <c r="BV43" s="64"/>
      <c r="BW43" s="64" t="s">
        <v>104</v>
      </c>
      <c r="BX43" s="64">
        <v>0</v>
      </c>
      <c r="BY43" s="64">
        <f t="shared" ref="BY43:CJ46" si="125">IF(BY15=0,0,IF(BY15=5,6,IF(BY15=10,12,IF(BY15=15,18,IF(BY15=20,24,0)))))</f>
        <v>0</v>
      </c>
      <c r="BZ43" s="64">
        <f t="shared" si="125"/>
        <v>6</v>
      </c>
      <c r="CA43" s="64">
        <f t="shared" si="125"/>
        <v>0</v>
      </c>
      <c r="CB43" s="64">
        <f t="shared" si="125"/>
        <v>6</v>
      </c>
      <c r="CC43" s="64">
        <f t="shared" si="125"/>
        <v>0</v>
      </c>
      <c r="CD43" s="64">
        <f t="shared" si="125"/>
        <v>12</v>
      </c>
      <c r="CE43" s="64">
        <f t="shared" si="125"/>
        <v>6</v>
      </c>
      <c r="CF43" s="64">
        <f t="shared" si="125"/>
        <v>12</v>
      </c>
      <c r="CG43" s="64">
        <f t="shared" si="125"/>
        <v>6</v>
      </c>
      <c r="CH43" s="64">
        <f t="shared" si="125"/>
        <v>12</v>
      </c>
      <c r="CI43" s="64">
        <f t="shared" si="125"/>
        <v>18</v>
      </c>
      <c r="CJ43" s="64">
        <f t="shared" si="125"/>
        <v>12</v>
      </c>
      <c r="CK43" s="64"/>
      <c r="CL43" s="64"/>
      <c r="CM43" s="64"/>
      <c r="CN43" s="64" t="s">
        <v>104</v>
      </c>
      <c r="CO43" s="64">
        <v>0</v>
      </c>
      <c r="CP43" s="64">
        <f t="shared" ref="CP43:DA46" si="126">IF(CP15=0,0,IF(CP15=5,6,IF(CP15=10,12,IF(CP15=15,18,IF(CP15=20,24,0)))))</f>
        <v>0</v>
      </c>
      <c r="CQ43" s="64">
        <f t="shared" si="126"/>
        <v>6</v>
      </c>
      <c r="CR43" s="64">
        <f t="shared" si="126"/>
        <v>0</v>
      </c>
      <c r="CS43" s="64">
        <f t="shared" si="126"/>
        <v>6</v>
      </c>
      <c r="CT43" s="64">
        <f t="shared" si="126"/>
        <v>0</v>
      </c>
      <c r="CU43" s="64">
        <f t="shared" si="126"/>
        <v>6</v>
      </c>
      <c r="CV43" s="64">
        <f t="shared" si="126"/>
        <v>12</v>
      </c>
      <c r="CW43" s="64">
        <f t="shared" si="126"/>
        <v>6</v>
      </c>
      <c r="CX43" s="64">
        <f t="shared" si="126"/>
        <v>12</v>
      </c>
      <c r="CY43" s="64">
        <f t="shared" si="126"/>
        <v>18</v>
      </c>
      <c r="CZ43" s="64">
        <f t="shared" si="126"/>
        <v>18</v>
      </c>
      <c r="DA43" s="64">
        <f t="shared" si="126"/>
        <v>24</v>
      </c>
      <c r="DB43" s="64"/>
      <c r="DC43" s="64" t="s">
        <v>104</v>
      </c>
      <c r="DD43" s="64">
        <v>0</v>
      </c>
      <c r="DE43" s="64">
        <f>IF(DE15=0,0,IF(DE15=5,6,IF(DE15=10,12,IF(DE15=15,18,IF(DE15=20,24,0)))))</f>
        <v>0</v>
      </c>
      <c r="DF43" s="64">
        <f t="shared" ref="DF43:DP43" si="127">IF(DF15=0,0,IF(DF15=5,6,IF(DF15=10,12,IF(DF15=15,18,IF(DF15=20,24,0)))))</f>
        <v>6</v>
      </c>
      <c r="DG43" s="64">
        <f t="shared" si="127"/>
        <v>0</v>
      </c>
      <c r="DH43" s="64">
        <f t="shared" si="127"/>
        <v>0</v>
      </c>
      <c r="DI43" s="64">
        <f t="shared" si="127"/>
        <v>12</v>
      </c>
      <c r="DJ43" s="64">
        <f t="shared" si="127"/>
        <v>6</v>
      </c>
      <c r="DK43" s="64">
        <f t="shared" si="127"/>
        <v>12</v>
      </c>
      <c r="DL43" s="64">
        <f t="shared" si="127"/>
        <v>12</v>
      </c>
      <c r="DM43" s="64">
        <f t="shared" si="127"/>
        <v>12</v>
      </c>
      <c r="DN43" s="64">
        <f t="shared" si="127"/>
        <v>18</v>
      </c>
      <c r="DO43" s="64">
        <f t="shared" si="127"/>
        <v>24</v>
      </c>
      <c r="DP43" s="64">
        <f t="shared" si="127"/>
        <v>24</v>
      </c>
      <c r="DQ43" s="80"/>
      <c r="DR43" s="80"/>
      <c r="DS43" s="80"/>
      <c r="DT43" s="64"/>
      <c r="DU43" s="64"/>
      <c r="DV43" s="64"/>
      <c r="DW43" s="64"/>
      <c r="DX43" s="64"/>
      <c r="DY43" s="64"/>
      <c r="DZ43" s="64"/>
      <c r="EA43" s="64"/>
      <c r="EB43" s="64"/>
      <c r="EC43" s="64"/>
      <c r="ED43" s="64"/>
      <c r="EE43" s="64"/>
      <c r="EF43" s="64"/>
      <c r="EG43" s="64"/>
      <c r="EH43" s="64"/>
      <c r="EI43" s="64"/>
      <c r="EJ43" s="69"/>
      <c r="EK43" s="64" t="s">
        <v>286</v>
      </c>
      <c r="EL43" s="64">
        <v>0</v>
      </c>
      <c r="EM43" s="64">
        <f t="shared" ref="EM43:EX43" si="128">EM15/5*6</f>
        <v>0</v>
      </c>
      <c r="EN43" s="64">
        <f t="shared" si="128"/>
        <v>6</v>
      </c>
      <c r="EO43" s="64">
        <f t="shared" si="128"/>
        <v>6</v>
      </c>
      <c r="EP43" s="64">
        <f t="shared" si="128"/>
        <v>0</v>
      </c>
      <c r="EQ43" s="64">
        <f t="shared" si="128"/>
        <v>0</v>
      </c>
      <c r="ER43" s="64">
        <f t="shared" si="128"/>
        <v>0</v>
      </c>
      <c r="ES43" s="64">
        <f t="shared" si="128"/>
        <v>0</v>
      </c>
      <c r="ET43" s="64">
        <f t="shared" si="128"/>
        <v>0</v>
      </c>
      <c r="EU43" s="64">
        <f t="shared" si="128"/>
        <v>0</v>
      </c>
      <c r="EV43" s="64">
        <f t="shared" si="128"/>
        <v>0</v>
      </c>
      <c r="EW43" s="64">
        <f t="shared" si="128"/>
        <v>0</v>
      </c>
      <c r="EX43" s="64">
        <f t="shared" si="128"/>
        <v>0</v>
      </c>
      <c r="EZ43" s="64" t="s">
        <v>286</v>
      </c>
      <c r="FA43" s="64">
        <v>0</v>
      </c>
      <c r="FB43" s="64">
        <f t="shared" ref="FB43:FM43" si="129">FB15/5*6</f>
        <v>0</v>
      </c>
      <c r="FC43" s="64">
        <f t="shared" si="129"/>
        <v>6</v>
      </c>
      <c r="FD43" s="64">
        <f t="shared" si="129"/>
        <v>0</v>
      </c>
      <c r="FE43" s="64">
        <f t="shared" si="129"/>
        <v>0</v>
      </c>
      <c r="FF43" s="64">
        <f t="shared" si="129"/>
        <v>0</v>
      </c>
      <c r="FG43" s="64">
        <f t="shared" si="129"/>
        <v>0</v>
      </c>
      <c r="FH43" s="64">
        <f t="shared" si="129"/>
        <v>0</v>
      </c>
      <c r="FI43" s="64">
        <f t="shared" si="129"/>
        <v>0</v>
      </c>
      <c r="FJ43" s="64">
        <f t="shared" si="129"/>
        <v>0</v>
      </c>
      <c r="FK43" s="64">
        <f t="shared" si="129"/>
        <v>0</v>
      </c>
      <c r="FL43" s="64">
        <f t="shared" si="129"/>
        <v>0</v>
      </c>
      <c r="FM43" s="64">
        <f t="shared" si="129"/>
        <v>0</v>
      </c>
      <c r="FO43" s="64" t="s">
        <v>286</v>
      </c>
      <c r="FP43" s="64">
        <v>0</v>
      </c>
      <c r="FQ43" s="64">
        <f t="shared" ref="FQ43:GB43" si="130">FQ15/5*6</f>
        <v>0</v>
      </c>
      <c r="FR43" s="64">
        <f t="shared" si="130"/>
        <v>6</v>
      </c>
      <c r="FS43" s="64">
        <f t="shared" si="130"/>
        <v>0</v>
      </c>
      <c r="FT43" s="64">
        <f t="shared" si="130"/>
        <v>0</v>
      </c>
      <c r="FU43" s="64">
        <f t="shared" si="130"/>
        <v>0</v>
      </c>
      <c r="FV43" s="64">
        <f t="shared" si="130"/>
        <v>0</v>
      </c>
      <c r="FW43" s="64">
        <f t="shared" si="130"/>
        <v>0</v>
      </c>
      <c r="FX43" s="64">
        <f t="shared" si="130"/>
        <v>0</v>
      </c>
      <c r="FY43" s="64">
        <f t="shared" si="130"/>
        <v>0</v>
      </c>
      <c r="FZ43" s="64">
        <f t="shared" si="130"/>
        <v>0</v>
      </c>
      <c r="GA43" s="64">
        <f t="shared" si="130"/>
        <v>0</v>
      </c>
      <c r="GB43" s="64">
        <f t="shared" si="130"/>
        <v>0</v>
      </c>
      <c r="GD43" s="64" t="s">
        <v>286</v>
      </c>
      <c r="GE43" s="64">
        <v>0</v>
      </c>
      <c r="GF43" s="64">
        <f t="shared" ref="GF43:GQ43" si="131">GF15/5*6</f>
        <v>0</v>
      </c>
      <c r="GG43" s="64">
        <f t="shared" si="131"/>
        <v>6</v>
      </c>
      <c r="GH43" s="64">
        <f t="shared" si="131"/>
        <v>0</v>
      </c>
      <c r="GI43" s="64">
        <f t="shared" si="131"/>
        <v>0</v>
      </c>
      <c r="GJ43" s="64">
        <f t="shared" si="131"/>
        <v>0</v>
      </c>
      <c r="GK43" s="64">
        <f t="shared" si="131"/>
        <v>0</v>
      </c>
      <c r="GL43" s="64">
        <f t="shared" si="131"/>
        <v>0</v>
      </c>
      <c r="GM43" s="64">
        <f t="shared" si="131"/>
        <v>0</v>
      </c>
      <c r="GN43" s="64">
        <f t="shared" si="131"/>
        <v>0</v>
      </c>
      <c r="GO43" s="64">
        <f t="shared" si="131"/>
        <v>0</v>
      </c>
      <c r="GP43" s="64">
        <f t="shared" si="131"/>
        <v>0</v>
      </c>
      <c r="GQ43" s="64">
        <f t="shared" si="131"/>
        <v>0</v>
      </c>
      <c r="GR43" s="64"/>
      <c r="GS43" s="64"/>
      <c r="GT43" s="64"/>
      <c r="GU43" s="64"/>
      <c r="GV43" s="64"/>
      <c r="GW43" s="64"/>
      <c r="GX43" s="64"/>
      <c r="GY43" s="64"/>
      <c r="GZ43" s="64"/>
      <c r="HA43" s="64"/>
      <c r="HB43" s="64"/>
      <c r="HC43" s="64"/>
      <c r="HD43" s="64"/>
      <c r="HE43" s="64"/>
      <c r="HF43" s="64"/>
      <c r="HG43" s="70"/>
      <c r="HH43" s="64"/>
    </row>
    <row r="44" spans="1:216" x14ac:dyDescent="0.25">
      <c r="A44" s="8"/>
      <c r="B44" s="5" t="s">
        <v>61</v>
      </c>
      <c r="C44" s="8"/>
      <c r="D44" s="6" t="s">
        <v>489</v>
      </c>
      <c r="E44" s="34">
        <f>INDEX((AS49:AW51),MATCH(E42,AR49:AR51,0),MATCH(E43,AS48:AW48,0))</f>
        <v>2000</v>
      </c>
      <c r="F44" s="9"/>
      <c r="G44" s="9"/>
      <c r="H44" s="9"/>
      <c r="I44" s="9"/>
      <c r="J44" s="31" t="s">
        <v>62</v>
      </c>
      <c r="K44" s="9"/>
      <c r="L44" s="6" t="str">
        <f>IF(E44=$AS$49,"CMP41H41/3,7MC",IF(E44=$AU$49,"CMP41H41/3,5MC",IF(E44=$AU$51,"CMP41H41/3MC",IF(E44=$AW$51,"CMP41H41/2,2MC","-------"))))</f>
        <v>CMP41H41/3MC</v>
      </c>
      <c r="M44" s="11">
        <f>INDEX(cenník!$C$2:$I$568,MATCH($L44,cenník!$B$2:$B$557,0),MATCH(M$2,cenník!$C$1:$I$1,0))</f>
        <v>851132</v>
      </c>
      <c r="N44" s="11" t="str">
        <f>INDEX(cenník!$C$2:$I$568,MATCH($L44,cenník!$B$2:$B$557,0),MATCH(N$2,cenník!$C$1:$I$1,0))</f>
        <v>ks</v>
      </c>
      <c r="O44" s="11">
        <f>SUM(AA33:AA48)</f>
        <v>0</v>
      </c>
      <c r="P44" s="36">
        <f>INDEX(cenník!$C$2:$I$568,MATCH($L44,cenník!$B$2:$B$557,0),MATCH(P$2,cenník!$C$1:$I$1,0))</f>
        <v>21.79</v>
      </c>
      <c r="Q44" s="36">
        <f t="shared" si="122"/>
        <v>0</v>
      </c>
      <c r="R44" s="37">
        <f t="shared" si="88"/>
        <v>0</v>
      </c>
      <c r="S44" s="36">
        <f t="shared" si="89"/>
        <v>21.79</v>
      </c>
      <c r="T44" s="36">
        <f t="shared" si="123"/>
        <v>0</v>
      </c>
      <c r="U44" s="36">
        <f>INDEX(cenník!$C$2:$I$568,MATCH($L44,cenník!$B$2:$B$557,0),MATCH(U$2,cenník!$C$1:$I$1,0))*O44</f>
        <v>0</v>
      </c>
      <c r="V44" s="85"/>
      <c r="W44" s="64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64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64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64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64">
        <f t="shared" si="75"/>
        <v>0</v>
      </c>
      <c r="AB44" s="64">
        <f t="shared" si="76"/>
        <v>0</v>
      </c>
      <c r="AC44" s="64"/>
      <c r="AD44" s="64"/>
      <c r="AE44" s="64" t="s">
        <v>204</v>
      </c>
      <c r="AF44" s="64">
        <v>2200</v>
      </c>
      <c r="AG44" s="64"/>
      <c r="AH44" s="64"/>
      <c r="AI44" s="64"/>
      <c r="AJ44" s="64"/>
      <c r="AK44" s="64"/>
      <c r="AL44" s="64"/>
      <c r="AM44" s="64"/>
      <c r="AN44" s="64"/>
      <c r="AO44" s="64"/>
      <c r="AP44" s="64"/>
      <c r="AQ44" s="64"/>
      <c r="AR44" s="64" t="s">
        <v>330</v>
      </c>
      <c r="AS44" s="64" t="s">
        <v>292</v>
      </c>
      <c r="AT44" s="64" t="s">
        <v>84</v>
      </c>
      <c r="AU44" s="64" t="s">
        <v>84</v>
      </c>
      <c r="AV44" s="64" t="s">
        <v>84</v>
      </c>
      <c r="AW44" s="64"/>
      <c r="AX44" s="64"/>
      <c r="AY44" s="64"/>
      <c r="AZ44" s="64"/>
      <c r="BA44" s="64"/>
      <c r="BB44" s="64"/>
      <c r="BC44" s="64"/>
      <c r="BD44" s="64"/>
      <c r="BE44" s="64"/>
      <c r="BF44" s="64"/>
      <c r="BG44" s="87">
        <f t="shared" si="58"/>
        <v>1</v>
      </c>
      <c r="BH44" s="64" t="s">
        <v>103</v>
      </c>
      <c r="BI44" s="64">
        <v>0</v>
      </c>
      <c r="BJ44" s="64">
        <f t="shared" ref="BJ44:BU46" si="132">IF(BJ16=0,0,IF(BJ16=5,6,IF(BJ16=10,12,IF(BJ16=15,18,IF(BJ16=20,24,0)))))</f>
        <v>0</v>
      </c>
      <c r="BK44" s="64">
        <f t="shared" si="132"/>
        <v>0</v>
      </c>
      <c r="BL44" s="64">
        <f t="shared" si="132"/>
        <v>0</v>
      </c>
      <c r="BM44" s="64">
        <f t="shared" si="132"/>
        <v>12</v>
      </c>
      <c r="BN44" s="64">
        <f t="shared" si="132"/>
        <v>0</v>
      </c>
      <c r="BO44" s="64">
        <f t="shared" si="132"/>
        <v>12</v>
      </c>
      <c r="BP44" s="64">
        <f t="shared" si="132"/>
        <v>12</v>
      </c>
      <c r="BQ44" s="64">
        <f t="shared" si="132"/>
        <v>12</v>
      </c>
      <c r="BR44" s="64">
        <f t="shared" si="132"/>
        <v>6</v>
      </c>
      <c r="BS44" s="64">
        <f t="shared" si="132"/>
        <v>0</v>
      </c>
      <c r="BT44" s="64">
        <f t="shared" si="132"/>
        <v>6</v>
      </c>
      <c r="BU44" s="64">
        <f t="shared" si="132"/>
        <v>6</v>
      </c>
      <c r="BV44" s="64"/>
      <c r="BW44" s="64" t="s">
        <v>103</v>
      </c>
      <c r="BX44" s="64">
        <v>0</v>
      </c>
      <c r="BY44" s="64">
        <f t="shared" si="125"/>
        <v>0</v>
      </c>
      <c r="BZ44" s="64">
        <f t="shared" si="125"/>
        <v>0</v>
      </c>
      <c r="CA44" s="64">
        <f t="shared" si="125"/>
        <v>6</v>
      </c>
      <c r="CB44" s="64">
        <f t="shared" si="125"/>
        <v>0</v>
      </c>
      <c r="CC44" s="64">
        <f t="shared" si="125"/>
        <v>12</v>
      </c>
      <c r="CD44" s="64">
        <f t="shared" si="125"/>
        <v>0</v>
      </c>
      <c r="CE44" s="64">
        <f t="shared" si="125"/>
        <v>12</v>
      </c>
      <c r="CF44" s="64">
        <f t="shared" si="125"/>
        <v>6</v>
      </c>
      <c r="CG44" s="64">
        <f t="shared" si="125"/>
        <v>12</v>
      </c>
      <c r="CH44" s="64">
        <f t="shared" si="125"/>
        <v>6</v>
      </c>
      <c r="CI44" s="64">
        <f t="shared" si="125"/>
        <v>6</v>
      </c>
      <c r="CJ44" s="64">
        <f t="shared" si="125"/>
        <v>12</v>
      </c>
      <c r="CK44" s="64"/>
      <c r="CL44" s="64"/>
      <c r="CM44" s="64"/>
      <c r="CN44" s="64" t="s">
        <v>103</v>
      </c>
      <c r="CO44" s="64">
        <v>0</v>
      </c>
      <c r="CP44" s="64">
        <f t="shared" si="126"/>
        <v>6</v>
      </c>
      <c r="CQ44" s="64">
        <f t="shared" si="126"/>
        <v>0</v>
      </c>
      <c r="CR44" s="64">
        <f t="shared" si="126"/>
        <v>12</v>
      </c>
      <c r="CS44" s="64">
        <f t="shared" si="126"/>
        <v>0</v>
      </c>
      <c r="CT44" s="64">
        <f t="shared" si="126"/>
        <v>12</v>
      </c>
      <c r="CU44" s="64">
        <f t="shared" si="126"/>
        <v>12</v>
      </c>
      <c r="CV44" s="64">
        <f t="shared" si="126"/>
        <v>0</v>
      </c>
      <c r="CW44" s="64">
        <f t="shared" si="126"/>
        <v>12</v>
      </c>
      <c r="CX44" s="64">
        <f t="shared" si="126"/>
        <v>6</v>
      </c>
      <c r="CY44" s="64">
        <f t="shared" si="126"/>
        <v>0</v>
      </c>
      <c r="CZ44" s="64">
        <f t="shared" si="126"/>
        <v>6</v>
      </c>
      <c r="DA44" s="64">
        <f t="shared" si="126"/>
        <v>0</v>
      </c>
      <c r="DB44" s="64"/>
      <c r="DC44" s="64" t="s">
        <v>103</v>
      </c>
      <c r="DD44" s="64">
        <v>0</v>
      </c>
      <c r="DE44" s="64">
        <f t="shared" ref="DE44:DP46" si="133">IF(DE16=0,0,IF(DE16=5,6,IF(DE16=10,12,IF(DE16=15,18,IF(DE16=20,24,0)))))</f>
        <v>6</v>
      </c>
      <c r="DF44" s="64">
        <f t="shared" si="133"/>
        <v>0</v>
      </c>
      <c r="DG44" s="64">
        <f t="shared" si="133"/>
        <v>12</v>
      </c>
      <c r="DH44" s="64">
        <f t="shared" si="133"/>
        <v>12</v>
      </c>
      <c r="DI44" s="64">
        <f t="shared" si="133"/>
        <v>0</v>
      </c>
      <c r="DJ44" s="64">
        <f t="shared" si="133"/>
        <v>12</v>
      </c>
      <c r="DK44" s="64">
        <f t="shared" si="133"/>
        <v>6</v>
      </c>
      <c r="DL44" s="64">
        <f t="shared" si="133"/>
        <v>6</v>
      </c>
      <c r="DM44" s="64">
        <f t="shared" si="133"/>
        <v>12</v>
      </c>
      <c r="DN44" s="64">
        <f t="shared" si="133"/>
        <v>6</v>
      </c>
      <c r="DO44" s="64">
        <f t="shared" si="133"/>
        <v>0</v>
      </c>
      <c r="DP44" s="64">
        <f t="shared" si="133"/>
        <v>0</v>
      </c>
      <c r="DQ44" s="80"/>
      <c r="DR44" s="80"/>
      <c r="DS44" s="80"/>
      <c r="DT44" s="64"/>
      <c r="DU44" s="64"/>
      <c r="DV44" s="64"/>
      <c r="DW44" s="64"/>
      <c r="DX44" s="64"/>
      <c r="DY44" s="64"/>
      <c r="DZ44" s="64"/>
      <c r="EA44" s="64"/>
      <c r="EB44" s="64"/>
      <c r="EC44" s="64"/>
      <c r="ED44" s="64"/>
      <c r="EE44" s="64"/>
      <c r="EF44" s="64"/>
      <c r="EG44" s="64"/>
      <c r="EH44" s="64"/>
      <c r="EI44" s="64"/>
      <c r="EJ44" s="69"/>
      <c r="EK44" s="64" t="s">
        <v>240</v>
      </c>
      <c r="EL44" s="64">
        <v>0</v>
      </c>
      <c r="EM44" s="64">
        <f t="shared" ref="EM44:EX44" si="134">EM16/5*6</f>
        <v>0</v>
      </c>
      <c r="EN44" s="64">
        <f t="shared" si="134"/>
        <v>0</v>
      </c>
      <c r="EO44" s="64">
        <f t="shared" si="134"/>
        <v>0</v>
      </c>
      <c r="EP44" s="64">
        <f t="shared" si="134"/>
        <v>12</v>
      </c>
      <c r="EQ44" s="64">
        <f t="shared" si="134"/>
        <v>0</v>
      </c>
      <c r="ER44" s="64">
        <f t="shared" si="134"/>
        <v>12</v>
      </c>
      <c r="ES44" s="64">
        <f t="shared" si="134"/>
        <v>12</v>
      </c>
      <c r="ET44" s="64">
        <f t="shared" si="134"/>
        <v>12</v>
      </c>
      <c r="EU44" s="64">
        <f t="shared" si="134"/>
        <v>6</v>
      </c>
      <c r="EV44" s="64">
        <f t="shared" si="134"/>
        <v>0</v>
      </c>
      <c r="EW44" s="64">
        <f t="shared" si="134"/>
        <v>6</v>
      </c>
      <c r="EX44" s="64">
        <f t="shared" si="134"/>
        <v>6</v>
      </c>
      <c r="EY44" s="64"/>
      <c r="EZ44" s="64" t="s">
        <v>240</v>
      </c>
      <c r="FA44" s="64">
        <v>0</v>
      </c>
      <c r="FB44" s="64">
        <f t="shared" ref="FB44:FM44" si="135">FB16/5*6</f>
        <v>0</v>
      </c>
      <c r="FC44" s="64">
        <f t="shared" si="135"/>
        <v>0</v>
      </c>
      <c r="FD44" s="64">
        <f t="shared" si="135"/>
        <v>6</v>
      </c>
      <c r="FE44" s="64">
        <f t="shared" si="135"/>
        <v>0</v>
      </c>
      <c r="FF44" s="64">
        <f t="shared" si="135"/>
        <v>12</v>
      </c>
      <c r="FG44" s="64">
        <f t="shared" si="135"/>
        <v>0</v>
      </c>
      <c r="FH44" s="64">
        <f t="shared" si="135"/>
        <v>12</v>
      </c>
      <c r="FI44" s="64">
        <f t="shared" si="135"/>
        <v>6</v>
      </c>
      <c r="FJ44" s="64">
        <f t="shared" si="135"/>
        <v>12</v>
      </c>
      <c r="FK44" s="64">
        <f t="shared" si="135"/>
        <v>6</v>
      </c>
      <c r="FL44" s="64">
        <f t="shared" si="135"/>
        <v>6</v>
      </c>
      <c r="FM44" s="64">
        <f t="shared" si="135"/>
        <v>12</v>
      </c>
      <c r="FN44" s="64"/>
      <c r="FO44" s="64" t="s">
        <v>240</v>
      </c>
      <c r="FP44" s="64">
        <v>0</v>
      </c>
      <c r="FQ44" s="64">
        <f t="shared" ref="FQ44:GB44" si="136">FQ16/5*6</f>
        <v>6</v>
      </c>
      <c r="FR44" s="64">
        <f t="shared" si="136"/>
        <v>0</v>
      </c>
      <c r="FS44" s="64">
        <f t="shared" si="136"/>
        <v>12</v>
      </c>
      <c r="FT44" s="64">
        <f t="shared" si="136"/>
        <v>0</v>
      </c>
      <c r="FU44" s="64">
        <f t="shared" si="136"/>
        <v>12</v>
      </c>
      <c r="FV44" s="64">
        <f t="shared" si="136"/>
        <v>12</v>
      </c>
      <c r="FW44" s="64">
        <f t="shared" si="136"/>
        <v>0</v>
      </c>
      <c r="FX44" s="64">
        <f t="shared" si="136"/>
        <v>12</v>
      </c>
      <c r="FY44" s="64">
        <f t="shared" si="136"/>
        <v>6</v>
      </c>
      <c r="FZ44" s="64">
        <f t="shared" si="136"/>
        <v>0</v>
      </c>
      <c r="GA44" s="64">
        <f t="shared" si="136"/>
        <v>6</v>
      </c>
      <c r="GB44" s="64">
        <f t="shared" si="136"/>
        <v>0</v>
      </c>
      <c r="GC44" s="64"/>
      <c r="GD44" s="64" t="s">
        <v>240</v>
      </c>
      <c r="GE44" s="64">
        <v>0</v>
      </c>
      <c r="GF44" s="64">
        <f t="shared" ref="GF44:GQ44" si="137">GF16/5*6</f>
        <v>6</v>
      </c>
      <c r="GG44" s="64">
        <f t="shared" si="137"/>
        <v>0</v>
      </c>
      <c r="GH44" s="64">
        <f t="shared" si="137"/>
        <v>12</v>
      </c>
      <c r="GI44" s="64">
        <f t="shared" si="137"/>
        <v>12</v>
      </c>
      <c r="GJ44" s="64">
        <f t="shared" si="137"/>
        <v>0</v>
      </c>
      <c r="GK44" s="64">
        <f t="shared" si="137"/>
        <v>12</v>
      </c>
      <c r="GL44" s="64">
        <f t="shared" si="137"/>
        <v>6</v>
      </c>
      <c r="GM44" s="64">
        <f t="shared" si="137"/>
        <v>6</v>
      </c>
      <c r="GN44" s="64">
        <f t="shared" si="137"/>
        <v>12</v>
      </c>
      <c r="GO44" s="64">
        <f t="shared" si="137"/>
        <v>6</v>
      </c>
      <c r="GP44" s="64">
        <f t="shared" si="137"/>
        <v>0</v>
      </c>
      <c r="GQ44" s="64">
        <f t="shared" si="137"/>
        <v>0</v>
      </c>
      <c r="GR44" s="64"/>
      <c r="GS44" s="64"/>
      <c r="GT44" s="64"/>
      <c r="GU44" s="64"/>
      <c r="GV44" s="64"/>
      <c r="GW44" s="64"/>
      <c r="GX44" s="64"/>
      <c r="GY44" s="64"/>
      <c r="GZ44" s="64"/>
      <c r="HA44" s="64"/>
      <c r="HB44" s="64"/>
      <c r="HC44" s="64"/>
      <c r="HD44" s="64"/>
      <c r="HE44" s="64"/>
      <c r="HF44" s="64"/>
      <c r="HG44" s="70"/>
      <c r="HH44" s="64"/>
    </row>
    <row r="45" spans="1:216" x14ac:dyDescent="0.25">
      <c r="A45" s="8"/>
      <c r="B45" s="5" t="s">
        <v>61</v>
      </c>
      <c r="C45" s="8"/>
      <c r="D45" s="6" t="str">
        <f>IF(E37=$AC$8,"Dĺžka skrutky GSW","")</f>
        <v/>
      </c>
      <c r="E45" s="42">
        <v>1600</v>
      </c>
      <c r="F45" s="9"/>
      <c r="G45" s="9"/>
      <c r="H45" s="9"/>
      <c r="I45" s="9"/>
      <c r="J45" s="31" t="str">
        <f>IF(E37=$AC$8,"[mm]","")</f>
        <v/>
      </c>
      <c r="K45" s="9"/>
      <c r="L45" s="6" t="s">
        <v>1457</v>
      </c>
      <c r="M45" s="11">
        <f>INDEX(cenník!$C$2:$I$568,MATCH($L45,cenník!$B$2:$B$557,0),MATCH(M$2,cenník!$C$1:$I$1,0))</f>
        <v>850252</v>
      </c>
      <c r="N45" s="11" t="str">
        <f>INDEX(cenník!$C$2:$I$568,MATCH($L45,cenník!$B$2:$B$557,0),MATCH(N$2,cenník!$C$1:$I$1,0))</f>
        <v>ks</v>
      </c>
      <c r="O45" s="11">
        <f>O38+O43</f>
        <v>0</v>
      </c>
      <c r="P45" s="36">
        <f>INDEX(cenník!$C$2:$I$568,MATCH($L45,cenník!$B$2:$B$557,0),MATCH(P$2,cenník!$C$1:$I$1,0))</f>
        <v>2.11</v>
      </c>
      <c r="Q45" s="36">
        <f t="shared" si="122"/>
        <v>0</v>
      </c>
      <c r="R45" s="37">
        <f t="shared" si="88"/>
        <v>0</v>
      </c>
      <c r="S45" s="36">
        <f t="shared" si="89"/>
        <v>2.11</v>
      </c>
      <c r="T45" s="36">
        <f t="shared" si="123"/>
        <v>0</v>
      </c>
      <c r="U45" s="36">
        <f>INDEX(cenník!$C$2:$I$568,MATCH($L45,cenník!$B$2:$B$557,0),MATCH(U$2,cenník!$C$1:$I$1,0))*O45</f>
        <v>0</v>
      </c>
      <c r="V45" s="85"/>
      <c r="W45" s="64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64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64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64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64">
        <f t="shared" si="75"/>
        <v>0</v>
      </c>
      <c r="AB45" s="64">
        <f t="shared" si="76"/>
        <v>0</v>
      </c>
      <c r="AC45" s="64"/>
      <c r="AD45" s="64"/>
      <c r="AE45" s="64" t="s">
        <v>232</v>
      </c>
      <c r="AF45" s="64">
        <v>2250</v>
      </c>
      <c r="AG45" s="64"/>
      <c r="AH45" s="64"/>
      <c r="AI45" s="64"/>
      <c r="AJ45" s="64"/>
      <c r="AK45" s="64"/>
      <c r="AL45" s="64"/>
      <c r="AM45" s="64"/>
      <c r="AN45" s="64"/>
      <c r="AO45" s="64"/>
      <c r="AP45" s="64"/>
      <c r="AQ45" s="64"/>
      <c r="AR45" s="64" t="s">
        <v>331</v>
      </c>
      <c r="AS45" s="64" t="s">
        <v>292</v>
      </c>
      <c r="AT45" s="64" t="s">
        <v>84</v>
      </c>
      <c r="AU45" s="64" t="s">
        <v>84</v>
      </c>
      <c r="AV45" s="64" t="s">
        <v>84</v>
      </c>
      <c r="AW45" s="64"/>
      <c r="AX45" s="64"/>
      <c r="AY45" s="64"/>
      <c r="AZ45" s="64"/>
      <c r="BA45" s="64"/>
      <c r="BB45" s="64"/>
      <c r="BC45" s="64"/>
      <c r="BD45" s="64"/>
      <c r="BE45" s="64"/>
      <c r="BF45" s="64"/>
      <c r="BG45" s="87">
        <f t="shared" si="58"/>
        <v>1</v>
      </c>
      <c r="BH45" s="64" t="s">
        <v>16</v>
      </c>
      <c r="BI45" s="64">
        <v>0</v>
      </c>
      <c r="BJ45" s="64">
        <f t="shared" si="132"/>
        <v>6</v>
      </c>
      <c r="BK45" s="64">
        <f t="shared" si="132"/>
        <v>0</v>
      </c>
      <c r="BL45" s="64">
        <f t="shared" si="132"/>
        <v>0</v>
      </c>
      <c r="BM45" s="64">
        <f t="shared" si="132"/>
        <v>0</v>
      </c>
      <c r="BN45" s="64">
        <f t="shared" si="132"/>
        <v>6</v>
      </c>
      <c r="BO45" s="64">
        <f t="shared" si="132"/>
        <v>6</v>
      </c>
      <c r="BP45" s="64">
        <f t="shared" si="132"/>
        <v>0</v>
      </c>
      <c r="BQ45" s="64">
        <f t="shared" si="132"/>
        <v>0</v>
      </c>
      <c r="BR45" s="64">
        <f t="shared" si="132"/>
        <v>0</v>
      </c>
      <c r="BS45" s="64">
        <f t="shared" si="132"/>
        <v>0</v>
      </c>
      <c r="BT45" s="64">
        <f t="shared" si="132"/>
        <v>6</v>
      </c>
      <c r="BU45" s="64">
        <f t="shared" si="132"/>
        <v>0</v>
      </c>
      <c r="BV45" s="64"/>
      <c r="BW45" s="64" t="s">
        <v>16</v>
      </c>
      <c r="BX45" s="64">
        <v>0</v>
      </c>
      <c r="BY45" s="64">
        <f t="shared" si="125"/>
        <v>6</v>
      </c>
      <c r="BZ45" s="64">
        <f t="shared" si="125"/>
        <v>0</v>
      </c>
      <c r="CA45" s="64">
        <f t="shared" si="125"/>
        <v>6</v>
      </c>
      <c r="CB45" s="64">
        <f t="shared" si="125"/>
        <v>6</v>
      </c>
      <c r="CC45" s="64">
        <f t="shared" si="125"/>
        <v>6</v>
      </c>
      <c r="CD45" s="64">
        <f t="shared" si="125"/>
        <v>0</v>
      </c>
      <c r="CE45" s="64">
        <f t="shared" si="125"/>
        <v>0</v>
      </c>
      <c r="CF45" s="64">
        <f t="shared" si="125"/>
        <v>0</v>
      </c>
      <c r="CG45" s="64">
        <f t="shared" si="125"/>
        <v>6</v>
      </c>
      <c r="CH45" s="64">
        <f t="shared" si="125"/>
        <v>6</v>
      </c>
      <c r="CI45" s="64">
        <f t="shared" si="125"/>
        <v>0</v>
      </c>
      <c r="CJ45" s="64">
        <f t="shared" si="125"/>
        <v>6</v>
      </c>
      <c r="CK45" s="64"/>
      <c r="CL45" s="64"/>
      <c r="CM45" s="64"/>
      <c r="CN45" s="64" t="s">
        <v>16</v>
      </c>
      <c r="CO45" s="64">
        <v>0</v>
      </c>
      <c r="CP45" s="64">
        <f t="shared" si="126"/>
        <v>0</v>
      </c>
      <c r="CQ45" s="64">
        <f t="shared" si="126"/>
        <v>0</v>
      </c>
      <c r="CR45" s="64">
        <f t="shared" si="126"/>
        <v>0</v>
      </c>
      <c r="CS45" s="64">
        <f t="shared" si="126"/>
        <v>6</v>
      </c>
      <c r="CT45" s="64">
        <f t="shared" si="126"/>
        <v>6</v>
      </c>
      <c r="CU45" s="64">
        <f t="shared" si="126"/>
        <v>0</v>
      </c>
      <c r="CV45" s="64">
        <f t="shared" si="126"/>
        <v>6</v>
      </c>
      <c r="CW45" s="64">
        <f t="shared" si="126"/>
        <v>6</v>
      </c>
      <c r="CX45" s="64">
        <f t="shared" si="126"/>
        <v>6</v>
      </c>
      <c r="CY45" s="64">
        <f t="shared" si="126"/>
        <v>6</v>
      </c>
      <c r="CZ45" s="64">
        <f t="shared" si="126"/>
        <v>0</v>
      </c>
      <c r="DA45" s="64">
        <f t="shared" si="126"/>
        <v>0</v>
      </c>
      <c r="DB45" s="64"/>
      <c r="DC45" s="64" t="s">
        <v>16</v>
      </c>
      <c r="DD45" s="64">
        <v>0</v>
      </c>
      <c r="DE45" s="64">
        <f t="shared" si="133"/>
        <v>0</v>
      </c>
      <c r="DF45" s="64">
        <f t="shared" si="133"/>
        <v>0</v>
      </c>
      <c r="DG45" s="64">
        <f t="shared" si="133"/>
        <v>0</v>
      </c>
      <c r="DH45" s="64">
        <f t="shared" si="133"/>
        <v>6</v>
      </c>
      <c r="DI45" s="64">
        <f t="shared" si="133"/>
        <v>0</v>
      </c>
      <c r="DJ45" s="64">
        <f t="shared" si="133"/>
        <v>0</v>
      </c>
      <c r="DK45" s="64">
        <f t="shared" si="133"/>
        <v>0</v>
      </c>
      <c r="DL45" s="64">
        <f t="shared" si="133"/>
        <v>6</v>
      </c>
      <c r="DM45" s="64">
        <f t="shared" si="133"/>
        <v>0</v>
      </c>
      <c r="DN45" s="64">
        <f t="shared" si="133"/>
        <v>0</v>
      </c>
      <c r="DO45" s="64">
        <f t="shared" si="133"/>
        <v>0</v>
      </c>
      <c r="DP45" s="64">
        <f t="shared" si="133"/>
        <v>6</v>
      </c>
      <c r="DQ45" s="80"/>
      <c r="DR45" s="80"/>
      <c r="DS45" s="80"/>
      <c r="DT45" s="64"/>
      <c r="DU45" s="64"/>
      <c r="DV45" s="64"/>
      <c r="DW45" s="64"/>
      <c r="DX45" s="64"/>
      <c r="DY45" s="64"/>
      <c r="DZ45" s="64"/>
      <c r="EA45" s="64"/>
      <c r="EB45" s="64"/>
      <c r="EC45" s="64"/>
      <c r="ED45" s="64"/>
      <c r="EE45" s="64"/>
      <c r="EF45" s="64"/>
      <c r="EG45" s="64"/>
      <c r="EH45" s="64"/>
      <c r="EI45" s="64"/>
      <c r="EJ45" s="69"/>
      <c r="EK45" s="64" t="s">
        <v>241</v>
      </c>
      <c r="EL45" s="64">
        <v>0</v>
      </c>
      <c r="EM45" s="64">
        <f t="shared" ref="EM45:EX45" si="138">EM17/5*6</f>
        <v>6</v>
      </c>
      <c r="EN45" s="64">
        <f t="shared" si="138"/>
        <v>0</v>
      </c>
      <c r="EO45" s="64">
        <f t="shared" si="138"/>
        <v>0</v>
      </c>
      <c r="EP45" s="64">
        <f t="shared" si="138"/>
        <v>0</v>
      </c>
      <c r="EQ45" s="64">
        <f t="shared" si="138"/>
        <v>18</v>
      </c>
      <c r="ER45" s="64">
        <f t="shared" si="138"/>
        <v>6</v>
      </c>
      <c r="ES45" s="64">
        <f t="shared" si="138"/>
        <v>12</v>
      </c>
      <c r="ET45" s="64">
        <f t="shared" si="138"/>
        <v>12</v>
      </c>
      <c r="EU45" s="64">
        <f t="shared" si="138"/>
        <v>24</v>
      </c>
      <c r="EV45" s="64">
        <f t="shared" si="138"/>
        <v>36</v>
      </c>
      <c r="EW45" s="64">
        <f t="shared" si="138"/>
        <v>30</v>
      </c>
      <c r="EX45" s="64">
        <f t="shared" si="138"/>
        <v>36</v>
      </c>
      <c r="EY45" s="64"/>
      <c r="EZ45" s="64" t="s">
        <v>241</v>
      </c>
      <c r="FA45" s="64">
        <v>0</v>
      </c>
      <c r="FB45" s="64">
        <f t="shared" ref="FB45:FM45" si="139">FB17/5*6</f>
        <v>6</v>
      </c>
      <c r="FC45" s="64">
        <f t="shared" si="139"/>
        <v>0</v>
      </c>
      <c r="FD45" s="64">
        <f t="shared" si="139"/>
        <v>6</v>
      </c>
      <c r="FE45" s="64">
        <f t="shared" si="139"/>
        <v>18</v>
      </c>
      <c r="FF45" s="64">
        <f t="shared" si="139"/>
        <v>6</v>
      </c>
      <c r="FG45" s="64">
        <f t="shared" si="139"/>
        <v>24</v>
      </c>
      <c r="FH45" s="64">
        <f t="shared" si="139"/>
        <v>12</v>
      </c>
      <c r="FI45" s="64">
        <f t="shared" si="139"/>
        <v>24</v>
      </c>
      <c r="FJ45" s="64">
        <f t="shared" si="139"/>
        <v>18</v>
      </c>
      <c r="FK45" s="64">
        <f t="shared" si="139"/>
        <v>30</v>
      </c>
      <c r="FL45" s="64">
        <f t="shared" si="139"/>
        <v>36</v>
      </c>
      <c r="FM45" s="64">
        <f t="shared" si="139"/>
        <v>30</v>
      </c>
      <c r="FN45" s="64"/>
      <c r="FO45" s="64" t="s">
        <v>241</v>
      </c>
      <c r="FP45" s="64">
        <v>0</v>
      </c>
      <c r="FQ45" s="64">
        <f t="shared" ref="FQ45:GB45" si="140">FQ17/5*6</f>
        <v>0</v>
      </c>
      <c r="FR45" s="64">
        <f t="shared" si="140"/>
        <v>0</v>
      </c>
      <c r="FS45" s="64">
        <f t="shared" si="140"/>
        <v>0</v>
      </c>
      <c r="FT45" s="64">
        <f t="shared" si="140"/>
        <v>18</v>
      </c>
      <c r="FU45" s="64">
        <f t="shared" si="140"/>
        <v>6</v>
      </c>
      <c r="FV45" s="64">
        <f t="shared" si="140"/>
        <v>12</v>
      </c>
      <c r="FW45" s="64">
        <f t="shared" si="140"/>
        <v>30</v>
      </c>
      <c r="FX45" s="64">
        <f t="shared" si="140"/>
        <v>18</v>
      </c>
      <c r="FY45" s="64">
        <f t="shared" si="140"/>
        <v>30</v>
      </c>
      <c r="FZ45" s="64">
        <f t="shared" si="140"/>
        <v>42</v>
      </c>
      <c r="GA45" s="64">
        <f t="shared" si="140"/>
        <v>36</v>
      </c>
      <c r="GB45" s="64">
        <f t="shared" si="140"/>
        <v>48</v>
      </c>
      <c r="GC45" s="64"/>
      <c r="GD45" s="64" t="s">
        <v>241</v>
      </c>
      <c r="GE45" s="64">
        <v>0</v>
      </c>
      <c r="GF45" s="64">
        <f t="shared" ref="GF45:GQ45" si="141">GF17/5*6</f>
        <v>0</v>
      </c>
      <c r="GG45" s="64">
        <f t="shared" si="141"/>
        <v>0</v>
      </c>
      <c r="GH45" s="64">
        <f t="shared" si="141"/>
        <v>0</v>
      </c>
      <c r="GI45" s="64">
        <f t="shared" si="141"/>
        <v>6</v>
      </c>
      <c r="GJ45" s="64">
        <f t="shared" si="141"/>
        <v>24</v>
      </c>
      <c r="GK45" s="64">
        <f t="shared" si="141"/>
        <v>12</v>
      </c>
      <c r="GL45" s="64">
        <f t="shared" si="141"/>
        <v>24</v>
      </c>
      <c r="GM45" s="64">
        <f t="shared" si="141"/>
        <v>30</v>
      </c>
      <c r="GN45" s="64">
        <f t="shared" si="141"/>
        <v>24</v>
      </c>
      <c r="GO45" s="64">
        <f t="shared" si="141"/>
        <v>36</v>
      </c>
      <c r="GP45" s="64">
        <f t="shared" si="141"/>
        <v>48</v>
      </c>
      <c r="GQ45" s="64">
        <f t="shared" si="141"/>
        <v>54</v>
      </c>
      <c r="GR45" s="64"/>
      <c r="GS45" s="64"/>
      <c r="GT45" s="64"/>
      <c r="GU45" s="64"/>
      <c r="GV45" s="64"/>
      <c r="GW45" s="64"/>
      <c r="GX45" s="64"/>
      <c r="GY45" s="64"/>
      <c r="GZ45" s="64"/>
      <c r="HA45" s="64"/>
      <c r="HB45" s="64"/>
      <c r="HC45" s="64"/>
      <c r="HD45" s="64"/>
      <c r="HE45" s="64"/>
      <c r="HF45" s="64"/>
      <c r="HG45" s="70"/>
      <c r="HH45" s="64"/>
    </row>
    <row r="46" spans="1:216" x14ac:dyDescent="0.25">
      <c r="A46" s="8"/>
      <c r="B46" s="5" t="s">
        <v>61</v>
      </c>
      <c r="C46" s="8"/>
      <c r="D46" s="44" t="s">
        <v>518</v>
      </c>
      <c r="E46" s="9"/>
      <c r="F46" s="9"/>
      <c r="G46" s="9"/>
      <c r="H46" s="9"/>
      <c r="I46" s="9"/>
      <c r="J46" s="9"/>
      <c r="K46" s="9"/>
      <c r="L46" s="6" t="s">
        <v>286</v>
      </c>
      <c r="M46" s="11">
        <f>INDEX(cenník!$C$2:$I$568,MATCH($L46,cenník!$B$2:$B$557,0),MATCH(M$2,cenník!$C$1:$I$1,0))</f>
        <v>867566</v>
      </c>
      <c r="N46" s="11" t="str">
        <f>INDEX(cenník!$C$2:$I$568,MATCH($L46,cenník!$B$2:$B$557,0),MATCH(N$2,cenník!$C$1:$I$1,0))</f>
        <v>ks</v>
      </c>
      <c r="O46" s="11">
        <f>SUM(X35:X50)</f>
        <v>0</v>
      </c>
      <c r="P46" s="36">
        <f>INDEX(cenník!$C$2:$I$568,MATCH($L46,cenník!$B$2:$B$557,0),MATCH(P$2,cenník!$C$1:$I$1,0))</f>
        <v>91.73</v>
      </c>
      <c r="Q46" s="36">
        <f t="shared" ref="Q46:Q60" si="142">O46*P46</f>
        <v>0</v>
      </c>
      <c r="R46" s="37">
        <f t="shared" si="88"/>
        <v>0</v>
      </c>
      <c r="S46" s="36">
        <f t="shared" si="89"/>
        <v>91.73</v>
      </c>
      <c r="T46" s="36">
        <f t="shared" ref="T46:T60" si="143">O46*S46</f>
        <v>0</v>
      </c>
      <c r="U46" s="36">
        <f>INDEX(cenník!$C$2:$I$568,MATCH($L46,cenník!$B$2:$B$557,0),MATCH(U$2,cenník!$C$1:$I$1,0))*O46</f>
        <v>0</v>
      </c>
      <c r="V46" s="85"/>
      <c r="W46" s="64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64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64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64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64">
        <f t="shared" si="75"/>
        <v>0</v>
      </c>
      <c r="AB46" s="64">
        <f t="shared" si="76"/>
        <v>0</v>
      </c>
      <c r="AC46" s="64"/>
      <c r="AD46" s="64"/>
      <c r="AE46" s="64" t="s">
        <v>231</v>
      </c>
      <c r="AF46" s="64">
        <v>2300</v>
      </c>
      <c r="AG46" s="64"/>
      <c r="AH46" s="64"/>
      <c r="AI46" s="64"/>
      <c r="AJ46" s="64"/>
      <c r="AK46" s="64"/>
      <c r="AL46" s="64"/>
      <c r="AM46" s="64"/>
      <c r="AN46" s="64"/>
      <c r="AO46" s="64"/>
      <c r="AP46" s="64"/>
      <c r="AQ46" s="64"/>
      <c r="AR46" s="64"/>
      <c r="AS46" s="64"/>
      <c r="AT46" s="64"/>
      <c r="AU46" s="64"/>
      <c r="AV46" s="64"/>
      <c r="AW46" s="64"/>
      <c r="AX46" s="64"/>
      <c r="AY46" s="64"/>
      <c r="AZ46" s="64"/>
      <c r="BA46" s="64"/>
      <c r="BB46" s="64"/>
      <c r="BC46" s="64"/>
      <c r="BD46" s="64"/>
      <c r="BE46" s="64"/>
      <c r="BF46" s="64"/>
      <c r="BG46" s="87"/>
      <c r="BH46" s="72" t="s">
        <v>364</v>
      </c>
      <c r="BI46" s="72">
        <v>0</v>
      </c>
      <c r="BJ46" s="64">
        <f t="shared" si="132"/>
        <v>0</v>
      </c>
      <c r="BK46" s="64">
        <f t="shared" si="132"/>
        <v>0</v>
      </c>
      <c r="BL46" s="64">
        <f t="shared" si="132"/>
        <v>0</v>
      </c>
      <c r="BM46" s="64">
        <f t="shared" si="132"/>
        <v>6</v>
      </c>
      <c r="BN46" s="64">
        <f t="shared" si="132"/>
        <v>6</v>
      </c>
      <c r="BO46" s="64">
        <f t="shared" si="132"/>
        <v>12</v>
      </c>
      <c r="BP46" s="64">
        <f t="shared" si="132"/>
        <v>12</v>
      </c>
      <c r="BQ46" s="64">
        <f t="shared" si="132"/>
        <v>12</v>
      </c>
      <c r="BR46" s="64">
        <f t="shared" si="132"/>
        <v>12</v>
      </c>
      <c r="BS46" s="64">
        <f t="shared" si="132"/>
        <v>12</v>
      </c>
      <c r="BT46" s="64">
        <f t="shared" si="132"/>
        <v>18</v>
      </c>
      <c r="BU46" s="64">
        <f t="shared" si="132"/>
        <v>18</v>
      </c>
      <c r="BV46" s="64"/>
      <c r="BW46" s="72" t="s">
        <v>364</v>
      </c>
      <c r="BX46" s="64">
        <v>0</v>
      </c>
      <c r="BY46" s="64">
        <f t="shared" si="125"/>
        <v>0</v>
      </c>
      <c r="BZ46" s="64">
        <f t="shared" si="125"/>
        <v>0</v>
      </c>
      <c r="CA46" s="64">
        <f t="shared" si="125"/>
        <v>6</v>
      </c>
      <c r="CB46" s="64">
        <f t="shared" si="125"/>
        <v>6</v>
      </c>
      <c r="CC46" s="64">
        <f t="shared" si="125"/>
        <v>12</v>
      </c>
      <c r="CD46" s="64">
        <f t="shared" si="125"/>
        <v>6</v>
      </c>
      <c r="CE46" s="64">
        <f t="shared" si="125"/>
        <v>12</v>
      </c>
      <c r="CF46" s="64">
        <f t="shared" si="125"/>
        <v>12</v>
      </c>
      <c r="CG46" s="64">
        <f t="shared" si="125"/>
        <v>18</v>
      </c>
      <c r="CH46" s="64">
        <f t="shared" si="125"/>
        <v>18</v>
      </c>
      <c r="CI46" s="64">
        <f t="shared" si="125"/>
        <v>18</v>
      </c>
      <c r="CJ46" s="64">
        <f t="shared" si="125"/>
        <v>24</v>
      </c>
      <c r="CK46" s="64"/>
      <c r="CL46" s="64"/>
      <c r="CM46" s="64"/>
      <c r="CN46" s="72" t="s">
        <v>364</v>
      </c>
      <c r="CO46" s="72">
        <v>0</v>
      </c>
      <c r="CP46" s="64">
        <f t="shared" si="126"/>
        <v>0</v>
      </c>
      <c r="CQ46" s="64">
        <f t="shared" si="126"/>
        <v>0</v>
      </c>
      <c r="CR46" s="64">
        <f t="shared" si="126"/>
        <v>6</v>
      </c>
      <c r="CS46" s="64">
        <f t="shared" si="126"/>
        <v>6</v>
      </c>
      <c r="CT46" s="64">
        <f t="shared" si="126"/>
        <v>12</v>
      </c>
      <c r="CU46" s="64">
        <f t="shared" si="126"/>
        <v>12</v>
      </c>
      <c r="CV46" s="64">
        <f t="shared" si="126"/>
        <v>12</v>
      </c>
      <c r="CW46" s="64">
        <f t="shared" si="126"/>
        <v>18</v>
      </c>
      <c r="CX46" s="64">
        <f t="shared" si="126"/>
        <v>18</v>
      </c>
      <c r="CY46" s="64">
        <f t="shared" si="126"/>
        <v>18</v>
      </c>
      <c r="CZ46" s="64">
        <f t="shared" si="126"/>
        <v>18</v>
      </c>
      <c r="DA46" s="64">
        <f t="shared" si="126"/>
        <v>18</v>
      </c>
      <c r="DB46" s="64"/>
      <c r="DC46" s="72" t="s">
        <v>364</v>
      </c>
      <c r="DD46" s="64">
        <v>0</v>
      </c>
      <c r="DE46" s="64">
        <f t="shared" si="133"/>
        <v>0</v>
      </c>
      <c r="DF46" s="64">
        <f t="shared" si="133"/>
        <v>0</v>
      </c>
      <c r="DG46" s="64">
        <f t="shared" si="133"/>
        <v>6</v>
      </c>
      <c r="DH46" s="64">
        <f t="shared" si="133"/>
        <v>12</v>
      </c>
      <c r="DI46" s="64">
        <f t="shared" si="133"/>
        <v>6</v>
      </c>
      <c r="DJ46" s="64">
        <f t="shared" si="133"/>
        <v>12</v>
      </c>
      <c r="DK46" s="64">
        <f t="shared" si="133"/>
        <v>12</v>
      </c>
      <c r="DL46" s="64">
        <f t="shared" si="133"/>
        <v>18</v>
      </c>
      <c r="DM46" s="64">
        <f t="shared" si="133"/>
        <v>18</v>
      </c>
      <c r="DN46" s="64">
        <f t="shared" si="133"/>
        <v>18</v>
      </c>
      <c r="DO46" s="64">
        <f t="shared" si="133"/>
        <v>18</v>
      </c>
      <c r="DP46" s="64">
        <f t="shared" si="133"/>
        <v>24</v>
      </c>
      <c r="DQ46" s="80"/>
      <c r="DR46" s="80"/>
      <c r="DS46" s="80"/>
      <c r="DT46" s="64"/>
      <c r="DU46" s="64"/>
      <c r="DV46" s="64"/>
      <c r="DW46" s="64"/>
      <c r="DX46" s="64"/>
      <c r="DY46" s="64"/>
      <c r="DZ46" s="64"/>
      <c r="EA46" s="64"/>
      <c r="EB46" s="64"/>
      <c r="EC46" s="64"/>
      <c r="ED46" s="64"/>
      <c r="EE46" s="64"/>
      <c r="EF46" s="64"/>
      <c r="EG46" s="64"/>
      <c r="EH46" s="64"/>
      <c r="EI46" s="64"/>
      <c r="EJ46" s="69"/>
      <c r="EK46" s="72" t="s">
        <v>364</v>
      </c>
      <c r="EL46" s="64">
        <v>0</v>
      </c>
      <c r="EM46" s="64">
        <f t="shared" ref="EM46:EX46" si="144">EM18/5*6</f>
        <v>0</v>
      </c>
      <c r="EN46" s="64">
        <f t="shared" si="144"/>
        <v>0</v>
      </c>
      <c r="EO46" s="64">
        <f t="shared" si="144"/>
        <v>0</v>
      </c>
      <c r="EP46" s="64">
        <f t="shared" si="144"/>
        <v>6</v>
      </c>
      <c r="EQ46" s="64">
        <f t="shared" si="144"/>
        <v>12</v>
      </c>
      <c r="ER46" s="64">
        <f t="shared" si="144"/>
        <v>12</v>
      </c>
      <c r="ES46" s="64">
        <f t="shared" si="144"/>
        <v>18</v>
      </c>
      <c r="ET46" s="64">
        <f t="shared" si="144"/>
        <v>18</v>
      </c>
      <c r="EU46" s="64">
        <f t="shared" si="144"/>
        <v>24</v>
      </c>
      <c r="EV46" s="64">
        <f t="shared" si="144"/>
        <v>30</v>
      </c>
      <c r="EW46" s="64">
        <f t="shared" si="144"/>
        <v>30</v>
      </c>
      <c r="EX46" s="64">
        <f t="shared" si="144"/>
        <v>36</v>
      </c>
      <c r="EY46" s="64"/>
      <c r="EZ46" s="72" t="s">
        <v>364</v>
      </c>
      <c r="FA46" s="64">
        <v>0</v>
      </c>
      <c r="FB46" s="64">
        <f t="shared" ref="FB46:FM46" si="145">FB18/5*6</f>
        <v>0</v>
      </c>
      <c r="FC46" s="64">
        <f t="shared" si="145"/>
        <v>0</v>
      </c>
      <c r="FD46" s="64">
        <f t="shared" si="145"/>
        <v>6</v>
      </c>
      <c r="FE46" s="64">
        <f t="shared" si="145"/>
        <v>12</v>
      </c>
      <c r="FF46" s="64">
        <f t="shared" si="145"/>
        <v>12</v>
      </c>
      <c r="FG46" s="64">
        <f t="shared" si="145"/>
        <v>18</v>
      </c>
      <c r="FH46" s="64">
        <f t="shared" si="145"/>
        <v>18</v>
      </c>
      <c r="FI46" s="64">
        <f t="shared" si="145"/>
        <v>24</v>
      </c>
      <c r="FJ46" s="64">
        <f t="shared" si="145"/>
        <v>24</v>
      </c>
      <c r="FK46" s="64">
        <f t="shared" si="145"/>
        <v>30</v>
      </c>
      <c r="FL46" s="64">
        <f t="shared" si="145"/>
        <v>36</v>
      </c>
      <c r="FM46" s="64">
        <f t="shared" si="145"/>
        <v>36</v>
      </c>
      <c r="FN46" s="64"/>
      <c r="FO46" s="72" t="s">
        <v>364</v>
      </c>
      <c r="FP46" s="64">
        <v>0</v>
      </c>
      <c r="FQ46" s="64">
        <f t="shared" ref="FQ46:GB46" si="146">FQ18/5*6</f>
        <v>0</v>
      </c>
      <c r="FR46" s="64">
        <f t="shared" si="146"/>
        <v>0</v>
      </c>
      <c r="FS46" s="64">
        <f t="shared" si="146"/>
        <v>6</v>
      </c>
      <c r="FT46" s="64">
        <f t="shared" si="146"/>
        <v>12</v>
      </c>
      <c r="FU46" s="64">
        <f t="shared" si="146"/>
        <v>12</v>
      </c>
      <c r="FV46" s="64">
        <f t="shared" si="146"/>
        <v>18</v>
      </c>
      <c r="FW46" s="64">
        <f t="shared" si="146"/>
        <v>24</v>
      </c>
      <c r="FX46" s="64">
        <f t="shared" si="146"/>
        <v>24</v>
      </c>
      <c r="FY46" s="64">
        <f t="shared" si="146"/>
        <v>30</v>
      </c>
      <c r="FZ46" s="64">
        <f t="shared" si="146"/>
        <v>36</v>
      </c>
      <c r="GA46" s="64">
        <f t="shared" si="146"/>
        <v>36</v>
      </c>
      <c r="GB46" s="64">
        <f t="shared" si="146"/>
        <v>42</v>
      </c>
      <c r="GC46" s="64"/>
      <c r="GD46" s="72" t="s">
        <v>364</v>
      </c>
      <c r="GE46" s="64">
        <v>0</v>
      </c>
      <c r="GF46" s="64">
        <f t="shared" ref="GF46:GQ46" si="147">GF18/5*6</f>
        <v>0</v>
      </c>
      <c r="GG46" s="64">
        <f t="shared" si="147"/>
        <v>0</v>
      </c>
      <c r="GH46" s="64">
        <f t="shared" si="147"/>
        <v>6</v>
      </c>
      <c r="GI46" s="64">
        <f t="shared" si="147"/>
        <v>12</v>
      </c>
      <c r="GJ46" s="64">
        <f t="shared" si="147"/>
        <v>18</v>
      </c>
      <c r="GK46" s="64">
        <f t="shared" si="147"/>
        <v>18</v>
      </c>
      <c r="GL46" s="64">
        <f t="shared" si="147"/>
        <v>24</v>
      </c>
      <c r="GM46" s="64">
        <f t="shared" si="147"/>
        <v>30</v>
      </c>
      <c r="GN46" s="64">
        <f t="shared" si="147"/>
        <v>30</v>
      </c>
      <c r="GO46" s="64">
        <f t="shared" si="147"/>
        <v>36</v>
      </c>
      <c r="GP46" s="64">
        <f t="shared" si="147"/>
        <v>42</v>
      </c>
      <c r="GQ46" s="64">
        <f t="shared" si="147"/>
        <v>48</v>
      </c>
      <c r="GR46" s="64"/>
      <c r="GS46" s="64"/>
      <c r="GT46" s="64"/>
      <c r="GU46" s="64"/>
      <c r="GV46" s="64"/>
      <c r="GW46" s="64"/>
      <c r="GX46" s="64"/>
      <c r="GY46" s="64"/>
      <c r="GZ46" s="64"/>
      <c r="HA46" s="64"/>
      <c r="HB46" s="64"/>
      <c r="HC46" s="64"/>
      <c r="HD46" s="64"/>
      <c r="HE46" s="64"/>
      <c r="HF46" s="64"/>
      <c r="HG46" s="70"/>
      <c r="HH46" s="64"/>
    </row>
    <row r="47" spans="1:216" x14ac:dyDescent="0.25">
      <c r="A47" s="8"/>
      <c r="B47" s="5" t="s">
        <v>61</v>
      </c>
      <c r="C47" s="8"/>
      <c r="D47" s="44" t="s">
        <v>519</v>
      </c>
      <c r="E47" s="9"/>
      <c r="F47" s="9"/>
      <c r="G47" s="9"/>
      <c r="H47" s="9"/>
      <c r="I47" s="9"/>
      <c r="J47" s="9"/>
      <c r="K47" s="9"/>
      <c r="L47" s="6" t="s">
        <v>240</v>
      </c>
      <c r="M47" s="11">
        <f>INDEX(cenník!$C$2:$I$568,MATCH($L47,cenník!$B$2:$B$557,0),MATCH(M$2,cenník!$C$1:$I$1,0))</f>
        <v>867644</v>
      </c>
      <c r="N47" s="11" t="str">
        <f>INDEX(cenník!$C$2:$I$568,MATCH($L47,cenník!$B$2:$B$557,0),MATCH(N$2,cenník!$C$1:$I$1,0))</f>
        <v>ks</v>
      </c>
      <c r="O47" s="11">
        <f>SUM(Y35:Y50)</f>
        <v>0</v>
      </c>
      <c r="P47" s="36">
        <f>INDEX(cenník!$C$2:$I$568,MATCH($L47,cenník!$B$2:$B$557,0),MATCH(P$2,cenník!$C$1:$I$1,0))</f>
        <v>61.15</v>
      </c>
      <c r="Q47" s="36">
        <f t="shared" si="142"/>
        <v>0</v>
      </c>
      <c r="R47" s="37">
        <f t="shared" si="88"/>
        <v>0</v>
      </c>
      <c r="S47" s="36">
        <f t="shared" si="89"/>
        <v>61.15</v>
      </c>
      <c r="T47" s="36">
        <f t="shared" si="143"/>
        <v>0</v>
      </c>
      <c r="U47" s="36">
        <f>INDEX(cenník!$C$2:$I$568,MATCH($L47,cenník!$B$2:$B$557,0),MATCH(U$2,cenník!$C$1:$I$1,0))*O47</f>
        <v>0</v>
      </c>
      <c r="V47" s="85"/>
      <c r="W47" s="64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64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64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64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64">
        <f t="shared" si="75"/>
        <v>0</v>
      </c>
      <c r="AB47" s="64">
        <f t="shared" si="76"/>
        <v>0</v>
      </c>
      <c r="AC47" s="64"/>
      <c r="AD47" s="64"/>
      <c r="AE47" s="64" t="s">
        <v>351</v>
      </c>
      <c r="AF47" s="64">
        <v>2350</v>
      </c>
      <c r="AG47" s="64"/>
      <c r="AH47" s="64"/>
      <c r="AI47" s="64"/>
      <c r="AJ47" s="64"/>
      <c r="AK47" s="64"/>
      <c r="AL47" s="64"/>
      <c r="AM47" s="64"/>
      <c r="AN47" s="64"/>
      <c r="AO47" s="64"/>
      <c r="AP47" s="64"/>
      <c r="AQ47" s="64"/>
      <c r="AR47" s="83" t="s">
        <v>185</v>
      </c>
      <c r="AS47" s="64"/>
      <c r="AT47" s="64"/>
      <c r="AU47" s="64"/>
      <c r="AV47" s="64"/>
      <c r="AW47" s="64"/>
      <c r="AX47" s="64"/>
      <c r="AY47" s="64"/>
      <c r="AZ47" s="64"/>
      <c r="BA47" s="64"/>
      <c r="BB47" s="64"/>
      <c r="BC47" s="64"/>
      <c r="BD47" s="64"/>
      <c r="BE47" s="64"/>
      <c r="BF47" s="64"/>
      <c r="BG47" s="87"/>
      <c r="BH47" s="64"/>
      <c r="BI47" s="64"/>
      <c r="BJ47" s="64"/>
      <c r="BK47" s="64"/>
      <c r="BL47" s="64"/>
      <c r="BM47" s="64"/>
      <c r="BN47" s="64"/>
      <c r="BO47" s="64"/>
      <c r="BP47" s="64"/>
      <c r="BQ47" s="64"/>
      <c r="BR47" s="64"/>
      <c r="BS47" s="64"/>
      <c r="BT47" s="64"/>
      <c r="BU47" s="64"/>
      <c r="BV47" s="64"/>
      <c r="BW47" s="64"/>
      <c r="BX47" s="64"/>
      <c r="BY47" s="64"/>
      <c r="BZ47" s="64"/>
      <c r="CA47" s="64"/>
      <c r="CB47" s="64"/>
      <c r="CC47" s="64"/>
      <c r="CD47" s="64"/>
      <c r="CE47" s="64"/>
      <c r="CF47" s="64"/>
      <c r="CG47" s="64"/>
      <c r="CH47" s="64"/>
      <c r="CI47" s="64"/>
      <c r="CJ47" s="64"/>
      <c r="CK47" s="64"/>
      <c r="CL47" s="64"/>
      <c r="CM47" s="64"/>
      <c r="CN47" s="64"/>
      <c r="CO47" s="64"/>
      <c r="CP47" s="64"/>
      <c r="CQ47" s="64"/>
      <c r="CR47" s="64"/>
      <c r="CS47" s="64"/>
      <c r="CT47" s="64"/>
      <c r="CU47" s="64"/>
      <c r="CV47" s="64"/>
      <c r="CW47" s="64"/>
      <c r="CX47" s="64"/>
      <c r="CY47" s="64"/>
      <c r="CZ47" s="64"/>
      <c r="DA47" s="64"/>
      <c r="DB47" s="64"/>
      <c r="DC47" s="64"/>
      <c r="DD47" s="64"/>
      <c r="DE47" s="64"/>
      <c r="DF47" s="64"/>
      <c r="DG47" s="64"/>
      <c r="DH47" s="64"/>
      <c r="DI47" s="64"/>
      <c r="DJ47" s="64"/>
      <c r="DK47" s="64"/>
      <c r="DL47" s="64"/>
      <c r="DM47" s="64"/>
      <c r="DN47" s="64"/>
      <c r="DO47" s="64"/>
      <c r="DP47" s="64"/>
      <c r="DQ47" s="80"/>
      <c r="DR47" s="80"/>
      <c r="DS47" s="80"/>
      <c r="DT47" s="64"/>
      <c r="DU47" s="64"/>
      <c r="DV47" s="64"/>
      <c r="DW47" s="64"/>
      <c r="DX47" s="64"/>
      <c r="DY47" s="64"/>
      <c r="DZ47" s="64"/>
      <c r="EA47" s="64"/>
      <c r="EB47" s="64"/>
      <c r="EC47" s="64"/>
      <c r="ED47" s="64"/>
      <c r="EE47" s="64"/>
      <c r="EF47" s="64"/>
      <c r="EG47" s="64"/>
      <c r="EH47" s="64"/>
      <c r="EI47" s="64"/>
      <c r="EJ47" s="69"/>
      <c r="EK47" s="64"/>
      <c r="EL47" s="64"/>
      <c r="EM47" s="64"/>
      <c r="EN47" s="64"/>
      <c r="EO47" s="64"/>
      <c r="EP47" s="64"/>
      <c r="EQ47" s="64"/>
      <c r="ER47" s="64"/>
      <c r="ES47" s="64"/>
      <c r="ET47" s="64"/>
      <c r="EU47" s="64"/>
      <c r="EV47" s="64"/>
      <c r="EW47" s="64"/>
      <c r="EX47" s="64"/>
      <c r="EY47" s="64"/>
      <c r="EZ47" s="64"/>
      <c r="FA47" s="64"/>
      <c r="FB47" s="64"/>
      <c r="FC47" s="64"/>
      <c r="FD47" s="64"/>
      <c r="FE47" s="64"/>
      <c r="FF47" s="64"/>
      <c r="FG47" s="64"/>
      <c r="FH47" s="64"/>
      <c r="FI47" s="64"/>
      <c r="FJ47" s="64"/>
      <c r="FK47" s="64"/>
      <c r="FL47" s="64"/>
      <c r="FM47" s="64"/>
      <c r="FN47" s="64"/>
      <c r="FO47" s="64"/>
      <c r="FP47" s="64"/>
      <c r="FQ47" s="64"/>
      <c r="FR47" s="64"/>
      <c r="FS47" s="64"/>
      <c r="FT47" s="64"/>
      <c r="FU47" s="64"/>
      <c r="FV47" s="64"/>
      <c r="FW47" s="64"/>
      <c r="FX47" s="64"/>
      <c r="FY47" s="64"/>
      <c r="FZ47" s="64"/>
      <c r="GA47" s="64"/>
      <c r="GB47" s="64"/>
      <c r="GC47" s="64"/>
      <c r="GD47" s="64"/>
      <c r="GE47" s="64"/>
      <c r="GF47" s="64"/>
      <c r="GG47" s="64"/>
      <c r="GH47" s="64"/>
      <c r="GI47" s="64"/>
      <c r="GJ47" s="64"/>
      <c r="GK47" s="64"/>
      <c r="GL47" s="64"/>
      <c r="GM47" s="64"/>
      <c r="GN47" s="64"/>
      <c r="GO47" s="64"/>
      <c r="GP47" s="64"/>
      <c r="GQ47" s="64"/>
      <c r="GR47" s="64"/>
      <c r="GS47" s="64"/>
      <c r="GT47" s="64"/>
      <c r="GU47" s="64"/>
      <c r="GV47" s="64"/>
      <c r="GW47" s="64"/>
      <c r="GX47" s="64"/>
      <c r="GY47" s="64"/>
      <c r="GZ47" s="64"/>
      <c r="HA47" s="64"/>
      <c r="HB47" s="64"/>
      <c r="HC47" s="64"/>
      <c r="HD47" s="64"/>
      <c r="HE47" s="64"/>
      <c r="HF47" s="64"/>
      <c r="HG47" s="70"/>
      <c r="HH47" s="64"/>
    </row>
    <row r="48" spans="1:216" ht="15.75" thickBot="1" x14ac:dyDescent="0.3">
      <c r="A48" s="8"/>
      <c r="B48" s="5" t="s">
        <v>61</v>
      </c>
      <c r="C48" s="8"/>
      <c r="D48" s="44" t="s">
        <v>520</v>
      </c>
      <c r="E48" s="9"/>
      <c r="F48" s="9"/>
      <c r="G48" s="9"/>
      <c r="H48" s="9"/>
      <c r="I48" s="9"/>
      <c r="J48" s="9"/>
      <c r="K48" s="9"/>
      <c r="L48" s="6" t="s">
        <v>241</v>
      </c>
      <c r="M48" s="11">
        <f>INDEX(cenník!$C$2:$I$568,MATCH($L48,cenník!$B$2:$B$557,0),MATCH(M$2,cenník!$C$1:$I$1,0))</f>
        <v>867633</v>
      </c>
      <c r="N48" s="11" t="str">
        <f>INDEX(cenník!$C$2:$I$568,MATCH($L48,cenník!$B$2:$B$557,0),MATCH(N$2,cenník!$C$1:$I$1,0))</f>
        <v>ks</v>
      </c>
      <c r="O48" s="11">
        <f>SUM(Z35:Z50)</f>
        <v>0</v>
      </c>
      <c r="P48" s="36">
        <f>INDEX(cenník!$C$2:$I$568,MATCH($L48,cenník!$B$2:$B$557,0),MATCH(P$2,cenník!$C$1:$I$1,0))</f>
        <v>45.86</v>
      </c>
      <c r="Q48" s="36">
        <f t="shared" si="142"/>
        <v>0</v>
      </c>
      <c r="R48" s="37">
        <f t="shared" si="88"/>
        <v>0</v>
      </c>
      <c r="S48" s="36">
        <f t="shared" si="89"/>
        <v>45.86</v>
      </c>
      <c r="T48" s="36">
        <f t="shared" si="143"/>
        <v>0</v>
      </c>
      <c r="U48" s="36">
        <f>INDEX(cenník!$C$2:$I$568,MATCH($L48,cenník!$B$2:$B$557,0),MATCH(U$2,cenník!$C$1:$I$1,0))*O48</f>
        <v>0</v>
      </c>
      <c r="V48" s="85"/>
      <c r="W48" s="64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64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64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64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64">
        <f t="shared" si="75"/>
        <v>0</v>
      </c>
      <c r="AB48" s="64">
        <f t="shared" si="76"/>
        <v>0</v>
      </c>
      <c r="AC48" s="64"/>
      <c r="AD48" s="64"/>
      <c r="AE48" s="64" t="s">
        <v>352</v>
      </c>
      <c r="AF48" s="64">
        <v>2400</v>
      </c>
      <c r="AG48" s="64"/>
      <c r="AH48" s="64"/>
      <c r="AI48" s="64"/>
      <c r="AJ48" s="64"/>
      <c r="AK48" s="64"/>
      <c r="AL48" s="64"/>
      <c r="AM48" s="64"/>
      <c r="AN48" s="64"/>
      <c r="AO48" s="64"/>
      <c r="AP48" s="64"/>
      <c r="AQ48" s="64"/>
      <c r="AR48" s="64" t="s">
        <v>333</v>
      </c>
      <c r="AS48" s="64">
        <v>1</v>
      </c>
      <c r="AT48" s="64">
        <v>2</v>
      </c>
      <c r="AU48" s="64">
        <v>3</v>
      </c>
      <c r="AV48" s="64">
        <v>4</v>
      </c>
      <c r="AW48" s="64">
        <v>5</v>
      </c>
      <c r="AX48" s="64"/>
      <c r="AY48" s="64"/>
      <c r="AZ48" s="64"/>
      <c r="BA48" s="64"/>
      <c r="BB48" s="64"/>
      <c r="BC48" s="64"/>
      <c r="BD48" s="64"/>
      <c r="BE48" s="64"/>
      <c r="BF48" s="64"/>
      <c r="BG48" s="64"/>
      <c r="BH48" s="64"/>
      <c r="BI48" s="64"/>
      <c r="BJ48" s="64"/>
      <c r="BK48" s="64"/>
      <c r="BL48" s="64"/>
      <c r="BM48" s="64"/>
      <c r="BN48" s="64"/>
      <c r="BO48" s="64"/>
      <c r="BP48" s="64"/>
      <c r="BQ48" s="64"/>
      <c r="BR48" s="64"/>
      <c r="BS48" s="64"/>
      <c r="BT48" s="64"/>
      <c r="BU48" s="64"/>
      <c r="BV48" s="64"/>
      <c r="BW48" s="64"/>
      <c r="BX48" s="64"/>
      <c r="BY48" s="64"/>
      <c r="BZ48" s="64"/>
      <c r="CA48" s="64"/>
      <c r="CB48" s="64"/>
      <c r="CC48" s="64"/>
      <c r="CD48" s="64"/>
      <c r="CE48" s="64"/>
      <c r="CF48" s="64"/>
      <c r="CG48" s="64"/>
      <c r="CH48" s="64"/>
      <c r="CI48" s="64"/>
      <c r="CJ48" s="64"/>
      <c r="CK48" s="64"/>
      <c r="CL48" s="64"/>
      <c r="CM48" s="64"/>
      <c r="CN48" s="64"/>
      <c r="CO48" s="64"/>
      <c r="CP48" s="64"/>
      <c r="CQ48" s="64"/>
      <c r="CR48" s="64"/>
      <c r="CS48" s="64"/>
      <c r="CT48" s="64"/>
      <c r="CU48" s="64"/>
      <c r="CV48" s="64"/>
      <c r="CW48" s="64"/>
      <c r="CX48" s="64"/>
      <c r="CY48" s="64"/>
      <c r="CZ48" s="64"/>
      <c r="DA48" s="64"/>
      <c r="DB48" s="64"/>
      <c r="DC48" s="64"/>
      <c r="DD48" s="64"/>
      <c r="DE48" s="64"/>
      <c r="DF48" s="64"/>
      <c r="DG48" s="64"/>
      <c r="DH48" s="64"/>
      <c r="DI48" s="64"/>
      <c r="DJ48" s="64"/>
      <c r="DK48" s="64"/>
      <c r="DL48" s="64"/>
      <c r="DM48" s="64"/>
      <c r="DN48" s="64"/>
      <c r="DO48" s="64"/>
      <c r="DP48" s="64"/>
      <c r="DQ48" s="80"/>
      <c r="DR48" s="80"/>
      <c r="DS48" s="80"/>
      <c r="DT48" s="64"/>
      <c r="DU48" s="64"/>
      <c r="DV48" s="64"/>
      <c r="DW48" s="64"/>
      <c r="DX48" s="64"/>
      <c r="DY48" s="64"/>
      <c r="DZ48" s="64"/>
      <c r="EA48" s="64"/>
      <c r="EB48" s="64"/>
      <c r="EC48" s="64"/>
      <c r="ED48" s="64"/>
      <c r="EE48" s="64"/>
      <c r="EF48" s="64"/>
      <c r="EG48" s="64"/>
      <c r="EH48" s="64"/>
      <c r="EI48" s="64"/>
      <c r="EJ48" s="73"/>
      <c r="EK48" s="74"/>
      <c r="EL48" s="74"/>
      <c r="EM48" s="74"/>
      <c r="EN48" s="74"/>
      <c r="EO48" s="74"/>
      <c r="EP48" s="74"/>
      <c r="EQ48" s="74"/>
      <c r="ER48" s="74"/>
      <c r="ES48" s="74"/>
      <c r="ET48" s="74"/>
      <c r="EU48" s="74"/>
      <c r="EV48" s="74"/>
      <c r="EW48" s="74"/>
      <c r="EX48" s="74"/>
      <c r="EY48" s="74"/>
      <c r="EZ48" s="74"/>
      <c r="FA48" s="74"/>
      <c r="FB48" s="74"/>
      <c r="FC48" s="74"/>
      <c r="FD48" s="74"/>
      <c r="FE48" s="74"/>
      <c r="FF48" s="74"/>
      <c r="FG48" s="74"/>
      <c r="FH48" s="74"/>
      <c r="FI48" s="74"/>
      <c r="FJ48" s="74"/>
      <c r="FK48" s="74"/>
      <c r="FL48" s="74"/>
      <c r="FM48" s="74"/>
      <c r="FN48" s="74"/>
      <c r="FO48" s="74"/>
      <c r="FP48" s="74"/>
      <c r="FQ48" s="74"/>
      <c r="FR48" s="74"/>
      <c r="FS48" s="74"/>
      <c r="FT48" s="74"/>
      <c r="FU48" s="74"/>
      <c r="FV48" s="74"/>
      <c r="FW48" s="74"/>
      <c r="FX48" s="74"/>
      <c r="FY48" s="74"/>
      <c r="FZ48" s="74"/>
      <c r="GA48" s="74"/>
      <c r="GB48" s="74"/>
      <c r="GC48" s="74"/>
      <c r="GD48" s="74"/>
      <c r="GE48" s="74"/>
      <c r="GF48" s="74"/>
      <c r="GG48" s="74"/>
      <c r="GH48" s="74"/>
      <c r="GI48" s="74"/>
      <c r="GJ48" s="74"/>
      <c r="GK48" s="74"/>
      <c r="GL48" s="74"/>
      <c r="GM48" s="74"/>
      <c r="GN48" s="74"/>
      <c r="GO48" s="74"/>
      <c r="GP48" s="74"/>
      <c r="GQ48" s="74"/>
      <c r="GR48" s="74"/>
      <c r="GS48" s="74"/>
      <c r="GT48" s="74"/>
      <c r="GU48" s="74"/>
      <c r="GV48" s="74"/>
      <c r="GW48" s="74"/>
      <c r="GX48" s="74"/>
      <c r="GY48" s="74"/>
      <c r="GZ48" s="74"/>
      <c r="HA48" s="74"/>
      <c r="HB48" s="74"/>
      <c r="HC48" s="74"/>
      <c r="HD48" s="74"/>
      <c r="HE48" s="74"/>
      <c r="HF48" s="74"/>
      <c r="HG48" s="75"/>
      <c r="HH48" s="64"/>
    </row>
    <row r="49" spans="1:216" x14ac:dyDescent="0.25">
      <c r="A49" s="8"/>
      <c r="B49" s="5" t="s">
        <v>61</v>
      </c>
      <c r="C49" s="8"/>
      <c r="D49" s="44" t="s">
        <v>521</v>
      </c>
      <c r="E49" s="9"/>
      <c r="F49" s="9"/>
      <c r="G49" s="9"/>
      <c r="H49" s="9"/>
      <c r="I49" s="9"/>
      <c r="J49" s="9"/>
      <c r="K49" s="9"/>
      <c r="L49" s="6" t="s">
        <v>364</v>
      </c>
      <c r="M49" s="11">
        <f>INDEX(cenník!$C$2:$I$568,MATCH($L49,cenník!$B$2:$B$557,0),MATCH(M$2,cenník!$C$1:$I$1,0))</f>
        <v>856105</v>
      </c>
      <c r="N49" s="11" t="str">
        <f>INDEX(cenník!$C$2:$I$568,MATCH($L49,cenník!$B$2:$B$557,0),MATCH(N$2,cenník!$C$1:$I$1,0))</f>
        <v>ks</v>
      </c>
      <c r="O49" s="11">
        <f>SUM(W35:W50)</f>
        <v>0</v>
      </c>
      <c r="P49" s="36">
        <f>INDEX(cenník!$C$2:$I$568,MATCH($L49,cenník!$B$2:$B$557,0),MATCH(P$2,cenník!$C$1:$I$1,0))</f>
        <v>7.54</v>
      </c>
      <c r="Q49" s="36">
        <f t="shared" si="142"/>
        <v>0</v>
      </c>
      <c r="R49" s="37">
        <f t="shared" si="88"/>
        <v>0</v>
      </c>
      <c r="S49" s="36">
        <f t="shared" si="89"/>
        <v>7.54</v>
      </c>
      <c r="T49" s="36">
        <f t="shared" si="143"/>
        <v>0</v>
      </c>
      <c r="U49" s="36">
        <f>INDEX(cenník!$C$2:$I$568,MATCH($L49,cenník!$B$2:$B$557,0),MATCH(U$2,cenník!$C$1:$I$1,0))*O49</f>
        <v>0</v>
      </c>
      <c r="V49" s="85"/>
      <c r="W49" s="64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64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64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64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64"/>
      <c r="AB49" s="64"/>
      <c r="AC49" s="64"/>
      <c r="AD49" s="64"/>
      <c r="AE49" s="64" t="s">
        <v>386</v>
      </c>
      <c r="AF49" s="64">
        <v>2450</v>
      </c>
      <c r="AG49" s="64"/>
      <c r="AH49" s="64"/>
      <c r="AI49" s="64"/>
      <c r="AJ49" s="64"/>
      <c r="AK49" s="64"/>
      <c r="AL49" s="64"/>
      <c r="AM49" s="64"/>
      <c r="AN49" s="64"/>
      <c r="AO49" s="64"/>
      <c r="AP49" s="64"/>
      <c r="AQ49" s="64"/>
      <c r="AR49" s="64">
        <v>1</v>
      </c>
      <c r="AS49" s="64">
        <v>2900</v>
      </c>
      <c r="AT49" s="64">
        <v>2900</v>
      </c>
      <c r="AU49" s="64">
        <v>2400</v>
      </c>
      <c r="AV49" s="64">
        <v>2400</v>
      </c>
      <c r="AW49" s="64" t="s">
        <v>522</v>
      </c>
      <c r="AX49" s="64"/>
      <c r="AY49" s="64"/>
      <c r="AZ49" s="64"/>
      <c r="BA49" s="64"/>
      <c r="BB49" s="64"/>
      <c r="BC49" s="64"/>
      <c r="BD49" s="64"/>
      <c r="BE49" s="64"/>
      <c r="BF49" s="64"/>
      <c r="BG49" s="64"/>
      <c r="BH49" s="64"/>
      <c r="BI49" s="64"/>
      <c r="BJ49" s="64"/>
      <c r="BK49" s="64"/>
      <c r="BL49" s="64"/>
      <c r="BM49" s="64"/>
      <c r="BN49" s="64"/>
      <c r="BO49" s="64"/>
      <c r="BP49" s="64"/>
      <c r="BQ49" s="64"/>
      <c r="BR49" s="64"/>
      <c r="BS49" s="64"/>
      <c r="BT49" s="64"/>
      <c r="BU49" s="64"/>
      <c r="BV49" s="64"/>
      <c r="BW49" s="64"/>
      <c r="BX49" s="64"/>
      <c r="BY49" s="64"/>
      <c r="BZ49" s="64"/>
      <c r="CA49" s="64"/>
      <c r="CB49" s="64"/>
      <c r="CC49" s="64"/>
      <c r="CD49" s="64"/>
      <c r="CE49" s="64"/>
      <c r="CF49" s="64"/>
      <c r="CG49" s="64"/>
      <c r="CH49" s="64"/>
      <c r="CI49" s="64"/>
      <c r="CJ49" s="64"/>
      <c r="CK49" s="64"/>
      <c r="CL49" s="64"/>
      <c r="CM49" s="64"/>
      <c r="CN49" s="64"/>
      <c r="CO49" s="64"/>
      <c r="CP49" s="64"/>
      <c r="CQ49" s="64"/>
      <c r="CR49" s="64"/>
      <c r="CS49" s="64"/>
      <c r="CT49" s="64"/>
      <c r="CU49" s="64"/>
      <c r="CV49" s="64"/>
      <c r="CW49" s="64"/>
      <c r="CX49" s="64"/>
      <c r="CY49" s="64"/>
      <c r="CZ49" s="64"/>
      <c r="DA49" s="64"/>
      <c r="DB49" s="64"/>
      <c r="DC49" s="64"/>
      <c r="DD49" s="64"/>
      <c r="DE49" s="64"/>
      <c r="DF49" s="64"/>
      <c r="DG49" s="64"/>
      <c r="DH49" s="64"/>
      <c r="DI49" s="64"/>
      <c r="DJ49" s="64"/>
      <c r="DK49" s="64"/>
      <c r="DL49" s="64"/>
      <c r="DM49" s="64"/>
      <c r="DN49" s="64"/>
      <c r="DO49" s="64"/>
      <c r="DP49" s="64"/>
      <c r="DQ49" s="80"/>
      <c r="DR49" s="80"/>
      <c r="DS49" s="80"/>
      <c r="DT49" s="64"/>
      <c r="DU49" s="64"/>
      <c r="DV49" s="64"/>
      <c r="DW49" s="64"/>
      <c r="DX49" s="64"/>
      <c r="DY49" s="64"/>
      <c r="DZ49" s="64"/>
      <c r="EA49" s="64"/>
      <c r="EB49" s="64"/>
      <c r="EC49" s="64"/>
      <c r="ED49" s="64"/>
      <c r="EE49" s="64"/>
      <c r="EF49" s="64"/>
      <c r="EG49" s="64"/>
      <c r="EH49" s="64"/>
      <c r="EI49" s="64"/>
      <c r="EJ49" s="64"/>
      <c r="EK49" s="64"/>
      <c r="EL49" s="64"/>
      <c r="EM49" s="64"/>
      <c r="EN49" s="64"/>
      <c r="EO49" s="64"/>
      <c r="EP49" s="64"/>
      <c r="EQ49" s="64"/>
      <c r="ER49" s="64"/>
      <c r="ES49" s="64"/>
      <c r="ET49" s="64"/>
      <c r="EU49" s="64"/>
      <c r="EV49" s="64"/>
      <c r="EW49" s="64"/>
      <c r="EX49" s="64"/>
      <c r="EY49" s="64"/>
      <c r="EZ49" s="64"/>
      <c r="FA49" s="64"/>
      <c r="FB49" s="64"/>
      <c r="FC49" s="64"/>
      <c r="FD49" s="64"/>
      <c r="FE49" s="64"/>
      <c r="FF49" s="64"/>
      <c r="FG49" s="64"/>
      <c r="FH49" s="64"/>
      <c r="FI49" s="64"/>
      <c r="FJ49" s="64"/>
      <c r="FK49" s="64"/>
      <c r="FL49" s="64"/>
      <c r="FM49" s="64"/>
      <c r="FN49" s="64"/>
      <c r="FO49" s="64"/>
      <c r="FP49" s="64"/>
      <c r="FQ49" s="64"/>
      <c r="FR49" s="64"/>
      <c r="FS49" s="64"/>
      <c r="FT49" s="64"/>
      <c r="FU49" s="64"/>
      <c r="FV49" s="64"/>
      <c r="FW49" s="64"/>
      <c r="FX49" s="64"/>
      <c r="FY49" s="64"/>
      <c r="FZ49" s="64"/>
      <c r="GA49" s="64"/>
      <c r="GB49" s="64"/>
      <c r="GC49" s="64"/>
      <c r="GD49" s="64"/>
      <c r="GE49" s="64"/>
      <c r="GF49" s="64"/>
      <c r="GG49" s="64"/>
      <c r="GH49" s="64"/>
      <c r="GI49" s="64"/>
      <c r="GJ49" s="64"/>
      <c r="GK49" s="64"/>
      <c r="GL49" s="64"/>
      <c r="GM49" s="64"/>
      <c r="GN49" s="64"/>
      <c r="GO49" s="64"/>
      <c r="GP49" s="64"/>
      <c r="GQ49" s="64"/>
      <c r="GR49" s="64"/>
      <c r="GS49" s="64"/>
      <c r="GT49" s="64"/>
      <c r="GU49" s="64"/>
      <c r="GV49" s="64"/>
      <c r="GW49" s="64"/>
      <c r="GX49" s="64"/>
      <c r="GY49" s="64"/>
      <c r="GZ49" s="64"/>
      <c r="HA49" s="64"/>
      <c r="HB49" s="64"/>
      <c r="HC49" s="64"/>
      <c r="HD49" s="64"/>
      <c r="HE49" s="64"/>
      <c r="HF49" s="64"/>
      <c r="HG49" s="64"/>
      <c r="HH49" s="64"/>
    </row>
    <row r="50" spans="1:216" x14ac:dyDescent="0.25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>
        <f>INDEX(cenník!$C$2:$I$568,MATCH($L50,cenník!$B$2:$B$557,0),MATCH(M$2,cenník!$C$1:$I$1,0))</f>
        <v>897335</v>
      </c>
      <c r="N50" s="11" t="str">
        <f>INDEX(cenník!$C$2:$I$568,MATCH($L50,cenník!$B$2:$B$557,0),MATCH(N$2,cenník!$C$1:$I$1,0))</f>
        <v>ks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6">
        <f>INDEX(cenník!$C$2:$I$568,MATCH($L50,cenník!$B$2:$B$557,0),MATCH(P$2,cenník!$C$1:$I$1,0))</f>
        <v>0.62</v>
      </c>
      <c r="Q50" s="36">
        <f t="shared" si="142"/>
        <v>0</v>
      </c>
      <c r="R50" s="37">
        <f t="shared" si="88"/>
        <v>0</v>
      </c>
      <c r="S50" s="36">
        <f t="shared" si="89"/>
        <v>0.62</v>
      </c>
      <c r="T50" s="36">
        <f t="shared" si="143"/>
        <v>0</v>
      </c>
      <c r="U50" s="36">
        <f>INDEX(cenník!$C$2:$I$568,MATCH($L50,cenník!$B$2:$B$557,0),MATCH(U$2,cenník!$C$1:$I$1,0))*O50</f>
        <v>0</v>
      </c>
      <c r="V50" s="85"/>
      <c r="W50" s="64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64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64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64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64"/>
      <c r="AB50" s="64"/>
      <c r="AC50" s="64"/>
      <c r="AD50" s="64"/>
      <c r="AE50" s="64" t="s">
        <v>387</v>
      </c>
      <c r="AF50" s="64">
        <v>2500</v>
      </c>
      <c r="AG50" s="64"/>
      <c r="AH50" s="64"/>
      <c r="AI50" s="64"/>
      <c r="AJ50" s="64"/>
      <c r="AK50" s="64"/>
      <c r="AL50" s="64"/>
      <c r="AM50" s="64"/>
      <c r="AN50" s="64"/>
      <c r="AO50" s="64"/>
      <c r="AP50" s="64"/>
      <c r="AQ50" s="64"/>
      <c r="AR50" s="64">
        <v>2</v>
      </c>
      <c r="AS50" s="64" t="s">
        <v>522</v>
      </c>
      <c r="AT50" s="64">
        <v>2000</v>
      </c>
      <c r="AU50" s="64">
        <v>2000</v>
      </c>
      <c r="AV50" s="64" t="s">
        <v>522</v>
      </c>
      <c r="AW50" s="64" t="s">
        <v>522</v>
      </c>
      <c r="AX50" s="64"/>
      <c r="AY50" s="64"/>
      <c r="AZ50" s="64"/>
      <c r="BA50" s="64"/>
      <c r="BB50" s="64"/>
      <c r="BC50" s="64"/>
      <c r="BD50" s="64"/>
      <c r="BE50" s="64"/>
      <c r="BF50" s="64"/>
      <c r="BG50" s="64"/>
      <c r="BH50" s="64"/>
      <c r="BI50" s="64"/>
      <c r="BJ50" s="64"/>
      <c r="BK50" s="64"/>
      <c r="BL50" s="64"/>
      <c r="BM50" s="64"/>
      <c r="BN50" s="64"/>
      <c r="BO50" s="64"/>
      <c r="BP50" s="64"/>
      <c r="BQ50" s="64"/>
      <c r="BR50" s="64"/>
      <c r="BS50" s="64"/>
      <c r="BT50" s="64"/>
      <c r="BU50" s="64"/>
      <c r="BV50" s="64"/>
      <c r="BW50" s="64"/>
      <c r="BX50" s="64"/>
      <c r="BY50" s="64"/>
      <c r="BZ50" s="64"/>
      <c r="CA50" s="64"/>
      <c r="CB50" s="64"/>
      <c r="CC50" s="64"/>
      <c r="CD50" s="64"/>
      <c r="CE50" s="64"/>
      <c r="CF50" s="64"/>
      <c r="CG50" s="64"/>
      <c r="CH50" s="64"/>
      <c r="CI50" s="64"/>
      <c r="CJ50" s="64"/>
      <c r="CK50" s="64"/>
      <c r="CL50" s="64"/>
      <c r="CM50" s="64"/>
      <c r="CN50" s="64"/>
      <c r="CO50" s="64"/>
      <c r="CP50" s="64"/>
      <c r="CQ50" s="64"/>
      <c r="CR50" s="64"/>
      <c r="CS50" s="64"/>
      <c r="CT50" s="64"/>
      <c r="CU50" s="64"/>
      <c r="CV50" s="64"/>
      <c r="CW50" s="64"/>
      <c r="CX50" s="64"/>
      <c r="CY50" s="64"/>
      <c r="CZ50" s="64"/>
      <c r="DA50" s="64"/>
      <c r="DB50" s="64"/>
      <c r="DC50" s="64"/>
      <c r="DD50" s="64"/>
      <c r="DE50" s="64"/>
      <c r="DF50" s="64"/>
      <c r="DG50" s="64"/>
      <c r="DH50" s="64"/>
      <c r="DI50" s="64"/>
      <c r="DJ50" s="64"/>
      <c r="DK50" s="64"/>
      <c r="DL50" s="64"/>
      <c r="DM50" s="64"/>
      <c r="DN50" s="64"/>
      <c r="DO50" s="64"/>
      <c r="DP50" s="64"/>
      <c r="DQ50" s="80"/>
      <c r="DR50" s="80"/>
      <c r="DS50" s="80"/>
      <c r="DT50" s="64"/>
      <c r="DU50" s="64"/>
      <c r="DV50" s="64"/>
      <c r="DW50" s="64"/>
      <c r="DX50" s="64"/>
      <c r="DY50" s="64"/>
      <c r="DZ50" s="64"/>
      <c r="EA50" s="64"/>
      <c r="EB50" s="64"/>
      <c r="EC50" s="64"/>
      <c r="ED50" s="64"/>
      <c r="EE50" s="64"/>
      <c r="EF50" s="64"/>
      <c r="EG50" s="64"/>
      <c r="EH50" s="64"/>
      <c r="EI50" s="64"/>
      <c r="EJ50" s="64"/>
      <c r="EK50" s="64"/>
      <c r="EL50" s="64"/>
      <c r="EM50" s="64"/>
      <c r="EN50" s="64"/>
      <c r="EO50" s="64"/>
      <c r="EP50" s="64"/>
      <c r="EQ50" s="64"/>
      <c r="ER50" s="64"/>
      <c r="ES50" s="64"/>
      <c r="ET50" s="64"/>
      <c r="EU50" s="64"/>
      <c r="EV50" s="64"/>
      <c r="EW50" s="64"/>
      <c r="EX50" s="64"/>
      <c r="EY50" s="64"/>
      <c r="EZ50" s="64"/>
      <c r="FA50" s="64"/>
      <c r="FB50" s="64"/>
      <c r="FC50" s="64"/>
      <c r="FD50" s="64"/>
      <c r="FE50" s="64"/>
      <c r="FF50" s="64"/>
      <c r="FG50" s="64"/>
      <c r="FH50" s="64"/>
      <c r="FI50" s="64"/>
      <c r="FJ50" s="64"/>
      <c r="FK50" s="64"/>
      <c r="FL50" s="64"/>
      <c r="FM50" s="64"/>
      <c r="FN50" s="64"/>
      <c r="FO50" s="64"/>
      <c r="FP50" s="64"/>
      <c r="FQ50" s="64"/>
      <c r="FR50" s="64"/>
      <c r="FS50" s="64"/>
      <c r="FT50" s="64"/>
      <c r="FU50" s="64"/>
      <c r="FV50" s="64"/>
      <c r="FW50" s="64"/>
      <c r="FX50" s="64"/>
      <c r="FY50" s="64"/>
      <c r="FZ50" s="64"/>
      <c r="GA50" s="64"/>
      <c r="GB50" s="64"/>
      <c r="GC50" s="64"/>
      <c r="GD50" s="64"/>
      <c r="GE50" s="64"/>
      <c r="GF50" s="64"/>
      <c r="GG50" s="64"/>
      <c r="GH50" s="64"/>
      <c r="GI50" s="64"/>
      <c r="GJ50" s="64"/>
      <c r="GK50" s="64"/>
      <c r="GL50" s="64"/>
      <c r="GM50" s="64"/>
      <c r="GN50" s="64"/>
      <c r="GO50" s="64"/>
      <c r="GP50" s="64"/>
      <c r="GQ50" s="64"/>
      <c r="GR50" s="64"/>
      <c r="GS50" s="64"/>
      <c r="GT50" s="64"/>
      <c r="GU50" s="64"/>
      <c r="GV50" s="64"/>
      <c r="GW50" s="64"/>
      <c r="GX50" s="64"/>
      <c r="GY50" s="64"/>
      <c r="GZ50" s="64"/>
      <c r="HA50" s="64"/>
      <c r="HB50" s="64"/>
      <c r="HC50" s="64"/>
      <c r="HD50" s="64"/>
      <c r="HE50" s="64"/>
      <c r="HF50" s="64"/>
      <c r="HG50" s="64"/>
      <c r="HH50" s="64"/>
    </row>
    <row r="51" spans="1:216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>
        <f>INDEX(cenník!$C$2:$I$568,MATCH($L51,cenník!$B$2:$B$557,0),MATCH(M$2,cenník!$C$1:$I$1,0))</f>
        <v>897300</v>
      </c>
      <c r="N51" s="11" t="str">
        <f>INDEX(cenník!$C$2:$I$568,MATCH($L51,cenník!$B$2:$B$557,0),MATCH(N$2,cenník!$C$1:$I$1,0))</f>
        <v>ks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6">
        <f>INDEX(cenník!$C$2:$I$568,MATCH($L51,cenník!$B$2:$B$557,0),MATCH(P$2,cenník!$C$1:$I$1,0))</f>
        <v>0.56999999999999995</v>
      </c>
      <c r="Q51" s="36">
        <f t="shared" si="142"/>
        <v>0</v>
      </c>
      <c r="R51" s="37">
        <f t="shared" si="88"/>
        <v>0</v>
      </c>
      <c r="S51" s="36">
        <f t="shared" si="89"/>
        <v>0.56999999999999995</v>
      </c>
      <c r="T51" s="36">
        <f t="shared" si="143"/>
        <v>0</v>
      </c>
      <c r="U51" s="36">
        <f>INDEX(cenník!$C$2:$I$568,MATCH($L51,cenník!$B$2:$B$557,0),MATCH(U$2,cenník!$C$1:$I$1,0))*O51</f>
        <v>0</v>
      </c>
      <c r="V51" s="85"/>
      <c r="W51" s="85"/>
      <c r="X51" s="85"/>
      <c r="Y51" s="85"/>
      <c r="Z51" s="85"/>
      <c r="AA51" s="64"/>
      <c r="AB51" s="64"/>
      <c r="AC51" s="64"/>
      <c r="AD51" s="64"/>
      <c r="AE51" s="64" t="s">
        <v>424</v>
      </c>
      <c r="AF51" s="64">
        <v>2550</v>
      </c>
      <c r="AG51" s="64"/>
      <c r="AH51" s="64"/>
      <c r="AI51" s="64"/>
      <c r="AJ51" s="64"/>
      <c r="AK51" s="64"/>
      <c r="AL51" s="64"/>
      <c r="AM51" s="64"/>
      <c r="AN51" s="64"/>
      <c r="AO51" s="64"/>
      <c r="AP51" s="64"/>
      <c r="AQ51" s="64"/>
      <c r="AR51" s="64" t="s">
        <v>339</v>
      </c>
      <c r="AS51" s="64">
        <v>2400</v>
      </c>
      <c r="AT51" s="64" t="s">
        <v>522</v>
      </c>
      <c r="AU51" s="64">
        <v>2000</v>
      </c>
      <c r="AV51" s="64" t="s">
        <v>522</v>
      </c>
      <c r="AW51" s="64">
        <v>1000</v>
      </c>
      <c r="AX51" s="64"/>
      <c r="AY51" s="64"/>
      <c r="AZ51" s="64"/>
      <c r="BA51" s="64"/>
      <c r="BB51" s="64"/>
      <c r="BC51" s="64"/>
      <c r="BD51" s="64"/>
      <c r="BE51" s="64"/>
      <c r="BF51" s="64"/>
      <c r="BG51" s="64"/>
      <c r="BH51" s="64"/>
      <c r="BI51" s="64"/>
      <c r="BJ51" s="64"/>
      <c r="BK51" s="64"/>
      <c r="BL51" s="64"/>
      <c r="BM51" s="64"/>
      <c r="BN51" s="64"/>
      <c r="BO51" s="64"/>
      <c r="BP51" s="64"/>
      <c r="BQ51" s="64"/>
      <c r="BR51" s="64"/>
      <c r="BS51" s="64"/>
      <c r="BT51" s="64"/>
      <c r="BU51" s="64"/>
      <c r="BV51" s="64"/>
      <c r="BW51" s="64"/>
      <c r="BX51" s="64"/>
      <c r="BY51" s="64"/>
      <c r="BZ51" s="64"/>
      <c r="CA51" s="64"/>
      <c r="CB51" s="64"/>
      <c r="CC51" s="64"/>
      <c r="CD51" s="64"/>
      <c r="CE51" s="64"/>
      <c r="CF51" s="64"/>
      <c r="CG51" s="64"/>
      <c r="CH51" s="64"/>
      <c r="CI51" s="64"/>
      <c r="CJ51" s="64"/>
      <c r="CK51" s="64"/>
      <c r="CL51" s="64"/>
      <c r="CM51" s="64"/>
      <c r="CN51" s="64"/>
      <c r="CO51" s="64"/>
      <c r="CP51" s="64"/>
      <c r="CQ51" s="64"/>
      <c r="CR51" s="64"/>
      <c r="CS51" s="64"/>
      <c r="CT51" s="64"/>
      <c r="CU51" s="64"/>
      <c r="CV51" s="64"/>
      <c r="CW51" s="64"/>
      <c r="CX51" s="64"/>
      <c r="CY51" s="64"/>
      <c r="CZ51" s="64"/>
      <c r="DA51" s="64"/>
      <c r="DB51" s="64"/>
      <c r="DC51" s="64"/>
      <c r="DD51" s="64"/>
      <c r="DE51" s="64"/>
      <c r="DF51" s="64"/>
      <c r="DG51" s="64"/>
      <c r="DH51" s="64"/>
      <c r="DI51" s="64"/>
      <c r="DJ51" s="64"/>
      <c r="DK51" s="64"/>
      <c r="DL51" s="64"/>
      <c r="DM51" s="64"/>
      <c r="DN51" s="64"/>
      <c r="DO51" s="64"/>
      <c r="DP51" s="64"/>
      <c r="DQ51" s="80"/>
      <c r="DR51" s="80"/>
      <c r="DS51" s="80"/>
      <c r="DT51" s="64"/>
      <c r="DU51" s="64"/>
      <c r="DV51" s="64"/>
      <c r="DW51" s="64"/>
      <c r="DX51" s="64"/>
      <c r="DY51" s="64"/>
      <c r="DZ51" s="64"/>
      <c r="EA51" s="64"/>
      <c r="EB51" s="64"/>
      <c r="EC51" s="64"/>
      <c r="ED51" s="64"/>
      <c r="EE51" s="64"/>
      <c r="EF51" s="64"/>
      <c r="EG51" s="64"/>
      <c r="EH51" s="64"/>
      <c r="EI51" s="64"/>
      <c r="EJ51" s="64"/>
      <c r="EK51" s="64"/>
      <c r="EL51" s="64"/>
      <c r="EM51" s="64"/>
      <c r="EN51" s="64"/>
      <c r="EO51" s="64"/>
      <c r="EP51" s="64"/>
      <c r="EQ51" s="64"/>
      <c r="ER51" s="64"/>
      <c r="ES51" s="64"/>
      <c r="ET51" s="64"/>
      <c r="EU51" s="64"/>
      <c r="EV51" s="64"/>
      <c r="EW51" s="64"/>
      <c r="EX51" s="64"/>
      <c r="EY51" s="64"/>
      <c r="EZ51" s="64"/>
      <c r="FA51" s="64"/>
      <c r="FB51" s="64"/>
      <c r="FC51" s="64"/>
      <c r="FD51" s="64"/>
      <c r="FE51" s="64"/>
      <c r="FF51" s="64"/>
      <c r="FG51" s="64"/>
      <c r="FH51" s="64"/>
      <c r="FI51" s="64"/>
      <c r="FJ51" s="64"/>
      <c r="FK51" s="64"/>
      <c r="FL51" s="64"/>
      <c r="FM51" s="64"/>
      <c r="FN51" s="64"/>
      <c r="FO51" s="64"/>
      <c r="FP51" s="64"/>
      <c r="FQ51" s="64"/>
      <c r="FR51" s="64"/>
      <c r="FS51" s="64"/>
      <c r="FT51" s="64"/>
      <c r="FU51" s="64"/>
      <c r="FV51" s="64"/>
      <c r="FW51" s="64"/>
      <c r="FX51" s="64"/>
      <c r="FY51" s="64"/>
      <c r="FZ51" s="64"/>
      <c r="GA51" s="64"/>
      <c r="GB51" s="64"/>
      <c r="GC51" s="64"/>
      <c r="GD51" s="64"/>
      <c r="GE51" s="64"/>
      <c r="GF51" s="64"/>
      <c r="GG51" s="64"/>
      <c r="GH51" s="64"/>
      <c r="GI51" s="64"/>
      <c r="GJ51" s="64"/>
      <c r="GK51" s="64"/>
      <c r="GL51" s="64"/>
      <c r="GM51" s="64"/>
      <c r="GN51" s="64"/>
      <c r="GO51" s="64"/>
      <c r="GP51" s="64"/>
      <c r="GQ51" s="64"/>
      <c r="GR51" s="64"/>
      <c r="GS51" s="64"/>
      <c r="GT51" s="64"/>
      <c r="GU51" s="64"/>
      <c r="GV51" s="64"/>
      <c r="GW51" s="64"/>
      <c r="GX51" s="64"/>
      <c r="GY51" s="64"/>
      <c r="GZ51" s="64"/>
      <c r="HA51" s="64"/>
      <c r="HB51" s="64"/>
      <c r="HC51" s="64"/>
      <c r="HD51" s="64"/>
      <c r="HE51" s="64"/>
      <c r="HF51" s="64"/>
      <c r="HG51" s="64"/>
      <c r="HH51" s="64"/>
    </row>
    <row r="52" spans="1:216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>
        <f>INDEX(cenník!$C$2:$I$568,MATCH($L52,cenník!$B$2:$B$557,0),MATCH(M$2,cenník!$C$1:$I$1,0))</f>
        <v>898530</v>
      </c>
      <c r="N52" s="11" t="str">
        <f>INDEX(cenník!$C$2:$I$568,MATCH($L52,cenník!$B$2:$B$557,0),MATCH(N$2,cenník!$C$1:$I$1,0))</f>
        <v>ks</v>
      </c>
      <c r="O52" s="11">
        <f>SUM(O50:O51)</f>
        <v>0</v>
      </c>
      <c r="P52" s="36">
        <f>INDEX(cenník!$C$2:$I$568,MATCH($L52,cenník!$B$2:$B$557,0),MATCH(P$2,cenník!$C$1:$I$1,0))</f>
        <v>0.18</v>
      </c>
      <c r="Q52" s="36">
        <f t="shared" si="142"/>
        <v>0</v>
      </c>
      <c r="R52" s="37">
        <f t="shared" si="88"/>
        <v>0</v>
      </c>
      <c r="S52" s="36">
        <f t="shared" si="89"/>
        <v>0.18</v>
      </c>
      <c r="T52" s="36">
        <f t="shared" si="143"/>
        <v>0</v>
      </c>
      <c r="U52" s="36">
        <f>INDEX(cenník!$C$2:$I$568,MATCH($L52,cenník!$B$2:$B$557,0),MATCH(U$2,cenník!$C$1:$I$1,0))*O52</f>
        <v>0</v>
      </c>
      <c r="V52" s="85"/>
      <c r="W52" s="85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85"/>
      <c r="Y52" s="85"/>
      <c r="Z52" s="85"/>
      <c r="AA52" s="64"/>
      <c r="AB52" s="64"/>
      <c r="AC52" s="64"/>
      <c r="AD52" s="64"/>
      <c r="AE52" s="64" t="s">
        <v>425</v>
      </c>
      <c r="AF52" s="64">
        <v>2600</v>
      </c>
      <c r="AG52" s="64"/>
      <c r="AH52" s="64"/>
      <c r="AI52" s="64"/>
      <c r="AJ52" s="64"/>
      <c r="AK52" s="64"/>
      <c r="AL52" s="64"/>
      <c r="AM52" s="64"/>
      <c r="AN52" s="64"/>
      <c r="AO52" s="64"/>
      <c r="AP52" s="64"/>
      <c r="AQ52" s="64"/>
      <c r="AR52" s="64"/>
      <c r="AS52" s="64"/>
      <c r="AT52" s="64"/>
      <c r="AU52" s="64"/>
      <c r="AV52" s="64"/>
      <c r="AW52" s="64"/>
      <c r="AX52" s="64"/>
      <c r="AY52" s="64"/>
      <c r="AZ52" s="64"/>
      <c r="BA52" s="64"/>
      <c r="BB52" s="64"/>
      <c r="BC52" s="64"/>
      <c r="BD52" s="64"/>
      <c r="BE52" s="64"/>
      <c r="BF52" s="64"/>
      <c r="BG52" s="64"/>
      <c r="BH52" s="64"/>
      <c r="BI52" s="64"/>
      <c r="BJ52" s="64"/>
      <c r="BK52" s="64"/>
      <c r="BL52" s="64"/>
      <c r="BM52" s="64"/>
      <c r="BN52" s="64"/>
      <c r="BO52" s="64"/>
      <c r="BP52" s="64"/>
      <c r="BQ52" s="64"/>
      <c r="BR52" s="64"/>
      <c r="BS52" s="64"/>
      <c r="BT52" s="64"/>
      <c r="BU52" s="64"/>
      <c r="BV52" s="64"/>
      <c r="BW52" s="64"/>
      <c r="BX52" s="64"/>
      <c r="BY52" s="64"/>
      <c r="BZ52" s="64"/>
      <c r="CA52" s="64"/>
      <c r="CB52" s="64"/>
      <c r="CC52" s="64"/>
      <c r="CD52" s="64"/>
      <c r="CE52" s="64"/>
      <c r="CF52" s="64"/>
      <c r="CG52" s="64"/>
      <c r="CH52" s="64"/>
      <c r="CI52" s="64"/>
      <c r="CJ52" s="64"/>
      <c r="CK52" s="64"/>
      <c r="CL52" s="64"/>
      <c r="CM52" s="64"/>
      <c r="CN52" s="64"/>
      <c r="CO52" s="64"/>
      <c r="CP52" s="64"/>
      <c r="CQ52" s="64"/>
      <c r="CR52" s="64"/>
      <c r="CS52" s="64"/>
      <c r="CT52" s="64"/>
      <c r="CU52" s="64"/>
      <c r="CV52" s="64"/>
      <c r="CW52" s="64"/>
      <c r="CX52" s="64"/>
      <c r="CY52" s="64"/>
      <c r="CZ52" s="64"/>
      <c r="DA52" s="64"/>
      <c r="DB52" s="64"/>
      <c r="DC52" s="64"/>
      <c r="DD52" s="64"/>
      <c r="DE52" s="64"/>
      <c r="DF52" s="64"/>
      <c r="DG52" s="64"/>
      <c r="DH52" s="64"/>
      <c r="DI52" s="64"/>
      <c r="DJ52" s="64"/>
      <c r="DK52" s="64"/>
      <c r="DL52" s="64"/>
      <c r="DM52" s="64"/>
      <c r="DN52" s="64"/>
      <c r="DO52" s="64"/>
      <c r="DP52" s="64"/>
      <c r="DQ52" s="80"/>
      <c r="DR52" s="80"/>
      <c r="DS52" s="80"/>
      <c r="DT52" s="64"/>
      <c r="DU52" s="64"/>
      <c r="DV52" s="64"/>
      <c r="DW52" s="64"/>
      <c r="DX52" s="64"/>
      <c r="DY52" s="64"/>
      <c r="DZ52" s="64"/>
      <c r="EA52" s="64"/>
      <c r="EB52" s="64"/>
      <c r="EC52" s="64"/>
      <c r="ED52" s="64"/>
      <c r="EE52" s="64"/>
      <c r="EF52" s="64"/>
      <c r="EG52" s="64"/>
      <c r="EH52" s="64"/>
      <c r="EI52" s="64"/>
      <c r="EJ52" s="64"/>
      <c r="EK52" s="64"/>
      <c r="EL52" s="64"/>
      <c r="EM52" s="64"/>
      <c r="EN52" s="64"/>
      <c r="EO52" s="64"/>
      <c r="EP52" s="64"/>
      <c r="EQ52" s="64"/>
      <c r="ER52" s="64"/>
      <c r="ES52" s="64"/>
      <c r="ET52" s="64"/>
      <c r="EU52" s="64"/>
      <c r="EV52" s="64"/>
      <c r="EW52" s="64"/>
      <c r="EX52" s="64"/>
      <c r="EY52" s="64"/>
      <c r="EZ52" s="64"/>
      <c r="FA52" s="64"/>
      <c r="FB52" s="64"/>
      <c r="FC52" s="64"/>
      <c r="FD52" s="64"/>
      <c r="FE52" s="64"/>
      <c r="FF52" s="64"/>
      <c r="FG52" s="64"/>
      <c r="FH52" s="64"/>
      <c r="FI52" s="64"/>
      <c r="FJ52" s="64"/>
      <c r="FK52" s="64"/>
      <c r="FL52" s="64"/>
      <c r="FM52" s="64"/>
      <c r="FN52" s="64"/>
      <c r="FO52" s="64"/>
      <c r="FP52" s="64"/>
      <c r="FQ52" s="64"/>
      <c r="FR52" s="64"/>
      <c r="FS52" s="64"/>
      <c r="FT52" s="64"/>
      <c r="FU52" s="64"/>
      <c r="FV52" s="64"/>
      <c r="FW52" s="64"/>
      <c r="FX52" s="64"/>
      <c r="FY52" s="64"/>
      <c r="FZ52" s="64"/>
      <c r="GA52" s="64"/>
      <c r="GB52" s="64"/>
      <c r="GC52" s="64"/>
      <c r="GD52" s="64"/>
      <c r="GE52" s="64"/>
      <c r="GF52" s="64"/>
      <c r="GG52" s="64"/>
      <c r="GH52" s="64"/>
      <c r="GI52" s="64"/>
      <c r="GJ52" s="64"/>
      <c r="GK52" s="64"/>
      <c r="GL52" s="64"/>
      <c r="GM52" s="64"/>
      <c r="GN52" s="64"/>
      <c r="GO52" s="64"/>
      <c r="GP52" s="64"/>
      <c r="GQ52" s="64"/>
      <c r="GR52" s="64"/>
      <c r="GS52" s="64"/>
      <c r="GT52" s="64"/>
      <c r="GU52" s="64"/>
      <c r="GV52" s="64"/>
      <c r="GW52" s="64"/>
      <c r="GX52" s="64"/>
      <c r="GY52" s="64"/>
      <c r="GZ52" s="64"/>
      <c r="HA52" s="64"/>
      <c r="HB52" s="64"/>
      <c r="HC52" s="64"/>
      <c r="HD52" s="64"/>
      <c r="HE52" s="64"/>
      <c r="HF52" s="64"/>
      <c r="HG52" s="64"/>
      <c r="HH52" s="64"/>
    </row>
    <row r="53" spans="1:216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244</v>
      </c>
      <c r="M53" s="11">
        <f>INDEX(cenník!$C$2:$I$568,MATCH($L53,cenník!$B$2:$B$557,0),MATCH(M$2,cenník!$C$1:$I$1,0))</f>
        <v>166794</v>
      </c>
      <c r="N53" s="11" t="str">
        <f>INDEX(cenník!$C$2:$I$568,MATCH($L53,cenník!$B$2:$B$557,0),MATCH(N$2,cenník!$C$1:$I$1,0))</f>
        <v>100ks</v>
      </c>
      <c r="O53" s="11">
        <f>ROUNDUP(O52/100,0)</f>
        <v>0</v>
      </c>
      <c r="P53" s="36">
        <f>INDEX(cenník!$C$2:$I$568,MATCH($L53,cenník!$B$2:$B$557,0),MATCH(P$2,cenník!$C$1:$I$1,0))</f>
        <v>1.38</v>
      </c>
      <c r="Q53" s="36">
        <f t="shared" si="142"/>
        <v>0</v>
      </c>
      <c r="R53" s="37">
        <f t="shared" si="88"/>
        <v>0</v>
      </c>
      <c r="S53" s="36">
        <f t="shared" si="89"/>
        <v>1.38</v>
      </c>
      <c r="T53" s="36">
        <f t="shared" si="143"/>
        <v>0</v>
      </c>
      <c r="U53" s="36">
        <f>INDEX(cenník!$C$2:$I$568,MATCH($L53,cenník!$B$2:$B$557,0),MATCH(U$2,cenník!$C$1:$I$1,0))*O53</f>
        <v>0</v>
      </c>
      <c r="V53" s="85"/>
      <c r="W53" s="85"/>
      <c r="X53" s="85"/>
      <c r="Y53" s="85"/>
      <c r="Z53" s="85"/>
      <c r="AA53" s="64"/>
      <c r="AB53" s="64"/>
      <c r="AC53" s="64"/>
      <c r="AD53" s="64"/>
      <c r="AE53" s="64"/>
      <c r="AF53" s="64"/>
      <c r="AG53" s="64"/>
      <c r="AH53" s="64"/>
      <c r="AI53" s="64"/>
      <c r="AJ53" s="64"/>
      <c r="AK53" s="64"/>
      <c r="AL53" s="64"/>
      <c r="AM53" s="64"/>
      <c r="AN53" s="64"/>
      <c r="AO53" s="64"/>
      <c r="AP53" s="64"/>
      <c r="AQ53" s="64"/>
      <c r="AR53" s="64"/>
      <c r="AS53" s="64"/>
      <c r="AT53" s="64"/>
      <c r="AU53" s="64"/>
      <c r="AV53" s="64"/>
      <c r="AW53" s="64"/>
      <c r="AX53" s="64"/>
      <c r="AY53" s="64"/>
      <c r="AZ53" s="64"/>
      <c r="BA53" s="64"/>
      <c r="BB53" s="64"/>
      <c r="BC53" s="64"/>
      <c r="BD53" s="64"/>
      <c r="BE53" s="64"/>
      <c r="BF53" s="64"/>
      <c r="BG53" s="64"/>
      <c r="BH53" s="64"/>
      <c r="BI53" s="64"/>
      <c r="BJ53" s="64"/>
      <c r="BK53" s="64"/>
      <c r="BL53" s="64"/>
      <c r="BM53" s="64"/>
      <c r="BN53" s="64"/>
      <c r="BO53" s="64"/>
      <c r="BP53" s="64"/>
      <c r="BQ53" s="64"/>
      <c r="BR53" s="64"/>
      <c r="BS53" s="64"/>
      <c r="BT53" s="64"/>
      <c r="BU53" s="64"/>
      <c r="BV53" s="64"/>
      <c r="BW53" s="64"/>
      <c r="BX53" s="64"/>
      <c r="BY53" s="64"/>
      <c r="BZ53" s="64"/>
      <c r="CA53" s="64"/>
      <c r="CB53" s="64"/>
      <c r="CC53" s="64"/>
      <c r="CD53" s="64"/>
      <c r="CE53" s="64"/>
      <c r="CF53" s="64"/>
      <c r="CG53" s="64"/>
      <c r="CH53" s="64"/>
      <c r="CI53" s="64"/>
      <c r="CJ53" s="64"/>
      <c r="CK53" s="64"/>
      <c r="CL53" s="64"/>
      <c r="CM53" s="64"/>
      <c r="CN53" s="64"/>
      <c r="CO53" s="64"/>
      <c r="CP53" s="64"/>
      <c r="CQ53" s="64"/>
      <c r="CR53" s="64"/>
      <c r="CS53" s="64"/>
      <c r="CT53" s="64"/>
      <c r="CU53" s="64"/>
      <c r="CV53" s="64"/>
      <c r="CW53" s="64"/>
      <c r="CX53" s="64"/>
      <c r="CY53" s="64"/>
      <c r="CZ53" s="64"/>
      <c r="DA53" s="64"/>
      <c r="DB53" s="64"/>
      <c r="DC53" s="64"/>
      <c r="DD53" s="64"/>
      <c r="DE53" s="64"/>
      <c r="DF53" s="64"/>
      <c r="DG53" s="64"/>
      <c r="DH53" s="64"/>
      <c r="DI53" s="64"/>
      <c r="DJ53" s="64"/>
      <c r="DK53" s="64"/>
      <c r="DL53" s="64"/>
      <c r="DM53" s="64"/>
      <c r="DN53" s="64"/>
      <c r="DO53" s="64"/>
      <c r="DP53" s="64"/>
      <c r="DQ53" s="80"/>
      <c r="DR53" s="80"/>
      <c r="DS53" s="80"/>
      <c r="DT53" s="64"/>
      <c r="DU53" s="64"/>
      <c r="DV53" s="64"/>
      <c r="DW53" s="64"/>
      <c r="DX53" s="64"/>
      <c r="DY53" s="64"/>
      <c r="DZ53" s="64"/>
      <c r="EA53" s="64"/>
      <c r="EB53" s="64"/>
      <c r="EC53" s="64"/>
      <c r="ED53" s="64"/>
      <c r="EE53" s="64"/>
      <c r="EF53" s="64"/>
      <c r="EG53" s="64"/>
      <c r="EH53" s="64"/>
      <c r="EI53" s="64"/>
      <c r="EJ53" s="64"/>
      <c r="EK53" s="64"/>
      <c r="EL53" s="64"/>
      <c r="EM53" s="64"/>
      <c r="EN53" s="64"/>
      <c r="EO53" s="64"/>
      <c r="EP53" s="64"/>
      <c r="EQ53" s="64"/>
      <c r="ER53" s="64"/>
      <c r="ES53" s="64"/>
      <c r="ET53" s="64"/>
      <c r="EU53" s="64"/>
      <c r="EV53" s="64"/>
      <c r="EW53" s="64"/>
      <c r="EX53" s="64"/>
      <c r="EY53" s="64"/>
      <c r="EZ53" s="64"/>
      <c r="FA53" s="64"/>
      <c r="FB53" s="64"/>
      <c r="FC53" s="64"/>
      <c r="FD53" s="64"/>
      <c r="FE53" s="64"/>
      <c r="FF53" s="64"/>
      <c r="FG53" s="64"/>
      <c r="FH53" s="64"/>
      <c r="FI53" s="64"/>
      <c r="FJ53" s="64"/>
      <c r="FK53" s="64"/>
      <c r="FL53" s="64"/>
      <c r="FM53" s="64"/>
      <c r="FN53" s="64"/>
      <c r="FO53" s="64"/>
      <c r="FP53" s="64"/>
      <c r="FQ53" s="64"/>
      <c r="FR53" s="64"/>
      <c r="FS53" s="64"/>
      <c r="FT53" s="64"/>
      <c r="FU53" s="64"/>
      <c r="FV53" s="64"/>
      <c r="FW53" s="64"/>
      <c r="FX53" s="64"/>
      <c r="FY53" s="64"/>
      <c r="FZ53" s="64"/>
      <c r="GA53" s="64"/>
      <c r="GB53" s="64"/>
      <c r="GC53" s="64"/>
      <c r="GD53" s="64"/>
      <c r="GE53" s="64"/>
      <c r="GF53" s="64"/>
      <c r="GG53" s="64"/>
      <c r="GH53" s="64"/>
      <c r="GI53" s="64"/>
      <c r="GJ53" s="64"/>
      <c r="GK53" s="64"/>
      <c r="GL53" s="64"/>
      <c r="GM53" s="64"/>
      <c r="GN53" s="64"/>
      <c r="GO53" s="64"/>
      <c r="GP53" s="64"/>
      <c r="GQ53" s="64"/>
      <c r="GR53" s="64"/>
      <c r="GS53" s="64"/>
      <c r="GT53" s="64"/>
      <c r="GU53" s="64"/>
      <c r="GV53" s="64"/>
      <c r="GW53" s="64"/>
      <c r="GX53" s="64"/>
      <c r="GY53" s="64"/>
      <c r="GZ53" s="64"/>
      <c r="HA53" s="64"/>
      <c r="HB53" s="64"/>
      <c r="HC53" s="64"/>
      <c r="HD53" s="64"/>
      <c r="HE53" s="64"/>
      <c r="HF53" s="64"/>
      <c r="HG53" s="64"/>
      <c r="HH53" s="64"/>
    </row>
    <row r="54" spans="1:216" ht="15.75" thickBo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243</v>
      </c>
      <c r="M54" s="11">
        <f>INDEX(cenník!$C$2:$I$568,MATCH($L54,cenník!$B$2:$B$557,0),MATCH(M$2,cenník!$C$1:$I$1,0))</f>
        <v>660245</v>
      </c>
      <c r="N54" s="11" t="str">
        <f>INDEX(cenník!$C$2:$I$568,MATCH($L54,cenník!$B$2:$B$557,0),MATCH(N$2,cenník!$C$1:$I$1,0))</f>
        <v>ks</v>
      </c>
      <c r="O54" s="11">
        <f>O52</f>
        <v>0</v>
      </c>
      <c r="P54" s="36">
        <f>INDEX(cenník!$C$2:$I$568,MATCH($L54,cenník!$B$2:$B$557,0),MATCH(P$2,cenník!$C$1:$I$1,0))</f>
        <v>0.55000000000000004</v>
      </c>
      <c r="Q54" s="36">
        <f t="shared" si="142"/>
        <v>0</v>
      </c>
      <c r="R54" s="37">
        <f t="shared" si="88"/>
        <v>0</v>
      </c>
      <c r="S54" s="36">
        <f t="shared" si="89"/>
        <v>0.55000000000000004</v>
      </c>
      <c r="T54" s="36">
        <f t="shared" si="143"/>
        <v>0</v>
      </c>
      <c r="U54" s="36">
        <f>INDEX(cenník!$C$2:$I$568,MATCH($L54,cenník!$B$2:$B$557,0),MATCH(U$2,cenník!$C$1:$I$1,0))*O54</f>
        <v>0</v>
      </c>
      <c r="V54" s="85"/>
      <c r="W54" s="85"/>
      <c r="X54" s="85"/>
      <c r="Y54" s="85"/>
      <c r="Z54" s="64"/>
      <c r="AA54" s="64"/>
      <c r="AB54" s="64"/>
      <c r="AC54" s="87"/>
      <c r="AD54" s="64"/>
      <c r="AE54" s="64"/>
      <c r="AF54" s="64"/>
      <c r="AG54" s="64"/>
      <c r="AH54" s="64"/>
      <c r="AI54" s="64"/>
      <c r="AJ54" s="64"/>
      <c r="AK54" s="64"/>
      <c r="AL54" s="64"/>
      <c r="AM54" s="64"/>
      <c r="AN54" s="64"/>
      <c r="AO54" s="64"/>
      <c r="AP54" s="64"/>
      <c r="AQ54" s="64"/>
      <c r="AR54" s="83" t="s">
        <v>340</v>
      </c>
      <c r="AS54" s="64"/>
      <c r="AT54" s="64"/>
      <c r="AU54" s="64"/>
      <c r="AV54" s="64"/>
      <c r="AW54" s="64"/>
      <c r="AX54" s="64"/>
      <c r="AY54" s="64"/>
      <c r="AZ54" s="64"/>
      <c r="BA54" s="64"/>
      <c r="BB54" s="64"/>
      <c r="BC54" s="64"/>
      <c r="BD54" s="64"/>
      <c r="BE54" s="64"/>
      <c r="BF54" s="64"/>
      <c r="BG54" s="64"/>
      <c r="BH54" s="64"/>
      <c r="BI54" s="64"/>
      <c r="BJ54" s="64"/>
      <c r="BK54" s="64"/>
      <c r="BL54" s="64"/>
      <c r="BM54" s="64"/>
      <c r="BN54" s="64"/>
      <c r="BO54" s="64"/>
      <c r="BP54" s="64"/>
      <c r="BQ54" s="64"/>
      <c r="BR54" s="64"/>
      <c r="BS54" s="64"/>
      <c r="BT54" s="64"/>
      <c r="BU54" s="64"/>
      <c r="BV54" s="64"/>
      <c r="BW54" s="64"/>
      <c r="BX54" s="64"/>
      <c r="BY54" s="64"/>
      <c r="BZ54" s="64"/>
      <c r="CA54" s="64"/>
      <c r="CB54" s="64"/>
      <c r="CC54" s="64"/>
      <c r="CD54" s="64"/>
      <c r="CE54" s="64"/>
      <c r="CF54" s="64"/>
      <c r="CG54" s="64"/>
      <c r="CH54" s="64"/>
      <c r="CI54" s="64"/>
      <c r="CJ54" s="64"/>
      <c r="CK54" s="64"/>
      <c r="CL54" s="64"/>
      <c r="CM54" s="64"/>
      <c r="CN54" s="64"/>
      <c r="CO54" s="64"/>
      <c r="CP54" s="64"/>
      <c r="CQ54" s="64"/>
      <c r="CR54" s="64"/>
      <c r="CS54" s="64"/>
      <c r="CT54" s="64"/>
      <c r="CU54" s="64"/>
      <c r="CV54" s="64"/>
      <c r="CW54" s="64"/>
      <c r="CX54" s="64"/>
      <c r="CY54" s="64"/>
      <c r="CZ54" s="64"/>
      <c r="DA54" s="64"/>
      <c r="DB54" s="64"/>
      <c r="DC54" s="64"/>
      <c r="DD54" s="64"/>
      <c r="DE54" s="64"/>
      <c r="DF54" s="64"/>
      <c r="DG54" s="64"/>
      <c r="DH54" s="64"/>
      <c r="DI54" s="64"/>
      <c r="DJ54" s="64"/>
      <c r="DK54" s="64"/>
      <c r="DL54" s="64"/>
      <c r="DM54" s="64"/>
      <c r="DN54" s="64"/>
      <c r="DO54" s="64"/>
      <c r="DP54" s="64"/>
      <c r="DQ54" s="80"/>
      <c r="DR54" s="80"/>
      <c r="DS54" s="80"/>
      <c r="DT54" s="64"/>
      <c r="DU54" s="64"/>
      <c r="DV54" s="64"/>
      <c r="DW54" s="64"/>
      <c r="DX54" s="64"/>
      <c r="DY54" s="64"/>
      <c r="DZ54" s="64"/>
      <c r="EA54" s="64"/>
      <c r="EB54" s="64"/>
      <c r="EC54" s="64"/>
      <c r="ED54" s="64"/>
      <c r="EE54" s="64"/>
      <c r="EF54" s="64"/>
      <c r="EG54" s="64"/>
      <c r="EH54" s="64"/>
      <c r="EI54" s="64"/>
      <c r="EJ54" s="64"/>
      <c r="EK54" s="64"/>
      <c r="EL54" s="64"/>
      <c r="EM54" s="64"/>
      <c r="EN54" s="64"/>
      <c r="EO54" s="64"/>
      <c r="EP54" s="64"/>
      <c r="EQ54" s="64"/>
      <c r="ER54" s="64"/>
      <c r="ES54" s="64"/>
      <c r="ET54" s="64"/>
      <c r="EU54" s="64"/>
      <c r="EV54" s="64"/>
      <c r="EW54" s="64"/>
      <c r="EX54" s="64"/>
      <c r="EY54" s="64"/>
      <c r="EZ54" s="64"/>
      <c r="FA54" s="64"/>
      <c r="FB54" s="64"/>
      <c r="FC54" s="64"/>
      <c r="FD54" s="64"/>
      <c r="FE54" s="64"/>
      <c r="FF54" s="64"/>
      <c r="FG54" s="64"/>
      <c r="FH54" s="64"/>
      <c r="FI54" s="64"/>
      <c r="FJ54" s="64"/>
      <c r="FK54" s="64"/>
      <c r="FL54" s="64"/>
      <c r="FM54" s="64"/>
      <c r="FN54" s="64"/>
      <c r="FO54" s="64"/>
      <c r="FP54" s="64"/>
      <c r="FQ54" s="64"/>
      <c r="FR54" s="64"/>
      <c r="FS54" s="64"/>
      <c r="FT54" s="64"/>
      <c r="FU54" s="64"/>
      <c r="FV54" s="64"/>
      <c r="FW54" s="64"/>
      <c r="FX54" s="64"/>
      <c r="FY54" s="64"/>
      <c r="FZ54" s="64"/>
      <c r="GA54" s="64"/>
      <c r="GB54" s="64"/>
      <c r="GC54" s="64"/>
      <c r="GD54" s="64"/>
      <c r="GE54" s="64"/>
      <c r="GF54" s="64"/>
      <c r="GG54" s="64"/>
      <c r="GH54" s="64"/>
      <c r="GI54" s="64"/>
      <c r="GJ54" s="64"/>
      <c r="GK54" s="64"/>
      <c r="GL54" s="64"/>
      <c r="GM54" s="64"/>
      <c r="GN54" s="64"/>
      <c r="GO54" s="64"/>
      <c r="GP54" s="64"/>
      <c r="GQ54" s="64"/>
      <c r="GR54" s="64"/>
      <c r="GS54" s="64"/>
      <c r="GT54" s="64"/>
      <c r="GU54" s="64"/>
      <c r="GV54" s="64"/>
      <c r="GW54" s="64"/>
      <c r="GX54" s="64"/>
      <c r="GY54" s="64"/>
      <c r="GZ54" s="64"/>
      <c r="HA54" s="64"/>
      <c r="HB54" s="64"/>
      <c r="HC54" s="64"/>
      <c r="HD54" s="64"/>
      <c r="HE54" s="64"/>
      <c r="HF54" s="64"/>
      <c r="HG54" s="64"/>
      <c r="HH54" s="64"/>
    </row>
    <row r="55" spans="1:216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371</v>
      </c>
      <c r="M55" s="11">
        <f>INDEX(cenník!$C$2:$I$568,MATCH($L55,cenník!$B$2:$B$557,0),MATCH(M$2,cenník!$C$1:$I$1,0))</f>
        <v>6510443</v>
      </c>
      <c r="N55" s="11" t="str">
        <f>INDEX(cenník!$C$2:$I$568,MATCH($L55,cenník!$B$2:$B$557,0),MATCH(N$2,cenník!$C$1:$I$1,0))</f>
        <v>100ks</v>
      </c>
      <c r="O55" s="11">
        <f>O56</f>
        <v>0</v>
      </c>
      <c r="P55" s="36">
        <f>INDEX(cenník!$C$2:$I$568,MATCH($L55,cenník!$B$2:$B$557,0),MATCH(P$2,cenník!$C$1:$I$1,0))</f>
        <v>15.05</v>
      </c>
      <c r="Q55" s="36">
        <f t="shared" ref="Q55" si="148">O55*P55</f>
        <v>0</v>
      </c>
      <c r="R55" s="37">
        <f t="shared" si="88"/>
        <v>0</v>
      </c>
      <c r="S55" s="36">
        <f t="shared" si="89"/>
        <v>15.05</v>
      </c>
      <c r="T55" s="36">
        <f t="shared" ref="T55" si="149">O55*S55</f>
        <v>0</v>
      </c>
      <c r="U55" s="36">
        <f>INDEX(cenník!$C$2:$I$568,MATCH($L55,cenník!$B$2:$B$557,0),MATCH(U$2,cenník!$C$1:$I$1,0))*O55</f>
        <v>0</v>
      </c>
      <c r="V55" s="64"/>
      <c r="W55" s="64"/>
      <c r="X55" s="64"/>
      <c r="Y55" s="64"/>
      <c r="Z55" s="64"/>
      <c r="AA55" s="64"/>
      <c r="AB55" s="64"/>
      <c r="AC55" s="64"/>
      <c r="AD55" s="64"/>
      <c r="AE55" s="64"/>
      <c r="AF55" s="64"/>
      <c r="AG55" s="64"/>
      <c r="AH55" s="64"/>
      <c r="AI55" s="64"/>
      <c r="AJ55" s="64"/>
      <c r="AK55" s="64"/>
      <c r="AL55" s="64"/>
      <c r="AM55" s="64"/>
      <c r="AN55" s="64"/>
      <c r="AO55" s="64"/>
      <c r="AP55" s="64"/>
      <c r="AQ55" s="64"/>
      <c r="AR55" s="64"/>
      <c r="AS55" s="64" t="s">
        <v>515</v>
      </c>
      <c r="AT55" s="64" t="s">
        <v>516</v>
      </c>
      <c r="AU55" s="64" t="s">
        <v>483</v>
      </c>
      <c r="AV55" s="64" t="s">
        <v>517</v>
      </c>
      <c r="AW55" s="64"/>
      <c r="AX55" s="64"/>
      <c r="AY55" s="64"/>
      <c r="AZ55" s="64"/>
      <c r="BA55" s="64"/>
      <c r="BB55" s="64"/>
      <c r="BC55" s="64"/>
      <c r="BD55" s="64"/>
      <c r="BE55" s="64"/>
      <c r="BF55" s="64"/>
      <c r="BG55" s="64"/>
      <c r="BH55" s="64"/>
      <c r="BI55" s="64"/>
      <c r="BJ55" s="64"/>
      <c r="BK55" s="64"/>
      <c r="BL55" s="64"/>
      <c r="BM55" s="64"/>
      <c r="BN55" s="64"/>
      <c r="BO55" s="64"/>
      <c r="BP55" s="64"/>
      <c r="BQ55" s="64"/>
      <c r="BR55" s="64"/>
      <c r="BS55" s="64"/>
      <c r="BT55" s="64"/>
      <c r="BU55" s="64"/>
      <c r="BV55" s="64"/>
      <c r="BW55" s="64"/>
      <c r="BX55" s="64"/>
      <c r="BY55" s="64"/>
      <c r="BZ55" s="64"/>
      <c r="CA55" s="64"/>
      <c r="CB55" s="64"/>
      <c r="CC55" s="64"/>
      <c r="CD55" s="64"/>
      <c r="CE55" s="64"/>
      <c r="CF55" s="64"/>
      <c r="CG55" s="64"/>
      <c r="CH55" s="64"/>
      <c r="CI55" s="64"/>
      <c r="CJ55" s="64"/>
      <c r="CK55" s="64"/>
      <c r="CL55" s="64"/>
      <c r="CM55" s="64"/>
      <c r="CN55" s="64"/>
      <c r="CO55" s="64"/>
      <c r="CP55" s="64"/>
      <c r="CQ55" s="64"/>
      <c r="CR55" s="64"/>
      <c r="CS55" s="64"/>
      <c r="CT55" s="64"/>
      <c r="CU55" s="64"/>
      <c r="CV55" s="64"/>
      <c r="CW55" s="64"/>
      <c r="CX55" s="64"/>
      <c r="CY55" s="64"/>
      <c r="CZ55" s="64"/>
      <c r="DA55" s="64"/>
      <c r="DB55" s="64"/>
      <c r="DC55" s="64"/>
      <c r="DD55" s="64"/>
      <c r="DE55" s="64"/>
      <c r="DF55" s="64"/>
      <c r="DG55" s="64"/>
      <c r="DH55" s="64"/>
      <c r="DI55" s="64"/>
      <c r="DJ55" s="64"/>
      <c r="DK55" s="64"/>
      <c r="DL55" s="64"/>
      <c r="DM55" s="64"/>
      <c r="DN55" s="64"/>
      <c r="DO55" s="64"/>
      <c r="DP55" s="64"/>
      <c r="DQ55" s="80"/>
      <c r="DR55" s="80"/>
      <c r="DS55" s="80"/>
      <c r="DT55" s="64"/>
      <c r="DU55" s="64"/>
      <c r="DV55" s="64"/>
      <c r="DW55" s="64"/>
      <c r="DX55" s="64"/>
      <c r="DY55" s="64"/>
      <c r="DZ55" s="64"/>
      <c r="EA55" s="64"/>
      <c r="EB55" s="64"/>
      <c r="EC55" s="64"/>
      <c r="ED55" s="64"/>
      <c r="EE55" s="64"/>
      <c r="EF55" s="64"/>
      <c r="EG55" s="64"/>
      <c r="EH55" s="64"/>
      <c r="EI55" s="64"/>
      <c r="EJ55" s="65" t="s">
        <v>361</v>
      </c>
      <c r="EK55" s="66"/>
      <c r="EL55" s="66"/>
      <c r="EM55" s="66"/>
      <c r="EN55" s="66"/>
      <c r="EO55" s="66"/>
      <c r="EP55" s="66"/>
      <c r="EQ55" s="66"/>
      <c r="ER55" s="66"/>
      <c r="ES55" s="66"/>
      <c r="ET55" s="66"/>
      <c r="EU55" s="66"/>
      <c r="EV55" s="66"/>
      <c r="EW55" s="66"/>
      <c r="EX55" s="66"/>
      <c r="EY55" s="66"/>
      <c r="EZ55" s="66"/>
      <c r="FA55" s="66"/>
      <c r="FB55" s="66"/>
      <c r="FC55" s="66"/>
      <c r="FD55" s="66"/>
      <c r="FE55" s="66"/>
      <c r="FF55" s="66"/>
      <c r="FG55" s="66"/>
      <c r="FH55" s="66"/>
      <c r="FI55" s="66"/>
      <c r="FJ55" s="66"/>
      <c r="FK55" s="66"/>
      <c r="FL55" s="66"/>
      <c r="FM55" s="66"/>
      <c r="FN55" s="66"/>
      <c r="FO55" s="66"/>
      <c r="FP55" s="66"/>
      <c r="FQ55" s="66"/>
      <c r="FR55" s="66"/>
      <c r="FS55" s="66"/>
      <c r="FT55" s="66"/>
      <c r="FU55" s="66"/>
      <c r="FV55" s="66"/>
      <c r="FW55" s="66"/>
      <c r="FX55" s="66"/>
      <c r="FY55" s="66"/>
      <c r="FZ55" s="66"/>
      <c r="GA55" s="66"/>
      <c r="GB55" s="66"/>
      <c r="GC55" s="66"/>
      <c r="GD55" s="66"/>
      <c r="GE55" s="66"/>
      <c r="GF55" s="66"/>
      <c r="GG55" s="66"/>
      <c r="GH55" s="66"/>
      <c r="GI55" s="66"/>
      <c r="GJ55" s="66"/>
      <c r="GK55" s="66"/>
      <c r="GL55" s="66"/>
      <c r="GM55" s="66"/>
      <c r="GN55" s="66"/>
      <c r="GO55" s="66"/>
      <c r="GP55" s="66"/>
      <c r="GQ55" s="66"/>
      <c r="GR55" s="66"/>
      <c r="GS55" s="66"/>
      <c r="GT55" s="66"/>
      <c r="GU55" s="66"/>
      <c r="GV55" s="66"/>
      <c r="GW55" s="66"/>
      <c r="GX55" s="66"/>
      <c r="GY55" s="66"/>
      <c r="GZ55" s="66"/>
      <c r="HA55" s="66"/>
      <c r="HB55" s="66"/>
      <c r="HC55" s="66"/>
      <c r="HD55" s="66"/>
      <c r="HE55" s="66"/>
      <c r="HF55" s="66"/>
      <c r="HG55" s="67"/>
      <c r="HH55" s="64"/>
    </row>
    <row r="56" spans="1:216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150</v>
      </c>
      <c r="M56" s="11">
        <f>INDEX(cenník!$C$2:$I$568,MATCH($L56,cenník!$B$2:$B$557,0),MATCH(M$2,cenník!$C$1:$I$1,0))</f>
        <v>651643</v>
      </c>
      <c r="N56" s="11" t="str">
        <f>INDEX(cenník!$C$2:$I$568,MATCH($L56,cenník!$B$2:$B$557,0),MATCH(N$2,cenník!$C$1:$I$1,0))</f>
        <v>100ks</v>
      </c>
      <c r="O56" s="11">
        <f>ROUNDUP(((O37*13)+(O44*2)+(O62*2)+(O49*4)+(O36*9)+(O58*2)+E40+(O40*12)+(O43*3)+(O63*2))/100,0)</f>
        <v>0</v>
      </c>
      <c r="P56" s="36">
        <f>INDEX(cenník!$C$2:$I$568,MATCH($L56,cenník!$B$2:$B$557,0),MATCH(P$2,cenník!$C$1:$I$1,0))</f>
        <v>49.87</v>
      </c>
      <c r="Q56" s="36">
        <f t="shared" si="142"/>
        <v>0</v>
      </c>
      <c r="R56" s="37">
        <f t="shared" si="88"/>
        <v>0</v>
      </c>
      <c r="S56" s="36">
        <f t="shared" si="89"/>
        <v>49.87</v>
      </c>
      <c r="T56" s="36">
        <f t="shared" si="143"/>
        <v>0</v>
      </c>
      <c r="U56" s="36">
        <f>INDEX(cenník!$C$2:$I$568,MATCH($L56,cenník!$B$2:$B$557,0),MATCH(U$2,cenník!$C$1:$I$1,0))*O56</f>
        <v>0</v>
      </c>
      <c r="V56" s="82"/>
      <c r="AG56" s="64"/>
      <c r="AH56" s="64"/>
      <c r="AI56" s="64"/>
      <c r="AJ56" s="64"/>
      <c r="AK56" s="64"/>
      <c r="AL56" s="64"/>
      <c r="AM56" s="64"/>
      <c r="AN56" s="64"/>
      <c r="AO56" s="64"/>
      <c r="AP56" s="64"/>
      <c r="AQ56" s="64"/>
      <c r="AR56" s="64" t="s">
        <v>59</v>
      </c>
      <c r="AS56" s="64" t="s">
        <v>293</v>
      </c>
      <c r="AT56" s="64" t="s">
        <v>291</v>
      </c>
      <c r="AU56" s="64" t="s">
        <v>290</v>
      </c>
      <c r="AV56" s="64" t="s">
        <v>290</v>
      </c>
      <c r="AW56" s="64"/>
      <c r="AX56" s="64"/>
      <c r="AY56" s="64"/>
      <c r="AZ56" s="64"/>
      <c r="BA56" s="64"/>
      <c r="BB56" s="64"/>
      <c r="BC56" s="64"/>
      <c r="BD56" s="64"/>
      <c r="BE56" s="64"/>
      <c r="BF56" s="64"/>
      <c r="BG56" s="64"/>
      <c r="BH56" s="64"/>
      <c r="BI56" s="64"/>
      <c r="BJ56" s="64"/>
      <c r="BK56" s="64"/>
      <c r="BL56" s="64"/>
      <c r="BM56" s="64"/>
      <c r="BN56" s="64"/>
      <c r="BO56" s="64"/>
      <c r="BP56" s="64"/>
      <c r="BQ56" s="64"/>
      <c r="BR56" s="64"/>
      <c r="BS56" s="64"/>
      <c r="BT56" s="64"/>
      <c r="BU56" s="64"/>
      <c r="BV56" s="64"/>
      <c r="BW56" s="64"/>
      <c r="BX56" s="64"/>
      <c r="BY56" s="64"/>
      <c r="BZ56" s="64"/>
      <c r="CA56" s="64"/>
      <c r="CB56" s="64"/>
      <c r="CC56" s="64"/>
      <c r="CD56" s="64"/>
      <c r="CE56" s="64"/>
      <c r="CF56" s="64"/>
      <c r="CG56" s="64"/>
      <c r="CH56" s="64"/>
      <c r="CI56" s="64"/>
      <c r="CJ56" s="64"/>
      <c r="CK56" s="64"/>
      <c r="CL56" s="64"/>
      <c r="CM56" s="64"/>
      <c r="CN56" s="64"/>
      <c r="CO56" s="64"/>
      <c r="CP56" s="64"/>
      <c r="CQ56" s="64"/>
      <c r="CR56" s="64"/>
      <c r="CS56" s="64"/>
      <c r="CT56" s="64"/>
      <c r="CU56" s="64"/>
      <c r="CV56" s="64"/>
      <c r="CW56" s="64"/>
      <c r="CX56" s="64"/>
      <c r="CY56" s="64"/>
      <c r="CZ56" s="64"/>
      <c r="DA56" s="64"/>
      <c r="DB56" s="64"/>
      <c r="DC56" s="64"/>
      <c r="DD56" s="64"/>
      <c r="DE56" s="64"/>
      <c r="DF56" s="64"/>
      <c r="DG56" s="64"/>
      <c r="DH56" s="64"/>
      <c r="DI56" s="64"/>
      <c r="DJ56" s="64"/>
      <c r="DK56" s="64"/>
      <c r="DL56" s="64"/>
      <c r="DM56" s="64"/>
      <c r="DN56" s="64"/>
      <c r="DO56" s="64"/>
      <c r="DP56" s="64"/>
      <c r="DQ56" s="80"/>
      <c r="DR56" s="80">
        <v>0</v>
      </c>
      <c r="DS56" s="80"/>
      <c r="DT56" s="64"/>
      <c r="DU56" s="64"/>
      <c r="DV56" s="64"/>
      <c r="DW56" s="64"/>
      <c r="DX56" s="64"/>
      <c r="DY56" s="64"/>
      <c r="DZ56" s="64"/>
      <c r="EA56" s="64"/>
      <c r="EB56" s="64"/>
      <c r="EC56" s="64"/>
      <c r="ED56" s="64"/>
      <c r="EE56" s="64"/>
      <c r="EF56" s="64"/>
      <c r="EG56" s="64"/>
      <c r="EH56" s="64"/>
      <c r="EI56" s="64"/>
      <c r="EJ56" s="69"/>
      <c r="EK56" s="64"/>
      <c r="EL56" s="64"/>
      <c r="EM56" s="64"/>
      <c r="EN56" s="64"/>
      <c r="EO56" s="64"/>
      <c r="EP56" s="64"/>
      <c r="EQ56" s="64"/>
      <c r="ER56" s="64"/>
      <c r="ES56" s="64"/>
      <c r="ET56" s="64"/>
      <c r="EU56" s="64"/>
      <c r="EV56" s="64"/>
      <c r="EW56" s="64"/>
      <c r="EX56" s="64"/>
      <c r="EY56" s="64"/>
      <c r="EZ56" s="64"/>
      <c r="FA56" s="64"/>
      <c r="FB56" s="64"/>
      <c r="FC56" s="64"/>
      <c r="FD56" s="64"/>
      <c r="FE56" s="64"/>
      <c r="FF56" s="64"/>
      <c r="FG56" s="64"/>
      <c r="FH56" s="64"/>
      <c r="FI56" s="64"/>
      <c r="FJ56" s="64"/>
      <c r="FK56" s="64"/>
      <c r="FL56" s="64"/>
      <c r="FM56" s="64"/>
      <c r="FN56" s="64"/>
      <c r="FO56" s="64"/>
      <c r="FP56" s="64"/>
      <c r="FQ56" s="64"/>
      <c r="FR56" s="64"/>
      <c r="FS56" s="64"/>
      <c r="FT56" s="64"/>
      <c r="FU56" s="64"/>
      <c r="FV56" s="64"/>
      <c r="FW56" s="64"/>
      <c r="FX56" s="64"/>
      <c r="FY56" s="64"/>
      <c r="FZ56" s="64"/>
      <c r="GA56" s="64"/>
      <c r="GB56" s="64"/>
      <c r="GC56" s="64"/>
      <c r="GD56" s="64"/>
      <c r="GE56" s="64"/>
      <c r="GF56" s="64"/>
      <c r="GG56" s="64"/>
      <c r="GH56" s="64"/>
      <c r="GI56" s="64"/>
      <c r="GJ56" s="64"/>
      <c r="GK56" s="64"/>
      <c r="GL56" s="64"/>
      <c r="GM56" s="64"/>
      <c r="GN56" s="64"/>
      <c r="GO56" s="64"/>
      <c r="GP56" s="64"/>
      <c r="GQ56" s="64"/>
      <c r="GR56" s="64"/>
      <c r="GS56" s="64"/>
      <c r="GT56" s="64"/>
      <c r="GU56" s="64"/>
      <c r="GV56" s="64"/>
      <c r="GW56" s="64"/>
      <c r="GX56" s="64"/>
      <c r="GY56" s="64"/>
      <c r="GZ56" s="64"/>
      <c r="HA56" s="64"/>
      <c r="HB56" s="64"/>
      <c r="HC56" s="64"/>
      <c r="HD56" s="64"/>
      <c r="HE56" s="64"/>
      <c r="HF56" s="64"/>
      <c r="HG56" s="70"/>
      <c r="HH56" s="64"/>
    </row>
    <row r="57" spans="1:216" x14ac:dyDescent="0.2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65</v>
      </c>
      <c r="M57" s="11">
        <f>INDEX(cenník!$C$2:$I$568,MATCH($L57,cenník!$B$2:$B$557,0),MATCH(M$2,cenník!$C$1:$I$1,0))</f>
        <v>897303</v>
      </c>
      <c r="N57" s="11" t="str">
        <f>INDEX(cenník!$C$2:$I$568,MATCH($L57,cenník!$B$2:$B$557,0),MATCH(N$2,cenník!$C$1:$I$1,0))</f>
        <v>ks</v>
      </c>
      <c r="O57" s="11">
        <f>0.25*SUM(O50:O51)</f>
        <v>0</v>
      </c>
      <c r="P57" s="36">
        <f>INDEX(cenník!$C$2:$I$568,MATCH($L57,cenník!$B$2:$B$557,0),MATCH(P$2,cenník!$C$1:$I$1,0))</f>
        <v>0.83</v>
      </c>
      <c r="Q57" s="36">
        <f t="shared" si="142"/>
        <v>0</v>
      </c>
      <c r="R57" s="37">
        <f t="shared" si="88"/>
        <v>0</v>
      </c>
      <c r="S57" s="36">
        <f t="shared" si="89"/>
        <v>0.83</v>
      </c>
      <c r="T57" s="36">
        <f t="shared" si="143"/>
        <v>0</v>
      </c>
      <c r="U57" s="36">
        <f>INDEX(cenník!$C$2:$I$568,MATCH($L57,cenník!$B$2:$B$557,0),MATCH(U$2,cenník!$C$1:$I$1,0))*O57</f>
        <v>0</v>
      </c>
      <c r="V57" s="82"/>
      <c r="AG57" s="64"/>
      <c r="AH57" s="64"/>
      <c r="AI57" s="64"/>
      <c r="AJ57" s="64"/>
      <c r="AK57" s="64"/>
      <c r="AL57" s="64"/>
      <c r="AM57" s="64"/>
      <c r="AN57" s="64"/>
      <c r="AO57" s="64"/>
      <c r="AP57" s="64"/>
      <c r="AQ57" s="64"/>
      <c r="AR57" s="64" t="s">
        <v>60</v>
      </c>
      <c r="AS57" s="64" t="s">
        <v>293</v>
      </c>
      <c r="AT57" s="64" t="s">
        <v>291</v>
      </c>
      <c r="AU57" s="64" t="s">
        <v>290</v>
      </c>
      <c r="AV57" s="64" t="s">
        <v>290</v>
      </c>
      <c r="AW57" s="64"/>
      <c r="AX57" s="64"/>
      <c r="AY57" s="64"/>
      <c r="AZ57" s="64"/>
      <c r="BA57" s="64"/>
      <c r="BB57" s="64"/>
      <c r="BC57" s="64"/>
      <c r="BD57" s="64"/>
      <c r="BE57" s="64"/>
      <c r="BF57" s="64"/>
      <c r="BG57" s="64"/>
      <c r="BH57" s="64" t="s">
        <v>56</v>
      </c>
      <c r="BI57" s="64">
        <v>0</v>
      </c>
      <c r="BJ57" s="64">
        <v>12</v>
      </c>
      <c r="BK57" s="64">
        <v>18</v>
      </c>
      <c r="BL57" s="64">
        <v>24</v>
      </c>
      <c r="BM57" s="64">
        <v>30</v>
      </c>
      <c r="BN57" s="64">
        <v>36</v>
      </c>
      <c r="BO57" s="64">
        <v>42</v>
      </c>
      <c r="BP57" s="64">
        <v>48</v>
      </c>
      <c r="BQ57" s="64">
        <v>54</v>
      </c>
      <c r="BR57" s="64">
        <v>60</v>
      </c>
      <c r="BS57" s="64">
        <v>66</v>
      </c>
      <c r="BT57" s="64">
        <v>72</v>
      </c>
      <c r="BU57" s="64">
        <v>78</v>
      </c>
      <c r="BV57" s="64"/>
      <c r="BW57" s="64" t="s">
        <v>195</v>
      </c>
      <c r="BX57" s="64">
        <v>0</v>
      </c>
      <c r="BY57" s="64">
        <v>12</v>
      </c>
      <c r="BZ57" s="64">
        <v>18</v>
      </c>
      <c r="CA57" s="64">
        <v>24</v>
      </c>
      <c r="CB57" s="64">
        <v>30</v>
      </c>
      <c r="CC57" s="64">
        <v>36</v>
      </c>
      <c r="CD57" s="64">
        <v>42</v>
      </c>
      <c r="CE57" s="64">
        <v>48</v>
      </c>
      <c r="CF57" s="64">
        <v>54</v>
      </c>
      <c r="CG57" s="64">
        <v>60</v>
      </c>
      <c r="CH57" s="64">
        <v>66</v>
      </c>
      <c r="CI57" s="64">
        <v>72</v>
      </c>
      <c r="CJ57" s="64">
        <v>78</v>
      </c>
      <c r="CK57" s="64"/>
      <c r="CL57" s="64"/>
      <c r="CM57" s="64"/>
      <c r="CN57" s="64" t="s">
        <v>198</v>
      </c>
      <c r="CO57" s="64">
        <v>0</v>
      </c>
      <c r="CP57" s="64">
        <v>12</v>
      </c>
      <c r="CQ57" s="64">
        <v>18</v>
      </c>
      <c r="CR57" s="64">
        <v>24</v>
      </c>
      <c r="CS57" s="64">
        <v>30</v>
      </c>
      <c r="CT57" s="64">
        <v>36</v>
      </c>
      <c r="CU57" s="64">
        <v>42</v>
      </c>
      <c r="CV57" s="64">
        <v>48</v>
      </c>
      <c r="CW57" s="64">
        <v>54</v>
      </c>
      <c r="CX57" s="64">
        <v>60</v>
      </c>
      <c r="CY57" s="64">
        <v>66</v>
      </c>
      <c r="CZ57" s="64">
        <v>72</v>
      </c>
      <c r="DA57" s="64">
        <v>78</v>
      </c>
      <c r="DB57" s="64"/>
      <c r="DC57" s="64" t="s">
        <v>72</v>
      </c>
      <c r="DD57" s="64">
        <v>0</v>
      </c>
      <c r="DE57" s="64">
        <v>12</v>
      </c>
      <c r="DF57" s="64">
        <v>18</v>
      </c>
      <c r="DG57" s="64">
        <v>24</v>
      </c>
      <c r="DH57" s="64">
        <v>30</v>
      </c>
      <c r="DI57" s="64">
        <v>36</v>
      </c>
      <c r="DJ57" s="64">
        <v>42</v>
      </c>
      <c r="DK57" s="64">
        <v>48</v>
      </c>
      <c r="DL57" s="64">
        <v>54</v>
      </c>
      <c r="DM57" s="64">
        <v>60</v>
      </c>
      <c r="DN57" s="64">
        <v>66</v>
      </c>
      <c r="DO57" s="64">
        <v>72</v>
      </c>
      <c r="DP57" s="64">
        <v>78</v>
      </c>
      <c r="DQ57" s="80"/>
      <c r="DR57" s="80">
        <v>12</v>
      </c>
      <c r="DS57" s="80"/>
      <c r="DT57" s="64" t="s">
        <v>232</v>
      </c>
      <c r="DU57" s="64">
        <v>0</v>
      </c>
      <c r="DV57" s="64">
        <v>12</v>
      </c>
      <c r="DW57" s="64">
        <v>18</v>
      </c>
      <c r="DX57" s="64">
        <v>24</v>
      </c>
      <c r="DY57" s="64">
        <v>30</v>
      </c>
      <c r="DZ57" s="64">
        <v>36</v>
      </c>
      <c r="EA57" s="64">
        <v>42</v>
      </c>
      <c r="EB57" s="64">
        <v>48</v>
      </c>
      <c r="EC57" s="64">
        <v>54</v>
      </c>
      <c r="ED57" s="64">
        <v>60</v>
      </c>
      <c r="EE57" s="64">
        <v>66</v>
      </c>
      <c r="EF57" s="64">
        <v>72</v>
      </c>
      <c r="EG57" s="64">
        <v>78</v>
      </c>
      <c r="EH57" s="64"/>
      <c r="EI57" s="64"/>
      <c r="EJ57" s="69"/>
      <c r="EK57" s="64" t="s">
        <v>56</v>
      </c>
      <c r="EL57" s="64">
        <v>0</v>
      </c>
      <c r="EM57" s="64">
        <v>12</v>
      </c>
      <c r="EN57" s="64">
        <v>18</v>
      </c>
      <c r="EO57" s="64">
        <v>24</v>
      </c>
      <c r="EP57" s="64">
        <v>30</v>
      </c>
      <c r="EQ57" s="64">
        <v>36</v>
      </c>
      <c r="ER57" s="64">
        <v>42</v>
      </c>
      <c r="ES57" s="64">
        <v>48</v>
      </c>
      <c r="ET57" s="64">
        <v>54</v>
      </c>
      <c r="EU57" s="64">
        <v>60</v>
      </c>
      <c r="EV57" s="64">
        <v>66</v>
      </c>
      <c r="EW57" s="64">
        <v>72</v>
      </c>
      <c r="EX57" s="64">
        <v>78</v>
      </c>
      <c r="EY57" s="64"/>
      <c r="EZ57" s="64" t="s">
        <v>195</v>
      </c>
      <c r="FA57" s="64">
        <v>0</v>
      </c>
      <c r="FB57" s="64">
        <v>12</v>
      </c>
      <c r="FC57" s="64">
        <v>18</v>
      </c>
      <c r="FD57" s="64">
        <v>24</v>
      </c>
      <c r="FE57" s="64">
        <v>30</v>
      </c>
      <c r="FF57" s="64">
        <v>36</v>
      </c>
      <c r="FG57" s="64">
        <v>42</v>
      </c>
      <c r="FH57" s="64">
        <v>48</v>
      </c>
      <c r="FI57" s="64">
        <v>54</v>
      </c>
      <c r="FJ57" s="64">
        <v>60</v>
      </c>
      <c r="FK57" s="64">
        <v>66</v>
      </c>
      <c r="FL57" s="64">
        <v>72</v>
      </c>
      <c r="FM57" s="64">
        <v>78</v>
      </c>
      <c r="FN57" s="64"/>
      <c r="FO57" s="64" t="s">
        <v>198</v>
      </c>
      <c r="FP57" s="64">
        <v>0</v>
      </c>
      <c r="FQ57" s="64">
        <v>12</v>
      </c>
      <c r="FR57" s="64">
        <v>18</v>
      </c>
      <c r="FS57" s="64">
        <v>24</v>
      </c>
      <c r="FT57" s="64">
        <v>30</v>
      </c>
      <c r="FU57" s="64">
        <v>36</v>
      </c>
      <c r="FV57" s="64">
        <v>42</v>
      </c>
      <c r="FW57" s="64">
        <v>48</v>
      </c>
      <c r="FX57" s="64">
        <v>54</v>
      </c>
      <c r="FY57" s="64">
        <v>60</v>
      </c>
      <c r="FZ57" s="64">
        <v>66</v>
      </c>
      <c r="GA57" s="64">
        <v>72</v>
      </c>
      <c r="GB57" s="64">
        <v>78</v>
      </c>
      <c r="GC57" s="64"/>
      <c r="GD57" s="64" t="s">
        <v>72</v>
      </c>
      <c r="GE57" s="64">
        <v>0</v>
      </c>
      <c r="GF57" s="64">
        <v>12</v>
      </c>
      <c r="GG57" s="64">
        <v>18</v>
      </c>
      <c r="GH57" s="64">
        <v>24</v>
      </c>
      <c r="GI57" s="64">
        <v>30</v>
      </c>
      <c r="GJ57" s="64">
        <v>36</v>
      </c>
      <c r="GK57" s="64">
        <v>42</v>
      </c>
      <c r="GL57" s="64">
        <v>48</v>
      </c>
      <c r="GM57" s="64">
        <v>54</v>
      </c>
      <c r="GN57" s="64">
        <v>60</v>
      </c>
      <c r="GO57" s="64">
        <v>66</v>
      </c>
      <c r="GP57" s="64">
        <v>72</v>
      </c>
      <c r="GQ57" s="64">
        <v>78</v>
      </c>
      <c r="GR57" s="64"/>
      <c r="GS57" s="64" t="s">
        <v>232</v>
      </c>
      <c r="GT57" s="64">
        <v>0</v>
      </c>
      <c r="GU57" s="64">
        <v>12</v>
      </c>
      <c r="GV57" s="64">
        <v>18</v>
      </c>
      <c r="GW57" s="64">
        <v>24</v>
      </c>
      <c r="GX57" s="64">
        <v>30</v>
      </c>
      <c r="GY57" s="64">
        <v>36</v>
      </c>
      <c r="GZ57" s="64">
        <v>42</v>
      </c>
      <c r="HA57" s="64">
        <v>48</v>
      </c>
      <c r="HB57" s="64">
        <v>54</v>
      </c>
      <c r="HC57" s="64">
        <v>60</v>
      </c>
      <c r="HD57" s="64">
        <v>66</v>
      </c>
      <c r="HE57" s="64">
        <v>72</v>
      </c>
      <c r="HF57" s="64">
        <v>78</v>
      </c>
      <c r="HG57" s="70"/>
      <c r="HH57" s="64"/>
    </row>
    <row r="58" spans="1:216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193</v>
      </c>
      <c r="M58" s="11">
        <f>INDEX(cenník!$C$2:$I$568,MATCH($L58,cenník!$B$2:$B$557,0),MATCH(M$2,cenník!$C$1:$I$1,0))</f>
        <v>858022</v>
      </c>
      <c r="N58" s="11" t="str">
        <f>INDEX(cenník!$C$2:$I$568,MATCH($L58,cenník!$B$2:$B$557,0),MATCH(N$2,cenník!$C$1:$I$1,0))</f>
        <v>ks</v>
      </c>
      <c r="O58" s="11">
        <f>2*O41</f>
        <v>0</v>
      </c>
      <c r="P58" s="36">
        <f>INDEX(cenník!$C$2:$I$568,MATCH($L58,cenník!$B$2:$B$557,0),MATCH(P$2,cenník!$C$1:$I$1,0))</f>
        <v>1.56</v>
      </c>
      <c r="Q58" s="36">
        <f t="shared" si="142"/>
        <v>0</v>
      </c>
      <c r="R58" s="37">
        <f t="shared" si="88"/>
        <v>0</v>
      </c>
      <c r="S58" s="36">
        <f t="shared" si="89"/>
        <v>1.56</v>
      </c>
      <c r="T58" s="36">
        <f t="shared" si="143"/>
        <v>0</v>
      </c>
      <c r="U58" s="36">
        <f>INDEX(cenník!$C$2:$I$568,MATCH($L58,cenník!$B$2:$B$557,0),MATCH(U$2,cenník!$C$1:$I$1,0))*O58</f>
        <v>0</v>
      </c>
      <c r="V58" s="85"/>
      <c r="AG58" s="64"/>
      <c r="AH58" s="64"/>
      <c r="AI58" s="64"/>
      <c r="AJ58" s="64"/>
      <c r="AK58" s="64"/>
      <c r="AL58" s="64"/>
      <c r="AM58" s="64"/>
      <c r="AN58" s="64"/>
      <c r="AO58" s="64"/>
      <c r="AP58" s="64"/>
      <c r="AQ58" s="64"/>
      <c r="AR58" s="64" t="s">
        <v>199</v>
      </c>
      <c r="AS58" s="64" t="s">
        <v>293</v>
      </c>
      <c r="AT58" s="64" t="s">
        <v>291</v>
      </c>
      <c r="AU58" s="64" t="s">
        <v>290</v>
      </c>
      <c r="AV58" s="64" t="s">
        <v>290</v>
      </c>
      <c r="AW58" s="64"/>
      <c r="AX58" s="64"/>
      <c r="AY58" s="64"/>
      <c r="AZ58" s="64"/>
      <c r="BA58" s="64"/>
      <c r="BB58" s="64"/>
      <c r="BC58" s="64"/>
      <c r="BD58" s="64"/>
      <c r="BE58" s="64"/>
      <c r="BF58" s="64"/>
      <c r="BG58" s="64"/>
      <c r="BH58" s="64" t="s">
        <v>104</v>
      </c>
      <c r="BI58" s="64">
        <v>0</v>
      </c>
      <c r="BJ58" s="64">
        <f>IF(BJ3=0,0,IF(BJ3=5,7,IF(BJ3=10,14,IF(BJ3=15,21,IF(BJ3=20,28,0)))))</f>
        <v>0</v>
      </c>
      <c r="BK58" s="64">
        <f t="shared" ref="BK58:BU58" si="150">IF(BK3=0,0,IF(BK3=5,7,IF(BK3=10,14,IF(BK3=15,21,IF(BK3=20,28,0)))))</f>
        <v>0</v>
      </c>
      <c r="BL58" s="64">
        <f t="shared" si="150"/>
        <v>7</v>
      </c>
      <c r="BM58" s="64">
        <f t="shared" si="150"/>
        <v>0</v>
      </c>
      <c r="BN58" s="64">
        <f t="shared" si="150"/>
        <v>7</v>
      </c>
      <c r="BO58" s="64">
        <f t="shared" si="150"/>
        <v>0</v>
      </c>
      <c r="BP58" s="64">
        <f t="shared" si="150"/>
        <v>14</v>
      </c>
      <c r="BQ58" s="64">
        <f t="shared" si="150"/>
        <v>7</v>
      </c>
      <c r="BR58" s="64">
        <f t="shared" si="150"/>
        <v>14</v>
      </c>
      <c r="BS58" s="64">
        <f t="shared" si="150"/>
        <v>7</v>
      </c>
      <c r="BT58" s="64">
        <f t="shared" si="150"/>
        <v>14</v>
      </c>
      <c r="BU58" s="64">
        <f t="shared" si="150"/>
        <v>14</v>
      </c>
      <c r="BV58" s="64"/>
      <c r="BW58" s="64" t="s">
        <v>104</v>
      </c>
      <c r="BX58" s="64">
        <v>0</v>
      </c>
      <c r="BY58" s="64">
        <f t="shared" ref="BY58:CJ61" si="151">IF(BY3=0,0,IF(BY3=5,7,IF(BY3=10,14,IF(BY3=15,21,IF(BY3=20,28,0)))))</f>
        <v>0</v>
      </c>
      <c r="BZ58" s="64">
        <f t="shared" si="151"/>
        <v>7</v>
      </c>
      <c r="CA58" s="64">
        <f t="shared" si="151"/>
        <v>7</v>
      </c>
      <c r="CB58" s="64">
        <f t="shared" si="151"/>
        <v>0</v>
      </c>
      <c r="CC58" s="64">
        <f t="shared" si="151"/>
        <v>7</v>
      </c>
      <c r="CD58" s="64">
        <f t="shared" si="151"/>
        <v>0</v>
      </c>
      <c r="CE58" s="64">
        <f t="shared" si="151"/>
        <v>7</v>
      </c>
      <c r="CF58" s="64">
        <f t="shared" si="151"/>
        <v>14</v>
      </c>
      <c r="CG58" s="64">
        <f t="shared" si="151"/>
        <v>14</v>
      </c>
      <c r="CH58" s="64">
        <f t="shared" si="151"/>
        <v>14</v>
      </c>
      <c r="CI58" s="64">
        <f t="shared" si="151"/>
        <v>14</v>
      </c>
      <c r="CJ58" s="64">
        <f t="shared" si="151"/>
        <v>21</v>
      </c>
      <c r="CK58" s="64"/>
      <c r="CL58" s="64"/>
      <c r="CM58" s="64"/>
      <c r="CN58" s="64" t="s">
        <v>104</v>
      </c>
      <c r="CO58" s="64">
        <v>0</v>
      </c>
      <c r="CP58" s="64">
        <f t="shared" ref="CP58:DA61" si="152">IF(CP3=0,0,IF(CP3=5,7,IF(CP3=10,14,IF(CP3=15,21,IF(CP3=20,28,0)))))</f>
        <v>0</v>
      </c>
      <c r="CQ58" s="64">
        <f t="shared" si="152"/>
        <v>7</v>
      </c>
      <c r="CR58" s="64">
        <f t="shared" si="152"/>
        <v>0</v>
      </c>
      <c r="CS58" s="64">
        <f t="shared" si="152"/>
        <v>7</v>
      </c>
      <c r="CT58" s="64">
        <f t="shared" si="152"/>
        <v>0</v>
      </c>
      <c r="CU58" s="64">
        <f t="shared" si="152"/>
        <v>14</v>
      </c>
      <c r="CV58" s="64">
        <f t="shared" si="152"/>
        <v>7</v>
      </c>
      <c r="CW58" s="64">
        <f t="shared" si="152"/>
        <v>14</v>
      </c>
      <c r="CX58" s="64">
        <f t="shared" si="152"/>
        <v>21</v>
      </c>
      <c r="CY58" s="64">
        <f t="shared" si="152"/>
        <v>14</v>
      </c>
      <c r="CZ58" s="64">
        <f t="shared" si="152"/>
        <v>21</v>
      </c>
      <c r="DA58" s="64">
        <f t="shared" si="152"/>
        <v>28</v>
      </c>
      <c r="DB58" s="64"/>
      <c r="DC58" s="64" t="s">
        <v>104</v>
      </c>
      <c r="DD58" s="64">
        <v>0</v>
      </c>
      <c r="DE58" s="64">
        <f t="shared" ref="DE58:DP61" si="153">IF(DE3=0,0,IF(DE3=5,7,IF(DE3=10,14,IF(DE3=15,21,IF(DE3=20,28,0)))))</f>
        <v>0</v>
      </c>
      <c r="DF58" s="64">
        <f t="shared" si="153"/>
        <v>7</v>
      </c>
      <c r="DG58" s="64">
        <f t="shared" si="153"/>
        <v>0</v>
      </c>
      <c r="DH58" s="64">
        <f t="shared" si="153"/>
        <v>7</v>
      </c>
      <c r="DI58" s="64">
        <f t="shared" si="153"/>
        <v>0</v>
      </c>
      <c r="DJ58" s="64">
        <f t="shared" si="153"/>
        <v>7</v>
      </c>
      <c r="DK58" s="64">
        <f t="shared" si="153"/>
        <v>14</v>
      </c>
      <c r="DL58" s="64">
        <f t="shared" si="153"/>
        <v>7</v>
      </c>
      <c r="DM58" s="64">
        <f t="shared" si="153"/>
        <v>14</v>
      </c>
      <c r="DN58" s="64">
        <f t="shared" si="153"/>
        <v>21</v>
      </c>
      <c r="DO58" s="64">
        <f t="shared" si="153"/>
        <v>14</v>
      </c>
      <c r="DP58" s="64">
        <f t="shared" si="153"/>
        <v>21</v>
      </c>
      <c r="DQ58" s="80"/>
      <c r="DR58" s="80">
        <v>18</v>
      </c>
      <c r="DS58" s="80"/>
      <c r="DT58" s="64" t="s">
        <v>104</v>
      </c>
      <c r="DU58" s="64">
        <v>0</v>
      </c>
      <c r="DV58" s="64">
        <f>IF(DV3=0,0,IF(DV3=5,7,IF(DV3=10,14,IF(DV3=15,21,IF(DV3=20,28,0)))))</f>
        <v>0</v>
      </c>
      <c r="DW58" s="64">
        <f t="shared" ref="DW58:EG58" si="154">IF(DW3=0,0,IF(DW3=5,7,IF(DW3=10,14,IF(DW3=15,21,IF(DW3=20,28,0)))))</f>
        <v>7</v>
      </c>
      <c r="DX58" s="64">
        <f t="shared" si="154"/>
        <v>0</v>
      </c>
      <c r="DY58" s="64">
        <f t="shared" si="154"/>
        <v>0</v>
      </c>
      <c r="DZ58" s="64">
        <f t="shared" si="154"/>
        <v>14</v>
      </c>
      <c r="EA58" s="64">
        <f t="shared" si="154"/>
        <v>7</v>
      </c>
      <c r="EB58" s="64">
        <f t="shared" si="154"/>
        <v>14</v>
      </c>
      <c r="EC58" s="64">
        <f t="shared" si="154"/>
        <v>14</v>
      </c>
      <c r="ED58" s="64">
        <f t="shared" si="154"/>
        <v>21</v>
      </c>
      <c r="EE58" s="64">
        <f t="shared" si="154"/>
        <v>14</v>
      </c>
      <c r="EF58" s="64">
        <f t="shared" si="154"/>
        <v>21</v>
      </c>
      <c r="EG58" s="64">
        <f t="shared" si="154"/>
        <v>28</v>
      </c>
      <c r="EH58" s="64"/>
      <c r="EI58" s="64"/>
      <c r="EJ58" s="69"/>
      <c r="EK58" s="64" t="s">
        <v>286</v>
      </c>
      <c r="EL58" s="64">
        <v>0</v>
      </c>
      <c r="EM58" s="64">
        <f t="shared" ref="EM58:EX58" si="155">EM3/5*7</f>
        <v>0</v>
      </c>
      <c r="EN58" s="64">
        <f t="shared" si="155"/>
        <v>0</v>
      </c>
      <c r="EO58" s="64">
        <f t="shared" si="155"/>
        <v>7</v>
      </c>
      <c r="EP58" s="64">
        <f t="shared" si="155"/>
        <v>0</v>
      </c>
      <c r="EQ58" s="64">
        <f t="shared" si="155"/>
        <v>0</v>
      </c>
      <c r="ER58" s="64">
        <f t="shared" si="155"/>
        <v>0</v>
      </c>
      <c r="ES58" s="64">
        <f t="shared" si="155"/>
        <v>0</v>
      </c>
      <c r="ET58" s="64">
        <f t="shared" si="155"/>
        <v>0</v>
      </c>
      <c r="EU58" s="64">
        <f t="shared" si="155"/>
        <v>0</v>
      </c>
      <c r="EV58" s="64">
        <f t="shared" si="155"/>
        <v>0</v>
      </c>
      <c r="EW58" s="64">
        <f t="shared" si="155"/>
        <v>0</v>
      </c>
      <c r="EX58" s="64">
        <f t="shared" si="155"/>
        <v>0</v>
      </c>
      <c r="EZ58" s="64" t="s">
        <v>286</v>
      </c>
      <c r="FA58" s="64">
        <v>0</v>
      </c>
      <c r="FB58" s="64">
        <f t="shared" ref="FB58:FM58" si="156">FB3/5*7</f>
        <v>0</v>
      </c>
      <c r="FC58" s="64">
        <f t="shared" si="156"/>
        <v>7</v>
      </c>
      <c r="FD58" s="64">
        <f t="shared" si="156"/>
        <v>7</v>
      </c>
      <c r="FE58" s="64">
        <f t="shared" si="156"/>
        <v>0</v>
      </c>
      <c r="FF58" s="64">
        <f t="shared" si="156"/>
        <v>0</v>
      </c>
      <c r="FG58" s="64">
        <f t="shared" si="156"/>
        <v>0</v>
      </c>
      <c r="FH58" s="64">
        <f t="shared" si="156"/>
        <v>0</v>
      </c>
      <c r="FI58" s="64">
        <f t="shared" si="156"/>
        <v>0</v>
      </c>
      <c r="FJ58" s="64">
        <f t="shared" si="156"/>
        <v>0</v>
      </c>
      <c r="FK58" s="64">
        <f t="shared" si="156"/>
        <v>0</v>
      </c>
      <c r="FL58" s="64">
        <f t="shared" si="156"/>
        <v>0</v>
      </c>
      <c r="FM58" s="64">
        <f t="shared" si="156"/>
        <v>0</v>
      </c>
      <c r="FO58" s="64" t="s">
        <v>286</v>
      </c>
      <c r="FP58" s="64">
        <v>0</v>
      </c>
      <c r="FQ58" s="64">
        <f t="shared" ref="FQ58:GB58" si="157">FQ3/5*7</f>
        <v>0</v>
      </c>
      <c r="FR58" s="64">
        <f t="shared" si="157"/>
        <v>7</v>
      </c>
      <c r="FS58" s="64">
        <f t="shared" si="157"/>
        <v>0</v>
      </c>
      <c r="FT58" s="64">
        <f t="shared" si="157"/>
        <v>0</v>
      </c>
      <c r="FU58" s="64">
        <f t="shared" si="157"/>
        <v>0</v>
      </c>
      <c r="FV58" s="64">
        <f t="shared" si="157"/>
        <v>0</v>
      </c>
      <c r="FW58" s="64">
        <f t="shared" si="157"/>
        <v>0</v>
      </c>
      <c r="FX58" s="64">
        <f t="shared" si="157"/>
        <v>0</v>
      </c>
      <c r="FY58" s="64">
        <f t="shared" si="157"/>
        <v>0</v>
      </c>
      <c r="FZ58" s="64">
        <f t="shared" si="157"/>
        <v>0</v>
      </c>
      <c r="GA58" s="64">
        <f t="shared" si="157"/>
        <v>0</v>
      </c>
      <c r="GB58" s="64">
        <f t="shared" si="157"/>
        <v>0</v>
      </c>
      <c r="GD58" s="64" t="s">
        <v>286</v>
      </c>
      <c r="GE58" s="64">
        <v>0</v>
      </c>
      <c r="GF58" s="64">
        <f t="shared" ref="GF58:GQ58" si="158">GF3/5*7</f>
        <v>0</v>
      </c>
      <c r="GG58" s="64">
        <f t="shared" si="158"/>
        <v>7</v>
      </c>
      <c r="GH58" s="64">
        <f t="shared" si="158"/>
        <v>0</v>
      </c>
      <c r="GI58" s="64">
        <f t="shared" si="158"/>
        <v>0</v>
      </c>
      <c r="GJ58" s="64">
        <f t="shared" si="158"/>
        <v>0</v>
      </c>
      <c r="GK58" s="64">
        <f t="shared" si="158"/>
        <v>0</v>
      </c>
      <c r="GL58" s="64">
        <f t="shared" si="158"/>
        <v>0</v>
      </c>
      <c r="GM58" s="64">
        <f t="shared" si="158"/>
        <v>0</v>
      </c>
      <c r="GN58" s="64">
        <f t="shared" si="158"/>
        <v>0</v>
      </c>
      <c r="GO58" s="64">
        <f t="shared" si="158"/>
        <v>0</v>
      </c>
      <c r="GP58" s="64">
        <f t="shared" si="158"/>
        <v>0</v>
      </c>
      <c r="GQ58" s="64">
        <f t="shared" si="158"/>
        <v>0</v>
      </c>
      <c r="GS58" s="64" t="s">
        <v>286</v>
      </c>
      <c r="GT58" s="64">
        <v>0</v>
      </c>
      <c r="GU58" s="64">
        <f t="shared" ref="GU58:HF58" si="159">GU3/5*7</f>
        <v>0</v>
      </c>
      <c r="GV58" s="64">
        <f t="shared" si="159"/>
        <v>7</v>
      </c>
      <c r="GW58" s="64">
        <f t="shared" si="159"/>
        <v>0</v>
      </c>
      <c r="GX58" s="64">
        <f t="shared" si="159"/>
        <v>0</v>
      </c>
      <c r="GY58" s="64">
        <f t="shared" si="159"/>
        <v>0</v>
      </c>
      <c r="GZ58" s="64">
        <f t="shared" si="159"/>
        <v>0</v>
      </c>
      <c r="HA58" s="64">
        <f t="shared" si="159"/>
        <v>0</v>
      </c>
      <c r="HB58" s="64">
        <f t="shared" si="159"/>
        <v>0</v>
      </c>
      <c r="HC58" s="64">
        <f t="shared" si="159"/>
        <v>0</v>
      </c>
      <c r="HD58" s="64">
        <f t="shared" si="159"/>
        <v>0</v>
      </c>
      <c r="HE58" s="64">
        <f t="shared" si="159"/>
        <v>0</v>
      </c>
      <c r="HF58" s="64">
        <f t="shared" si="159"/>
        <v>0</v>
      </c>
      <c r="HG58" s="70"/>
      <c r="HH58" s="64"/>
    </row>
    <row r="59" spans="1:216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str">
        <f>INDEX(cenník!$C$2:$I$568,MATCH($L59,cenník!$B$2:$B$557,0),MATCH(M$2,cenník!$C$1:$I$1,0))</f>
        <v>-------</v>
      </c>
      <c r="N59" s="11">
        <f>INDEX(cenník!$C$2:$I$568,MATCH($L59,cenník!$B$2:$B$557,0),MATCH(N$2,cenník!$C$1:$I$1,0))</f>
        <v>0</v>
      </c>
      <c r="O59" s="11">
        <f>ROUNDUP((O35*4)/100,0)</f>
        <v>0</v>
      </c>
      <c r="P59" s="36">
        <f>INDEX(cenník!$C$2:$I$568,MATCH($L59,cenník!$B$2:$B$557,0),MATCH(P$2,cenník!$C$1:$I$1,0))</f>
        <v>0</v>
      </c>
      <c r="Q59" s="36">
        <f t="shared" si="142"/>
        <v>0</v>
      </c>
      <c r="R59" s="37">
        <f t="shared" si="88"/>
        <v>0</v>
      </c>
      <c r="S59" s="36">
        <f t="shared" si="89"/>
        <v>0</v>
      </c>
      <c r="T59" s="36">
        <f t="shared" si="143"/>
        <v>0</v>
      </c>
      <c r="U59" s="36">
        <f>INDEX(cenník!$C$2:$I$568,MATCH($L59,cenník!$B$2:$B$557,0),MATCH(U$2,cenník!$C$1:$I$1,0))*O59</f>
        <v>0</v>
      </c>
      <c r="V59" s="85"/>
      <c r="AG59" s="64"/>
      <c r="AH59" s="64"/>
      <c r="AI59" s="64"/>
      <c r="AJ59" s="64"/>
      <c r="AK59" s="64"/>
      <c r="AL59" s="64"/>
      <c r="AM59" s="64"/>
      <c r="AN59" s="64"/>
      <c r="AO59" s="64"/>
      <c r="AP59" s="64"/>
      <c r="AQ59" s="64"/>
      <c r="AR59" s="64"/>
      <c r="AS59" s="64"/>
      <c r="AT59" s="64"/>
      <c r="AU59" s="64"/>
      <c r="AV59" s="64"/>
      <c r="AW59" s="64"/>
      <c r="AX59" s="64"/>
      <c r="AY59" s="64"/>
      <c r="AZ59" s="64"/>
      <c r="BA59" s="64"/>
      <c r="BB59" s="64"/>
      <c r="BC59" s="64"/>
      <c r="BD59" s="64"/>
      <c r="BE59" s="64"/>
      <c r="BF59" s="64"/>
      <c r="BG59" s="64"/>
      <c r="BH59" s="64" t="s">
        <v>103</v>
      </c>
      <c r="BI59" s="64">
        <v>0</v>
      </c>
      <c r="BJ59" s="64">
        <f t="shared" ref="BJ59:BU61" si="160">IF(BJ4=0,0,IF(BJ4=5,7,IF(BJ4=10,14,IF(BJ4=15,21,IF(BJ4=20,28,0)))))</f>
        <v>0</v>
      </c>
      <c r="BK59" s="64">
        <f t="shared" si="160"/>
        <v>7</v>
      </c>
      <c r="BL59" s="64">
        <f t="shared" si="160"/>
        <v>0</v>
      </c>
      <c r="BM59" s="64">
        <f t="shared" si="160"/>
        <v>14</v>
      </c>
      <c r="BN59" s="64">
        <f>IF(BN4=0,0,IF(BN4=5,7,IF(BN4=10,14,IF(BN4=15,21,IF(BN4=20,28,0)))))</f>
        <v>0</v>
      </c>
      <c r="BO59" s="64">
        <f t="shared" si="160"/>
        <v>14</v>
      </c>
      <c r="BP59" s="64">
        <f t="shared" si="160"/>
        <v>0</v>
      </c>
      <c r="BQ59" s="64">
        <f t="shared" si="160"/>
        <v>14</v>
      </c>
      <c r="BR59" s="64">
        <f t="shared" si="160"/>
        <v>0</v>
      </c>
      <c r="BS59" s="64">
        <f t="shared" si="160"/>
        <v>14</v>
      </c>
      <c r="BT59" s="64">
        <f t="shared" si="160"/>
        <v>7</v>
      </c>
      <c r="BU59" s="64">
        <f t="shared" si="160"/>
        <v>14</v>
      </c>
      <c r="BV59" s="64"/>
      <c r="BW59" s="64" t="s">
        <v>103</v>
      </c>
      <c r="BX59" s="64">
        <v>0</v>
      </c>
      <c r="BY59" s="64">
        <f t="shared" si="151"/>
        <v>0</v>
      </c>
      <c r="BZ59" s="64">
        <f t="shared" si="151"/>
        <v>0</v>
      </c>
      <c r="CA59" s="64">
        <f t="shared" si="151"/>
        <v>0</v>
      </c>
      <c r="CB59" s="64">
        <f t="shared" si="151"/>
        <v>14</v>
      </c>
      <c r="CC59" s="64">
        <f t="shared" si="151"/>
        <v>7</v>
      </c>
      <c r="CD59" s="64">
        <f t="shared" si="151"/>
        <v>14</v>
      </c>
      <c r="CE59" s="64">
        <f t="shared" si="151"/>
        <v>14</v>
      </c>
      <c r="CF59" s="64">
        <f t="shared" si="151"/>
        <v>0</v>
      </c>
      <c r="CG59" s="64">
        <f t="shared" si="151"/>
        <v>7</v>
      </c>
      <c r="CH59" s="64">
        <f t="shared" si="151"/>
        <v>7</v>
      </c>
      <c r="CI59" s="64">
        <f t="shared" si="151"/>
        <v>14</v>
      </c>
      <c r="CJ59" s="64">
        <f t="shared" si="151"/>
        <v>7</v>
      </c>
      <c r="CK59" s="64"/>
      <c r="CL59" s="64"/>
      <c r="CM59" s="64"/>
      <c r="CN59" s="64" t="s">
        <v>103</v>
      </c>
      <c r="CO59" s="64">
        <v>0</v>
      </c>
      <c r="CP59" s="64">
        <f t="shared" si="152"/>
        <v>0</v>
      </c>
      <c r="CQ59" s="64">
        <f t="shared" si="152"/>
        <v>0</v>
      </c>
      <c r="CR59" s="64">
        <f t="shared" si="152"/>
        <v>7</v>
      </c>
      <c r="CS59" s="64">
        <f t="shared" si="152"/>
        <v>0</v>
      </c>
      <c r="CT59" s="64">
        <f t="shared" si="152"/>
        <v>14</v>
      </c>
      <c r="CU59" s="64">
        <f t="shared" si="152"/>
        <v>0</v>
      </c>
      <c r="CV59" s="64">
        <f t="shared" si="152"/>
        <v>14</v>
      </c>
      <c r="CW59" s="64">
        <f t="shared" si="152"/>
        <v>7</v>
      </c>
      <c r="CX59" s="64">
        <f t="shared" si="152"/>
        <v>0</v>
      </c>
      <c r="CY59" s="64">
        <f t="shared" si="152"/>
        <v>14</v>
      </c>
      <c r="CZ59" s="64">
        <f t="shared" si="152"/>
        <v>7</v>
      </c>
      <c r="DA59" s="64">
        <f t="shared" si="152"/>
        <v>0</v>
      </c>
      <c r="DB59" s="64"/>
      <c r="DC59" s="64" t="s">
        <v>103</v>
      </c>
      <c r="DD59" s="64">
        <v>0</v>
      </c>
      <c r="DE59" s="64">
        <f t="shared" si="153"/>
        <v>7</v>
      </c>
      <c r="DF59" s="64">
        <f t="shared" si="153"/>
        <v>0</v>
      </c>
      <c r="DG59" s="64">
        <f t="shared" si="153"/>
        <v>14</v>
      </c>
      <c r="DH59" s="64">
        <f t="shared" si="153"/>
        <v>0</v>
      </c>
      <c r="DI59" s="64">
        <f t="shared" si="153"/>
        <v>14</v>
      </c>
      <c r="DJ59" s="64">
        <f t="shared" si="153"/>
        <v>14</v>
      </c>
      <c r="DK59" s="64">
        <f t="shared" si="153"/>
        <v>7</v>
      </c>
      <c r="DL59" s="64">
        <f t="shared" si="153"/>
        <v>14</v>
      </c>
      <c r="DM59" s="64">
        <f t="shared" si="153"/>
        <v>7</v>
      </c>
      <c r="DN59" s="64">
        <f t="shared" si="153"/>
        <v>7</v>
      </c>
      <c r="DO59" s="64">
        <f t="shared" si="153"/>
        <v>14</v>
      </c>
      <c r="DP59" s="64">
        <f t="shared" si="153"/>
        <v>7</v>
      </c>
      <c r="DQ59" s="80"/>
      <c r="DR59" s="80">
        <v>24</v>
      </c>
      <c r="DS59" s="80"/>
      <c r="DT59" s="64" t="s">
        <v>103</v>
      </c>
      <c r="DU59" s="64">
        <v>0</v>
      </c>
      <c r="DV59" s="64">
        <f t="shared" ref="DV59:EG61" si="161">IF(DV4=0,0,IF(DV4=5,7,IF(DV4=10,14,IF(DV4=15,21,IF(DV4=20,28,0)))))</f>
        <v>7</v>
      </c>
      <c r="DW59" s="64">
        <f t="shared" si="161"/>
        <v>0</v>
      </c>
      <c r="DX59" s="64">
        <f t="shared" si="161"/>
        <v>14</v>
      </c>
      <c r="DY59" s="64">
        <f t="shared" si="161"/>
        <v>14</v>
      </c>
      <c r="DZ59" s="64">
        <f t="shared" si="161"/>
        <v>0</v>
      </c>
      <c r="EA59" s="64">
        <f t="shared" si="161"/>
        <v>14</v>
      </c>
      <c r="EB59" s="64">
        <f t="shared" si="161"/>
        <v>7</v>
      </c>
      <c r="EC59" s="64">
        <f t="shared" si="161"/>
        <v>7</v>
      </c>
      <c r="ED59" s="64">
        <f t="shared" si="161"/>
        <v>7</v>
      </c>
      <c r="EE59" s="64">
        <f t="shared" si="161"/>
        <v>14</v>
      </c>
      <c r="EF59" s="64">
        <f t="shared" si="161"/>
        <v>7</v>
      </c>
      <c r="EG59" s="64">
        <f t="shared" si="161"/>
        <v>0</v>
      </c>
      <c r="EH59" s="64"/>
      <c r="EI59" s="64"/>
      <c r="EJ59" s="69"/>
      <c r="EK59" s="64" t="s">
        <v>240</v>
      </c>
      <c r="EL59" s="64">
        <v>0</v>
      </c>
      <c r="EM59" s="64">
        <f t="shared" ref="EM59:EX59" si="162">EM4/5*7</f>
        <v>0</v>
      </c>
      <c r="EN59" s="64">
        <f t="shared" si="162"/>
        <v>7</v>
      </c>
      <c r="EO59" s="64">
        <f t="shared" si="162"/>
        <v>0</v>
      </c>
      <c r="EP59" s="64">
        <f t="shared" si="162"/>
        <v>14</v>
      </c>
      <c r="EQ59" s="64">
        <f t="shared" si="162"/>
        <v>0</v>
      </c>
      <c r="ER59" s="64">
        <f t="shared" si="162"/>
        <v>14</v>
      </c>
      <c r="ES59" s="64">
        <f t="shared" si="162"/>
        <v>0</v>
      </c>
      <c r="ET59" s="64">
        <f t="shared" si="162"/>
        <v>14</v>
      </c>
      <c r="EU59" s="64">
        <f t="shared" si="162"/>
        <v>0</v>
      </c>
      <c r="EV59" s="64">
        <f t="shared" si="162"/>
        <v>14</v>
      </c>
      <c r="EW59" s="64">
        <f t="shared" si="162"/>
        <v>7</v>
      </c>
      <c r="EX59" s="64">
        <f t="shared" si="162"/>
        <v>14</v>
      </c>
      <c r="EY59" s="64"/>
      <c r="EZ59" s="64" t="s">
        <v>240</v>
      </c>
      <c r="FA59" s="64">
        <v>0</v>
      </c>
      <c r="FB59" s="64">
        <f t="shared" ref="FB59:FM59" si="163">FB4/5*7</f>
        <v>0</v>
      </c>
      <c r="FC59" s="64">
        <f t="shared" si="163"/>
        <v>0</v>
      </c>
      <c r="FD59" s="64">
        <f t="shared" si="163"/>
        <v>0</v>
      </c>
      <c r="FE59" s="64">
        <f t="shared" si="163"/>
        <v>14</v>
      </c>
      <c r="FF59" s="64">
        <f t="shared" si="163"/>
        <v>7</v>
      </c>
      <c r="FG59" s="64">
        <f t="shared" si="163"/>
        <v>14</v>
      </c>
      <c r="FH59" s="64">
        <f t="shared" si="163"/>
        <v>14</v>
      </c>
      <c r="FI59" s="64">
        <f t="shared" si="163"/>
        <v>0</v>
      </c>
      <c r="FJ59" s="64">
        <f t="shared" si="163"/>
        <v>7</v>
      </c>
      <c r="FK59" s="64">
        <f t="shared" si="163"/>
        <v>7</v>
      </c>
      <c r="FL59" s="64">
        <f t="shared" si="163"/>
        <v>14</v>
      </c>
      <c r="FM59" s="64">
        <f t="shared" si="163"/>
        <v>7</v>
      </c>
      <c r="FN59" s="64"/>
      <c r="FO59" s="64" t="s">
        <v>240</v>
      </c>
      <c r="FP59" s="64">
        <v>0</v>
      </c>
      <c r="FQ59" s="64">
        <f t="shared" ref="FQ59:GB59" si="164">FQ4/5*7</f>
        <v>0</v>
      </c>
      <c r="FR59" s="64">
        <f t="shared" si="164"/>
        <v>0</v>
      </c>
      <c r="FS59" s="64">
        <f t="shared" si="164"/>
        <v>7</v>
      </c>
      <c r="FT59" s="64">
        <f t="shared" si="164"/>
        <v>0</v>
      </c>
      <c r="FU59" s="64">
        <f t="shared" si="164"/>
        <v>14</v>
      </c>
      <c r="FV59" s="64">
        <f t="shared" si="164"/>
        <v>0</v>
      </c>
      <c r="FW59" s="64">
        <f t="shared" si="164"/>
        <v>14</v>
      </c>
      <c r="FX59" s="64">
        <f t="shared" si="164"/>
        <v>7</v>
      </c>
      <c r="FY59" s="64">
        <f t="shared" si="164"/>
        <v>0</v>
      </c>
      <c r="FZ59" s="64">
        <f t="shared" si="164"/>
        <v>14</v>
      </c>
      <c r="GA59" s="64">
        <f t="shared" si="164"/>
        <v>7</v>
      </c>
      <c r="GB59" s="64">
        <f t="shared" si="164"/>
        <v>0</v>
      </c>
      <c r="GC59" s="64"/>
      <c r="GD59" s="64" t="s">
        <v>240</v>
      </c>
      <c r="GE59" s="64">
        <v>0</v>
      </c>
      <c r="GF59" s="64">
        <f t="shared" ref="GF59:GQ59" si="165">GF4/5*7</f>
        <v>7</v>
      </c>
      <c r="GG59" s="64">
        <f t="shared" si="165"/>
        <v>0</v>
      </c>
      <c r="GH59" s="64">
        <f t="shared" si="165"/>
        <v>14</v>
      </c>
      <c r="GI59" s="64">
        <f t="shared" si="165"/>
        <v>0</v>
      </c>
      <c r="GJ59" s="64">
        <f t="shared" si="165"/>
        <v>14</v>
      </c>
      <c r="GK59" s="64">
        <f t="shared" si="165"/>
        <v>14</v>
      </c>
      <c r="GL59" s="64">
        <f t="shared" si="165"/>
        <v>7</v>
      </c>
      <c r="GM59" s="64">
        <f t="shared" si="165"/>
        <v>14</v>
      </c>
      <c r="GN59" s="64">
        <f t="shared" si="165"/>
        <v>7</v>
      </c>
      <c r="GO59" s="64">
        <f t="shared" si="165"/>
        <v>7</v>
      </c>
      <c r="GP59" s="64">
        <f t="shared" si="165"/>
        <v>14</v>
      </c>
      <c r="GQ59" s="64">
        <f t="shared" si="165"/>
        <v>7</v>
      </c>
      <c r="GR59" s="64"/>
      <c r="GS59" s="64" t="s">
        <v>240</v>
      </c>
      <c r="GT59" s="64">
        <v>0</v>
      </c>
      <c r="GU59" s="64">
        <f t="shared" ref="GU59:HF59" si="166">GU4/5*7</f>
        <v>7</v>
      </c>
      <c r="GV59" s="64">
        <f t="shared" si="166"/>
        <v>0</v>
      </c>
      <c r="GW59" s="64">
        <f t="shared" si="166"/>
        <v>14</v>
      </c>
      <c r="GX59" s="64">
        <f t="shared" si="166"/>
        <v>14</v>
      </c>
      <c r="GY59" s="64">
        <f t="shared" si="166"/>
        <v>0</v>
      </c>
      <c r="GZ59" s="64">
        <f t="shared" si="166"/>
        <v>14</v>
      </c>
      <c r="HA59" s="64">
        <f t="shared" si="166"/>
        <v>7</v>
      </c>
      <c r="HB59" s="64">
        <f t="shared" si="166"/>
        <v>7</v>
      </c>
      <c r="HC59" s="64">
        <f t="shared" si="166"/>
        <v>7</v>
      </c>
      <c r="HD59" s="64">
        <f t="shared" si="166"/>
        <v>14</v>
      </c>
      <c r="HE59" s="64">
        <f t="shared" si="166"/>
        <v>7</v>
      </c>
      <c r="HF59" s="64">
        <f t="shared" si="166"/>
        <v>0</v>
      </c>
      <c r="HG59" s="70"/>
      <c r="HH59" s="64"/>
    </row>
    <row r="60" spans="1:216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38" t="s">
        <v>336</v>
      </c>
      <c r="M60" s="11">
        <f>INDEX(cenník!$C$2:$I$568,MATCH($L60,cenník!$B$2:$B$557,0),MATCH(M$2,cenník!$C$1:$I$1,0))</f>
        <v>890504</v>
      </c>
      <c r="N60" s="11" t="str">
        <f>INDEX(cenník!$C$2:$I$568,MATCH($L60,cenník!$B$2:$B$557,0),MATCH(N$2,cenník!$C$1:$I$1,0))</f>
        <v>ks</v>
      </c>
      <c r="O60" s="11">
        <f>SUM(C34:C49)*12</f>
        <v>0</v>
      </c>
      <c r="P60" s="36">
        <f>INDEX(cenník!$C$2:$I$568,MATCH($L60,cenník!$B$2:$B$557,0),MATCH(P$2,cenník!$C$1:$I$1,0))</f>
        <v>1.59</v>
      </c>
      <c r="Q60" s="36">
        <f t="shared" si="142"/>
        <v>0</v>
      </c>
      <c r="R60" s="37">
        <f t="shared" ref="R60" si="167">$E$7</f>
        <v>0</v>
      </c>
      <c r="S60" s="36">
        <f>P60*((100-$E$7)/100)</f>
        <v>1.59</v>
      </c>
      <c r="T60" s="36">
        <f t="shared" si="143"/>
        <v>0</v>
      </c>
      <c r="U60" s="36">
        <f>INDEX(cenník!$C$2:$I$568,MATCH($L60,cenník!$B$2:$B$557,0),MATCH(U$2,cenník!$C$1:$I$1,0))*O60</f>
        <v>0</v>
      </c>
      <c r="V60" s="85"/>
      <c r="AG60" s="64"/>
      <c r="AH60" s="64"/>
      <c r="AI60" s="64"/>
      <c r="AJ60" s="64"/>
      <c r="AK60" s="64"/>
      <c r="AL60" s="64"/>
      <c r="AM60" s="64"/>
      <c r="AN60" s="64"/>
      <c r="AO60" s="64"/>
      <c r="AP60" s="64"/>
      <c r="AQ60" s="64"/>
      <c r="AR60" s="83" t="s">
        <v>341</v>
      </c>
      <c r="AS60" s="64"/>
      <c r="AT60" s="64"/>
      <c r="AU60" s="64"/>
      <c r="AV60" s="64"/>
      <c r="AW60" s="64"/>
      <c r="AX60" s="64"/>
      <c r="AY60" s="64"/>
      <c r="AZ60" s="64"/>
      <c r="BA60" s="64"/>
      <c r="BB60" s="64"/>
      <c r="BC60" s="64"/>
      <c r="BD60" s="64"/>
      <c r="BE60" s="64"/>
      <c r="BF60" s="64"/>
      <c r="BG60" s="64"/>
      <c r="BH60" s="64" t="s">
        <v>16</v>
      </c>
      <c r="BI60" s="64">
        <v>0</v>
      </c>
      <c r="BJ60" s="64">
        <f t="shared" si="160"/>
        <v>7</v>
      </c>
      <c r="BK60" s="64">
        <f t="shared" si="160"/>
        <v>0</v>
      </c>
      <c r="BL60" s="64">
        <f t="shared" si="160"/>
        <v>0</v>
      </c>
      <c r="BM60" s="64">
        <f t="shared" si="160"/>
        <v>0</v>
      </c>
      <c r="BN60" s="64">
        <f t="shared" si="160"/>
        <v>7</v>
      </c>
      <c r="BO60" s="64">
        <f t="shared" si="160"/>
        <v>7</v>
      </c>
      <c r="BP60" s="64">
        <f t="shared" si="160"/>
        <v>0</v>
      </c>
      <c r="BQ60" s="64">
        <f t="shared" si="160"/>
        <v>0</v>
      </c>
      <c r="BR60" s="64">
        <f t="shared" si="160"/>
        <v>7</v>
      </c>
      <c r="BS60" s="64">
        <f t="shared" si="160"/>
        <v>7</v>
      </c>
      <c r="BT60" s="64">
        <f t="shared" si="160"/>
        <v>7</v>
      </c>
      <c r="BU60" s="64">
        <f t="shared" si="160"/>
        <v>0</v>
      </c>
      <c r="BV60" s="64"/>
      <c r="BW60" s="64" t="s">
        <v>16</v>
      </c>
      <c r="BX60" s="64">
        <v>0</v>
      </c>
      <c r="BY60" s="64">
        <f t="shared" si="151"/>
        <v>7</v>
      </c>
      <c r="BZ60" s="64">
        <f t="shared" si="151"/>
        <v>0</v>
      </c>
      <c r="CA60" s="64">
        <f t="shared" si="151"/>
        <v>0</v>
      </c>
      <c r="CB60" s="64">
        <f t="shared" si="151"/>
        <v>0</v>
      </c>
      <c r="CC60" s="64">
        <f t="shared" si="151"/>
        <v>0</v>
      </c>
      <c r="CD60" s="64">
        <f t="shared" si="151"/>
        <v>7</v>
      </c>
      <c r="CE60" s="64">
        <f t="shared" si="151"/>
        <v>0</v>
      </c>
      <c r="CF60" s="64">
        <f t="shared" si="151"/>
        <v>7</v>
      </c>
      <c r="CG60" s="64">
        <f t="shared" si="151"/>
        <v>0</v>
      </c>
      <c r="CH60" s="64">
        <f t="shared" si="151"/>
        <v>7</v>
      </c>
      <c r="CI60" s="64">
        <f t="shared" si="151"/>
        <v>0</v>
      </c>
      <c r="CJ60" s="64">
        <f t="shared" si="151"/>
        <v>0</v>
      </c>
      <c r="CK60" s="64"/>
      <c r="CL60" s="64"/>
      <c r="CM60" s="64"/>
      <c r="CN60" s="64" t="s">
        <v>16</v>
      </c>
      <c r="CO60" s="64">
        <v>0</v>
      </c>
      <c r="CP60" s="64">
        <f t="shared" si="152"/>
        <v>7</v>
      </c>
      <c r="CQ60" s="64">
        <f t="shared" si="152"/>
        <v>0</v>
      </c>
      <c r="CR60" s="64">
        <f t="shared" si="152"/>
        <v>7</v>
      </c>
      <c r="CS60" s="64">
        <f t="shared" si="152"/>
        <v>7</v>
      </c>
      <c r="CT60" s="64">
        <f t="shared" si="152"/>
        <v>7</v>
      </c>
      <c r="CU60" s="64">
        <f t="shared" si="152"/>
        <v>0</v>
      </c>
      <c r="CV60" s="64">
        <f t="shared" si="152"/>
        <v>0</v>
      </c>
      <c r="CW60" s="64">
        <f t="shared" si="152"/>
        <v>0</v>
      </c>
      <c r="CX60" s="64">
        <f t="shared" si="152"/>
        <v>0</v>
      </c>
      <c r="CY60" s="64">
        <f t="shared" si="152"/>
        <v>0</v>
      </c>
      <c r="CZ60" s="64">
        <f t="shared" si="152"/>
        <v>0</v>
      </c>
      <c r="DA60" s="64">
        <f t="shared" si="152"/>
        <v>0</v>
      </c>
      <c r="DB60" s="64"/>
      <c r="DC60" s="64" t="s">
        <v>16</v>
      </c>
      <c r="DD60" s="64">
        <v>0</v>
      </c>
      <c r="DE60" s="64">
        <f t="shared" si="153"/>
        <v>0</v>
      </c>
      <c r="DF60" s="64">
        <f t="shared" si="153"/>
        <v>0</v>
      </c>
      <c r="DG60" s="64">
        <f t="shared" si="153"/>
        <v>0</v>
      </c>
      <c r="DH60" s="64">
        <f t="shared" si="153"/>
        <v>7</v>
      </c>
      <c r="DI60" s="64">
        <f t="shared" si="153"/>
        <v>7</v>
      </c>
      <c r="DJ60" s="64">
        <f t="shared" si="153"/>
        <v>0</v>
      </c>
      <c r="DK60" s="64">
        <f t="shared" si="153"/>
        <v>0</v>
      </c>
      <c r="DL60" s="64">
        <f t="shared" si="153"/>
        <v>7</v>
      </c>
      <c r="DM60" s="64">
        <f t="shared" si="153"/>
        <v>7</v>
      </c>
      <c r="DN60" s="64">
        <f t="shared" si="153"/>
        <v>0</v>
      </c>
      <c r="DO60" s="64">
        <f t="shared" si="153"/>
        <v>7</v>
      </c>
      <c r="DP60" s="64">
        <f t="shared" si="153"/>
        <v>7</v>
      </c>
      <c r="DQ60" s="80"/>
      <c r="DR60" s="80">
        <v>30</v>
      </c>
      <c r="DS60" s="80"/>
      <c r="DT60" s="64" t="s">
        <v>16</v>
      </c>
      <c r="DU60" s="64">
        <v>0</v>
      </c>
      <c r="DV60" s="64">
        <f t="shared" si="161"/>
        <v>0</v>
      </c>
      <c r="DW60" s="64">
        <f t="shared" si="161"/>
        <v>0</v>
      </c>
      <c r="DX60" s="64">
        <f t="shared" si="161"/>
        <v>0</v>
      </c>
      <c r="DY60" s="64">
        <f t="shared" si="161"/>
        <v>7</v>
      </c>
      <c r="DZ60" s="64">
        <f t="shared" si="161"/>
        <v>0</v>
      </c>
      <c r="EA60" s="64">
        <f t="shared" si="161"/>
        <v>0</v>
      </c>
      <c r="EB60" s="64">
        <f t="shared" si="161"/>
        <v>0</v>
      </c>
      <c r="EC60" s="64">
        <f t="shared" si="161"/>
        <v>7</v>
      </c>
      <c r="ED60" s="64">
        <f t="shared" si="161"/>
        <v>0</v>
      </c>
      <c r="EE60" s="64">
        <f t="shared" si="161"/>
        <v>7</v>
      </c>
      <c r="EF60" s="64">
        <f t="shared" si="161"/>
        <v>7</v>
      </c>
      <c r="EG60" s="64">
        <f t="shared" si="161"/>
        <v>7</v>
      </c>
      <c r="EH60" s="64"/>
      <c r="EI60" s="64"/>
      <c r="EJ60" s="69"/>
      <c r="EK60" s="64" t="s">
        <v>241</v>
      </c>
      <c r="EL60" s="64">
        <v>0</v>
      </c>
      <c r="EM60" s="64">
        <f t="shared" ref="EM60:EX60" si="168">EM5/5*7</f>
        <v>7</v>
      </c>
      <c r="EN60" s="64">
        <f t="shared" si="168"/>
        <v>0</v>
      </c>
      <c r="EO60" s="64">
        <f t="shared" si="168"/>
        <v>0</v>
      </c>
      <c r="EP60" s="64">
        <f t="shared" si="168"/>
        <v>0</v>
      </c>
      <c r="EQ60" s="64">
        <f t="shared" si="168"/>
        <v>21</v>
      </c>
      <c r="ER60" s="64">
        <f t="shared" si="168"/>
        <v>7</v>
      </c>
      <c r="ES60" s="64">
        <f t="shared" si="168"/>
        <v>28</v>
      </c>
      <c r="ET60" s="64">
        <f t="shared" si="168"/>
        <v>14</v>
      </c>
      <c r="EU60" s="64">
        <f t="shared" si="168"/>
        <v>35</v>
      </c>
      <c r="EV60" s="64">
        <f t="shared" si="168"/>
        <v>21</v>
      </c>
      <c r="EW60" s="64">
        <f t="shared" si="168"/>
        <v>35</v>
      </c>
      <c r="EX60" s="64">
        <f t="shared" si="168"/>
        <v>28</v>
      </c>
      <c r="EY60" s="64"/>
      <c r="EZ60" s="64" t="s">
        <v>241</v>
      </c>
      <c r="FA60" s="64">
        <v>0</v>
      </c>
      <c r="FB60" s="64">
        <f t="shared" ref="FB60:FM60" si="169">FB5/5*7</f>
        <v>7</v>
      </c>
      <c r="FC60" s="64">
        <f t="shared" si="169"/>
        <v>0</v>
      </c>
      <c r="FD60" s="64">
        <f t="shared" si="169"/>
        <v>0</v>
      </c>
      <c r="FE60" s="64">
        <f t="shared" si="169"/>
        <v>0</v>
      </c>
      <c r="FF60" s="64">
        <f t="shared" si="169"/>
        <v>14</v>
      </c>
      <c r="FG60" s="64">
        <f t="shared" si="169"/>
        <v>7</v>
      </c>
      <c r="FH60" s="64">
        <f t="shared" si="169"/>
        <v>14</v>
      </c>
      <c r="FI60" s="64">
        <f t="shared" si="169"/>
        <v>35</v>
      </c>
      <c r="FJ60" s="64">
        <f t="shared" si="169"/>
        <v>28</v>
      </c>
      <c r="FK60" s="64">
        <f t="shared" si="169"/>
        <v>35</v>
      </c>
      <c r="FL60" s="64">
        <f t="shared" si="169"/>
        <v>28</v>
      </c>
      <c r="FM60" s="64">
        <f t="shared" si="169"/>
        <v>42</v>
      </c>
      <c r="FN60" s="64"/>
      <c r="FO60" s="64" t="s">
        <v>241</v>
      </c>
      <c r="FP60" s="64">
        <v>0</v>
      </c>
      <c r="FQ60" s="64">
        <f t="shared" ref="FQ60:GB60" si="170">FQ5/5*7</f>
        <v>7</v>
      </c>
      <c r="FR60" s="64">
        <f t="shared" si="170"/>
        <v>0</v>
      </c>
      <c r="FS60" s="64">
        <f t="shared" si="170"/>
        <v>7</v>
      </c>
      <c r="FT60" s="64">
        <f t="shared" si="170"/>
        <v>21</v>
      </c>
      <c r="FU60" s="64">
        <f t="shared" si="170"/>
        <v>7</v>
      </c>
      <c r="FV60" s="64">
        <f t="shared" si="170"/>
        <v>28</v>
      </c>
      <c r="FW60" s="64">
        <f t="shared" si="170"/>
        <v>14</v>
      </c>
      <c r="FX60" s="64">
        <f t="shared" si="170"/>
        <v>28</v>
      </c>
      <c r="FY60" s="64">
        <f t="shared" si="170"/>
        <v>42</v>
      </c>
      <c r="FZ60" s="64">
        <f t="shared" si="170"/>
        <v>28</v>
      </c>
      <c r="GA60" s="64">
        <f t="shared" si="170"/>
        <v>42</v>
      </c>
      <c r="GB60" s="64">
        <f t="shared" si="170"/>
        <v>56</v>
      </c>
      <c r="GC60" s="64"/>
      <c r="GD60" s="64" t="s">
        <v>241</v>
      </c>
      <c r="GE60" s="64">
        <v>0</v>
      </c>
      <c r="GF60" s="64">
        <f t="shared" ref="GF60:GQ60" si="171">GF5/5*7</f>
        <v>0</v>
      </c>
      <c r="GG60" s="64">
        <f t="shared" si="171"/>
        <v>0</v>
      </c>
      <c r="GH60" s="64">
        <f t="shared" si="171"/>
        <v>0</v>
      </c>
      <c r="GI60" s="64">
        <f t="shared" si="171"/>
        <v>21</v>
      </c>
      <c r="GJ60" s="64">
        <f t="shared" si="171"/>
        <v>7</v>
      </c>
      <c r="GK60" s="64">
        <f t="shared" si="171"/>
        <v>14</v>
      </c>
      <c r="GL60" s="64">
        <f t="shared" si="171"/>
        <v>28</v>
      </c>
      <c r="GM60" s="64">
        <f t="shared" si="171"/>
        <v>21</v>
      </c>
      <c r="GN60" s="64">
        <f t="shared" si="171"/>
        <v>35</v>
      </c>
      <c r="GO60" s="64">
        <f t="shared" si="171"/>
        <v>42</v>
      </c>
      <c r="GP60" s="64">
        <f t="shared" si="171"/>
        <v>35</v>
      </c>
      <c r="GQ60" s="64">
        <f t="shared" si="171"/>
        <v>49</v>
      </c>
      <c r="GR60" s="64"/>
      <c r="GS60" s="64" t="s">
        <v>241</v>
      </c>
      <c r="GT60" s="64">
        <v>0</v>
      </c>
      <c r="GU60" s="64">
        <f t="shared" ref="GU60:HF60" si="172">GU5/5*7</f>
        <v>0</v>
      </c>
      <c r="GV60" s="64">
        <f t="shared" si="172"/>
        <v>0</v>
      </c>
      <c r="GW60" s="64">
        <f t="shared" si="172"/>
        <v>0</v>
      </c>
      <c r="GX60" s="64">
        <f t="shared" si="172"/>
        <v>7</v>
      </c>
      <c r="GY60" s="64">
        <f>GY5/5*7</f>
        <v>28</v>
      </c>
      <c r="GZ60" s="64">
        <f t="shared" si="172"/>
        <v>14</v>
      </c>
      <c r="HA60" s="64">
        <f t="shared" si="172"/>
        <v>28</v>
      </c>
      <c r="HB60" s="64">
        <f t="shared" si="172"/>
        <v>35</v>
      </c>
      <c r="HC60" s="64">
        <f t="shared" si="172"/>
        <v>42</v>
      </c>
      <c r="HD60" s="64">
        <f t="shared" si="172"/>
        <v>35</v>
      </c>
      <c r="HE60" s="64">
        <f t="shared" si="172"/>
        <v>49</v>
      </c>
      <c r="HF60" s="64">
        <f t="shared" si="172"/>
        <v>63</v>
      </c>
      <c r="HG60" s="70"/>
      <c r="HH60" s="64"/>
    </row>
    <row r="61" spans="1:216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514</v>
      </c>
      <c r="M61" s="11"/>
      <c r="N61" s="11"/>
      <c r="O61" s="11"/>
      <c r="P61" s="36"/>
      <c r="Q61" s="36"/>
      <c r="R61" s="37"/>
      <c r="S61" s="36"/>
      <c r="T61" s="36"/>
      <c r="U61" s="36"/>
      <c r="V61" s="85"/>
      <c r="AG61" s="64"/>
      <c r="AH61" s="64"/>
      <c r="AI61" s="64"/>
      <c r="AJ61" s="64"/>
      <c r="AK61" s="64"/>
      <c r="AL61" s="64"/>
      <c r="AM61" s="64"/>
      <c r="AN61" s="64"/>
      <c r="AO61" s="64"/>
      <c r="AP61" s="64"/>
      <c r="AQ61" s="64"/>
      <c r="AR61" s="64"/>
      <c r="AS61" s="64" t="s">
        <v>515</v>
      </c>
      <c r="AT61" s="64" t="s">
        <v>516</v>
      </c>
      <c r="AU61" s="64" t="s">
        <v>483</v>
      </c>
      <c r="AV61" s="64" t="s">
        <v>517</v>
      </c>
      <c r="AW61" s="64"/>
      <c r="AX61" s="64"/>
      <c r="AY61" s="64"/>
      <c r="AZ61" s="64"/>
      <c r="BA61" s="64"/>
      <c r="BB61" s="64"/>
      <c r="BC61" s="64"/>
      <c r="BD61" s="64"/>
      <c r="BE61" s="64"/>
      <c r="BF61" s="64"/>
      <c r="BG61" s="64"/>
      <c r="BH61" s="72" t="s">
        <v>17</v>
      </c>
      <c r="BI61" s="72">
        <v>0</v>
      </c>
      <c r="BJ61" s="64">
        <f t="shared" si="160"/>
        <v>0</v>
      </c>
      <c r="BK61" s="64">
        <f t="shared" si="160"/>
        <v>0</v>
      </c>
      <c r="BL61" s="64">
        <f t="shared" si="160"/>
        <v>0</v>
      </c>
      <c r="BM61" s="64">
        <f t="shared" si="160"/>
        <v>7</v>
      </c>
      <c r="BN61" s="64">
        <f t="shared" si="160"/>
        <v>7</v>
      </c>
      <c r="BO61" s="64">
        <f t="shared" si="160"/>
        <v>14</v>
      </c>
      <c r="BP61" s="64">
        <f t="shared" si="160"/>
        <v>7</v>
      </c>
      <c r="BQ61" s="64">
        <f t="shared" si="160"/>
        <v>14</v>
      </c>
      <c r="BR61" s="64">
        <f t="shared" si="160"/>
        <v>14</v>
      </c>
      <c r="BS61" s="64">
        <f t="shared" si="160"/>
        <v>21</v>
      </c>
      <c r="BT61" s="64">
        <f t="shared" si="160"/>
        <v>21</v>
      </c>
      <c r="BU61" s="64">
        <f t="shared" si="160"/>
        <v>21</v>
      </c>
      <c r="BV61" s="64"/>
      <c r="BW61" s="64" t="s">
        <v>17</v>
      </c>
      <c r="BX61" s="64">
        <v>0</v>
      </c>
      <c r="BY61" s="64">
        <f t="shared" si="151"/>
        <v>0</v>
      </c>
      <c r="BZ61" s="64">
        <f t="shared" si="151"/>
        <v>0</v>
      </c>
      <c r="CA61" s="64">
        <f t="shared" si="151"/>
        <v>0</v>
      </c>
      <c r="CB61" s="64">
        <f t="shared" si="151"/>
        <v>7</v>
      </c>
      <c r="CC61" s="64">
        <f t="shared" si="151"/>
        <v>7</v>
      </c>
      <c r="CD61" s="64">
        <f t="shared" si="151"/>
        <v>14</v>
      </c>
      <c r="CE61" s="64">
        <f t="shared" si="151"/>
        <v>14</v>
      </c>
      <c r="CF61" s="64">
        <f t="shared" si="151"/>
        <v>14</v>
      </c>
      <c r="CG61" s="64">
        <f t="shared" si="151"/>
        <v>14</v>
      </c>
      <c r="CH61" s="64">
        <f t="shared" si="151"/>
        <v>21</v>
      </c>
      <c r="CI61" s="64">
        <f t="shared" si="151"/>
        <v>21</v>
      </c>
      <c r="CJ61" s="64">
        <f t="shared" si="151"/>
        <v>21</v>
      </c>
      <c r="CK61" s="64"/>
      <c r="CL61" s="64"/>
      <c r="CM61" s="64"/>
      <c r="CN61" s="64" t="s">
        <v>17</v>
      </c>
      <c r="CO61" s="64">
        <v>0</v>
      </c>
      <c r="CP61" s="64">
        <f t="shared" si="152"/>
        <v>0</v>
      </c>
      <c r="CQ61" s="64">
        <f t="shared" si="152"/>
        <v>0</v>
      </c>
      <c r="CR61" s="64">
        <f t="shared" si="152"/>
        <v>7</v>
      </c>
      <c r="CS61" s="64">
        <f t="shared" si="152"/>
        <v>7</v>
      </c>
      <c r="CT61" s="64">
        <f t="shared" si="152"/>
        <v>14</v>
      </c>
      <c r="CU61" s="64">
        <f t="shared" si="152"/>
        <v>7</v>
      </c>
      <c r="CV61" s="64">
        <f t="shared" si="152"/>
        <v>14</v>
      </c>
      <c r="CW61" s="64">
        <f t="shared" si="152"/>
        <v>14</v>
      </c>
      <c r="CX61" s="64">
        <f t="shared" si="152"/>
        <v>14</v>
      </c>
      <c r="CY61" s="64">
        <f t="shared" si="152"/>
        <v>21</v>
      </c>
      <c r="CZ61" s="64">
        <f t="shared" si="152"/>
        <v>21</v>
      </c>
      <c r="DA61" s="64">
        <f t="shared" si="152"/>
        <v>21</v>
      </c>
      <c r="DB61" s="64"/>
      <c r="DC61" s="72" t="s">
        <v>17</v>
      </c>
      <c r="DD61" s="72">
        <v>0</v>
      </c>
      <c r="DE61" s="64">
        <f t="shared" si="153"/>
        <v>0</v>
      </c>
      <c r="DF61" s="64">
        <f t="shared" si="153"/>
        <v>0</v>
      </c>
      <c r="DG61" s="64">
        <f t="shared" si="153"/>
        <v>7</v>
      </c>
      <c r="DH61" s="64">
        <f t="shared" si="153"/>
        <v>7</v>
      </c>
      <c r="DI61" s="64">
        <f t="shared" si="153"/>
        <v>14</v>
      </c>
      <c r="DJ61" s="64">
        <f t="shared" si="153"/>
        <v>14</v>
      </c>
      <c r="DK61" s="64">
        <f t="shared" si="153"/>
        <v>14</v>
      </c>
      <c r="DL61" s="64">
        <f t="shared" si="153"/>
        <v>21</v>
      </c>
      <c r="DM61" s="64">
        <f t="shared" si="153"/>
        <v>21</v>
      </c>
      <c r="DN61" s="64">
        <f t="shared" si="153"/>
        <v>21</v>
      </c>
      <c r="DO61" s="64">
        <f t="shared" si="153"/>
        <v>28</v>
      </c>
      <c r="DP61" s="64">
        <f t="shared" si="153"/>
        <v>28</v>
      </c>
      <c r="DQ61" s="80"/>
      <c r="DR61" s="80">
        <v>36</v>
      </c>
      <c r="DS61" s="80"/>
      <c r="DT61" s="64" t="s">
        <v>17</v>
      </c>
      <c r="DU61" s="64">
        <v>0</v>
      </c>
      <c r="DV61" s="64">
        <f t="shared" si="161"/>
        <v>0</v>
      </c>
      <c r="DW61" s="64">
        <f t="shared" si="161"/>
        <v>0</v>
      </c>
      <c r="DX61" s="64">
        <f t="shared" si="161"/>
        <v>7</v>
      </c>
      <c r="DY61" s="64">
        <f t="shared" si="161"/>
        <v>14</v>
      </c>
      <c r="DZ61" s="64">
        <f t="shared" si="161"/>
        <v>7</v>
      </c>
      <c r="EA61" s="64">
        <f t="shared" si="161"/>
        <v>14</v>
      </c>
      <c r="EB61" s="64">
        <f t="shared" si="161"/>
        <v>14</v>
      </c>
      <c r="EC61" s="64">
        <f t="shared" si="161"/>
        <v>21</v>
      </c>
      <c r="ED61" s="64">
        <f t="shared" si="161"/>
        <v>21</v>
      </c>
      <c r="EE61" s="64">
        <f t="shared" si="161"/>
        <v>28</v>
      </c>
      <c r="EF61" s="64">
        <f t="shared" si="161"/>
        <v>28</v>
      </c>
      <c r="EG61" s="64">
        <f t="shared" si="161"/>
        <v>28</v>
      </c>
      <c r="EH61" s="64"/>
      <c r="EI61" s="64"/>
      <c r="EJ61" s="69"/>
      <c r="EK61" s="72" t="s">
        <v>364</v>
      </c>
      <c r="EL61" s="64">
        <v>0</v>
      </c>
      <c r="EM61" s="64">
        <f t="shared" ref="EM61:EX61" si="173">EM6/5*7</f>
        <v>0</v>
      </c>
      <c r="EN61" s="64">
        <f t="shared" si="173"/>
        <v>0</v>
      </c>
      <c r="EO61" s="64">
        <f t="shared" si="173"/>
        <v>0</v>
      </c>
      <c r="EP61" s="64">
        <f t="shared" si="173"/>
        <v>7</v>
      </c>
      <c r="EQ61" s="64">
        <f t="shared" si="173"/>
        <v>14</v>
      </c>
      <c r="ER61" s="64">
        <f t="shared" si="173"/>
        <v>14</v>
      </c>
      <c r="ES61" s="64">
        <f t="shared" si="173"/>
        <v>21</v>
      </c>
      <c r="ET61" s="64">
        <f t="shared" si="173"/>
        <v>21</v>
      </c>
      <c r="EU61" s="64">
        <f t="shared" si="173"/>
        <v>28</v>
      </c>
      <c r="EV61" s="64">
        <f t="shared" si="173"/>
        <v>28</v>
      </c>
      <c r="EW61" s="64">
        <f t="shared" si="173"/>
        <v>35</v>
      </c>
      <c r="EX61" s="64">
        <f t="shared" si="173"/>
        <v>35</v>
      </c>
      <c r="EY61" s="64"/>
      <c r="EZ61" s="72" t="s">
        <v>364</v>
      </c>
      <c r="FA61" s="64">
        <v>0</v>
      </c>
      <c r="FB61" s="64">
        <f t="shared" ref="FB61:FM61" si="174">FB6/5*7</f>
        <v>0</v>
      </c>
      <c r="FC61" s="64">
        <f t="shared" si="174"/>
        <v>0</v>
      </c>
      <c r="FD61" s="64">
        <f t="shared" si="174"/>
        <v>0</v>
      </c>
      <c r="FE61" s="64">
        <f t="shared" si="174"/>
        <v>7</v>
      </c>
      <c r="FF61" s="64">
        <f t="shared" si="174"/>
        <v>14</v>
      </c>
      <c r="FG61" s="64">
        <f t="shared" si="174"/>
        <v>14</v>
      </c>
      <c r="FH61" s="64">
        <f t="shared" si="174"/>
        <v>21</v>
      </c>
      <c r="FI61" s="64">
        <f t="shared" si="174"/>
        <v>28</v>
      </c>
      <c r="FJ61" s="64">
        <f t="shared" si="174"/>
        <v>28</v>
      </c>
      <c r="FK61" s="64">
        <f t="shared" si="174"/>
        <v>35</v>
      </c>
      <c r="FL61" s="64">
        <f t="shared" si="174"/>
        <v>35</v>
      </c>
      <c r="FM61" s="64">
        <f t="shared" si="174"/>
        <v>42</v>
      </c>
      <c r="FN61" s="64"/>
      <c r="FO61" s="72" t="s">
        <v>364</v>
      </c>
      <c r="FP61" s="64">
        <v>0</v>
      </c>
      <c r="FQ61" s="64">
        <f t="shared" ref="FQ61:GB61" si="175">FQ6/5*7</f>
        <v>0</v>
      </c>
      <c r="FR61" s="64">
        <f t="shared" si="175"/>
        <v>0</v>
      </c>
      <c r="FS61" s="64">
        <f t="shared" si="175"/>
        <v>7</v>
      </c>
      <c r="FT61" s="64">
        <f t="shared" si="175"/>
        <v>14</v>
      </c>
      <c r="FU61" s="64">
        <f t="shared" si="175"/>
        <v>14</v>
      </c>
      <c r="FV61" s="64">
        <f t="shared" si="175"/>
        <v>21</v>
      </c>
      <c r="FW61" s="64">
        <f t="shared" si="175"/>
        <v>21</v>
      </c>
      <c r="FX61" s="64">
        <f t="shared" si="175"/>
        <v>28</v>
      </c>
      <c r="FY61" s="64">
        <f t="shared" si="175"/>
        <v>35</v>
      </c>
      <c r="FZ61" s="64">
        <f t="shared" si="175"/>
        <v>35</v>
      </c>
      <c r="GA61" s="64">
        <f t="shared" si="175"/>
        <v>42</v>
      </c>
      <c r="GB61" s="64">
        <f t="shared" si="175"/>
        <v>49</v>
      </c>
      <c r="GC61" s="64"/>
      <c r="GD61" s="72" t="s">
        <v>364</v>
      </c>
      <c r="GE61" s="64">
        <v>0</v>
      </c>
      <c r="GF61" s="64">
        <f t="shared" ref="GF61:GQ61" si="176">GF6/5*7</f>
        <v>0</v>
      </c>
      <c r="GG61" s="64">
        <f t="shared" si="176"/>
        <v>0</v>
      </c>
      <c r="GH61" s="64">
        <f t="shared" si="176"/>
        <v>7</v>
      </c>
      <c r="GI61" s="64">
        <f t="shared" si="176"/>
        <v>14</v>
      </c>
      <c r="GJ61" s="64">
        <f t="shared" si="176"/>
        <v>14</v>
      </c>
      <c r="GK61" s="64">
        <f t="shared" si="176"/>
        <v>21</v>
      </c>
      <c r="GL61" s="64">
        <f t="shared" si="176"/>
        <v>28</v>
      </c>
      <c r="GM61" s="64">
        <f t="shared" si="176"/>
        <v>28</v>
      </c>
      <c r="GN61" s="64">
        <f t="shared" si="176"/>
        <v>35</v>
      </c>
      <c r="GO61" s="64">
        <f t="shared" si="176"/>
        <v>42</v>
      </c>
      <c r="GP61" s="64">
        <f t="shared" si="176"/>
        <v>42</v>
      </c>
      <c r="GQ61" s="64">
        <f t="shared" si="176"/>
        <v>49</v>
      </c>
      <c r="GR61" s="64"/>
      <c r="GS61" s="72" t="s">
        <v>364</v>
      </c>
      <c r="GT61" s="64">
        <v>0</v>
      </c>
      <c r="GU61" s="64">
        <f t="shared" ref="GU61:HF61" si="177">GU6/5*7</f>
        <v>0</v>
      </c>
      <c r="GV61" s="64">
        <f t="shared" si="177"/>
        <v>0</v>
      </c>
      <c r="GW61" s="64">
        <f t="shared" si="177"/>
        <v>7</v>
      </c>
      <c r="GX61" s="64">
        <f t="shared" si="177"/>
        <v>14</v>
      </c>
      <c r="GY61" s="64">
        <f t="shared" si="177"/>
        <v>21</v>
      </c>
      <c r="GZ61" s="64">
        <f t="shared" si="177"/>
        <v>21</v>
      </c>
      <c r="HA61" s="64">
        <f t="shared" si="177"/>
        <v>28</v>
      </c>
      <c r="HB61" s="64">
        <f t="shared" si="177"/>
        <v>35</v>
      </c>
      <c r="HC61" s="64">
        <f t="shared" si="177"/>
        <v>42</v>
      </c>
      <c r="HD61" s="64">
        <f t="shared" si="177"/>
        <v>42</v>
      </c>
      <c r="HE61" s="64">
        <f t="shared" si="177"/>
        <v>49</v>
      </c>
      <c r="HF61" s="64">
        <f t="shared" si="177"/>
        <v>56</v>
      </c>
      <c r="HG61" s="70"/>
      <c r="HH61" s="64"/>
    </row>
    <row r="62" spans="1:216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CWT70H50/2,4NMC</v>
      </c>
      <c r="M62" s="11">
        <f>INDEX(cenník!$C$2:$I$568,MATCH($L62,cenník!$B$2:$B$557,0),MATCH(M$2,cenník!$C$1:$I$1,0))</f>
        <v>867824</v>
      </c>
      <c r="N62" s="11" t="str">
        <f>INDEX(cenník!$C$2:$I$568,MATCH($L62,cenník!$B$2:$B$557,0),MATCH(N$2,cenník!$C$1:$I$1,0))</f>
        <v>ks</v>
      </c>
      <c r="O62" s="11">
        <f>E38*2</f>
        <v>0</v>
      </c>
      <c r="P62" s="36">
        <f>INDEX(cenník!$C$2:$I$568,MATCH($L62,cenník!$B$2:$B$557,0),MATCH(P$2,cenník!$C$1:$I$1,0))</f>
        <v>41.99</v>
      </c>
      <c r="Q62" s="36">
        <f>O62*P62</f>
        <v>0</v>
      </c>
      <c r="R62" s="37">
        <f>$E$39</f>
        <v>0</v>
      </c>
      <c r="S62" s="36">
        <f>P62*((100-$E$39)/100)</f>
        <v>41.99</v>
      </c>
      <c r="T62" s="36">
        <f>O62*S62</f>
        <v>0</v>
      </c>
      <c r="U62" s="36">
        <f>INDEX(cenník!$C$2:$I$568,MATCH($L62,cenník!$B$2:$B$557,0),MATCH(U$2,cenník!$C$1:$I$1,0))*O62</f>
        <v>0</v>
      </c>
      <c r="V62" s="85"/>
      <c r="W62" s="82"/>
      <c r="X62" s="82"/>
      <c r="Y62" s="82"/>
      <c r="Z62" s="82"/>
      <c r="AA62" s="83" t="s">
        <v>124</v>
      </c>
      <c r="AB62" s="84" t="s">
        <v>126</v>
      </c>
      <c r="AC62" s="64"/>
      <c r="AD62" s="64"/>
      <c r="AE62" s="64"/>
      <c r="AF62" s="64"/>
      <c r="AG62" s="64"/>
      <c r="AH62" s="64"/>
      <c r="AI62" s="64"/>
      <c r="AJ62" s="64"/>
      <c r="AK62" s="64"/>
      <c r="AL62" s="64"/>
      <c r="AM62" s="64"/>
      <c r="AN62" s="64"/>
      <c r="AO62" s="64"/>
      <c r="AP62" s="64"/>
      <c r="AQ62" s="64"/>
      <c r="AR62" s="64" t="s">
        <v>59</v>
      </c>
      <c r="AS62" s="64" t="s">
        <v>293</v>
      </c>
      <c r="AT62" s="64" t="s">
        <v>295</v>
      </c>
      <c r="AU62" s="64" t="s">
        <v>293</v>
      </c>
      <c r="AV62" s="64" t="s">
        <v>293</v>
      </c>
      <c r="AW62" s="64"/>
      <c r="AX62" s="64"/>
      <c r="AY62" s="64"/>
      <c r="AZ62" s="64"/>
      <c r="BA62" s="64"/>
      <c r="BB62" s="64"/>
      <c r="BC62" s="64"/>
      <c r="BD62" s="64"/>
      <c r="BE62" s="64"/>
      <c r="BF62" s="64"/>
      <c r="BG62" s="64" t="s">
        <v>126</v>
      </c>
      <c r="BH62" s="64"/>
      <c r="BI62" s="64"/>
      <c r="BJ62" s="64"/>
      <c r="BK62" s="64"/>
      <c r="BL62" s="64"/>
      <c r="BM62" s="64"/>
      <c r="BN62" s="64"/>
      <c r="BO62" s="64"/>
      <c r="BP62" s="64"/>
      <c r="BQ62" s="64"/>
      <c r="BR62" s="64"/>
      <c r="BS62" s="64"/>
      <c r="BT62" s="64"/>
      <c r="BU62" s="64"/>
      <c r="BV62" s="64"/>
      <c r="BW62" s="64"/>
      <c r="BX62" s="64"/>
      <c r="BY62" s="64"/>
      <c r="BZ62" s="64"/>
      <c r="CA62" s="64"/>
      <c r="CB62" s="64"/>
      <c r="CC62" s="64"/>
      <c r="CD62" s="64"/>
      <c r="CE62" s="64"/>
      <c r="CF62" s="64"/>
      <c r="CG62" s="64"/>
      <c r="CH62" s="64"/>
      <c r="CI62" s="64"/>
      <c r="CJ62" s="64"/>
      <c r="CK62" s="64"/>
      <c r="CL62" s="64"/>
      <c r="CM62" s="64"/>
      <c r="CN62" s="64"/>
      <c r="CO62" s="64"/>
      <c r="CP62" s="64"/>
      <c r="CQ62" s="64"/>
      <c r="CR62" s="64"/>
      <c r="CS62" s="64"/>
      <c r="CT62" s="64"/>
      <c r="CU62" s="64"/>
      <c r="CV62" s="64"/>
      <c r="CW62" s="64"/>
      <c r="CX62" s="64"/>
      <c r="CY62" s="64"/>
      <c r="CZ62" s="64"/>
      <c r="DA62" s="64"/>
      <c r="DB62" s="64"/>
      <c r="DC62" s="64"/>
      <c r="DD62" s="64"/>
      <c r="DE62" s="64"/>
      <c r="DF62" s="64"/>
      <c r="DG62" s="64"/>
      <c r="DH62" s="64"/>
      <c r="DI62" s="64"/>
      <c r="DJ62" s="64"/>
      <c r="DK62" s="64"/>
      <c r="DL62" s="64"/>
      <c r="DM62" s="64"/>
      <c r="DN62" s="64"/>
      <c r="DO62" s="64"/>
      <c r="DP62" s="64"/>
      <c r="DQ62" s="80"/>
      <c r="DR62" s="80">
        <v>42</v>
      </c>
      <c r="DS62" s="80"/>
      <c r="DT62" s="64"/>
      <c r="DU62" s="64"/>
      <c r="DV62" s="64"/>
      <c r="DW62" s="64"/>
      <c r="DX62" s="64"/>
      <c r="DY62" s="64"/>
      <c r="DZ62" s="64"/>
      <c r="EA62" s="64"/>
      <c r="EB62" s="64"/>
      <c r="EC62" s="64"/>
      <c r="ED62" s="64"/>
      <c r="EE62" s="64"/>
      <c r="EF62" s="64"/>
      <c r="EG62" s="64"/>
      <c r="EH62" s="64"/>
      <c r="EI62" s="64"/>
      <c r="EJ62" s="69"/>
      <c r="HG62" s="70"/>
      <c r="HH62" s="64"/>
    </row>
    <row r="63" spans="1:216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290</v>
      </c>
      <c r="M63" s="11">
        <f>INDEX(cenník!$C$2:$I$568,MATCH($L63,cenník!$B$2:$B$557,0),MATCH(M$2,cenník!$C$1:$I$1,0))</f>
        <v>867810</v>
      </c>
      <c r="N63" s="11" t="str">
        <f>INDEX(cenník!$C$2:$I$568,MATCH($L63,cenník!$B$2:$B$557,0),MATCH(N$2,cenník!$C$1:$I$1,0))</f>
        <v>ks</v>
      </c>
      <c r="O63" s="11">
        <f>E38*4</f>
        <v>0</v>
      </c>
      <c r="P63" s="36">
        <f>INDEX(cenník!$C$2:$I$568,MATCH($L63,cenník!$B$2:$B$557,0),MATCH(P$2,cenník!$C$1:$I$1,0))</f>
        <v>17.5</v>
      </c>
      <c r="Q63" s="36">
        <f>O63*P63</f>
        <v>0</v>
      </c>
      <c r="R63" s="37">
        <f>$E$39</f>
        <v>0</v>
      </c>
      <c r="S63" s="36">
        <f>P63*((100-$E$39)/100)</f>
        <v>17.5</v>
      </c>
      <c r="T63" s="36">
        <f>O63*S63</f>
        <v>0</v>
      </c>
      <c r="U63" s="36">
        <f>INDEX(cenník!$C$2:$I$568,MATCH($L63,cenník!$B$2:$B$557,0),MATCH(U$2,cenník!$C$1:$I$1,0))*O63</f>
        <v>0</v>
      </c>
      <c r="V63" s="85"/>
      <c r="W63" s="82"/>
      <c r="X63" s="82"/>
      <c r="Y63" s="82"/>
      <c r="Z63" s="82"/>
      <c r="AA63" s="64">
        <f t="shared" ref="AA63:AA78" si="178">(VLOOKUP(BG63,$AY$5:$BA$9,3,1))*C66</f>
        <v>0</v>
      </c>
      <c r="AB63" s="64">
        <f t="shared" ref="AB63:AB78" si="179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64"/>
      <c r="AD63" s="64"/>
      <c r="AE63" s="64"/>
      <c r="AF63" s="64"/>
      <c r="AG63" s="64"/>
      <c r="AH63" s="64"/>
      <c r="AI63" s="64"/>
      <c r="AJ63" s="64"/>
      <c r="AK63" s="64"/>
      <c r="AL63" s="64"/>
      <c r="AM63" s="64"/>
      <c r="AN63" s="64"/>
      <c r="AO63" s="64"/>
      <c r="AP63" s="64"/>
      <c r="AQ63" s="64"/>
      <c r="AR63" s="64" t="s">
        <v>60</v>
      </c>
      <c r="AS63" s="64" t="s">
        <v>293</v>
      </c>
      <c r="AT63" s="64" t="s">
        <v>295</v>
      </c>
      <c r="AU63" s="64" t="s">
        <v>293</v>
      </c>
      <c r="AV63" s="64" t="s">
        <v>293</v>
      </c>
      <c r="AW63" s="64"/>
      <c r="AX63" s="64"/>
      <c r="AY63" s="64"/>
      <c r="AZ63" s="64"/>
      <c r="BA63" s="64"/>
      <c r="BB63" s="64"/>
      <c r="BC63" s="64"/>
      <c r="BD63" s="64"/>
      <c r="BE63" s="64"/>
      <c r="BF63" s="64"/>
      <c r="BG63" s="64">
        <f t="shared" ref="BG63:BG78" si="180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64" t="s">
        <v>57</v>
      </c>
      <c r="BI63" s="64">
        <v>0</v>
      </c>
      <c r="BJ63" s="64">
        <v>12</v>
      </c>
      <c r="BK63" s="64">
        <v>18</v>
      </c>
      <c r="BL63" s="64">
        <v>24</v>
      </c>
      <c r="BM63" s="64">
        <v>30</v>
      </c>
      <c r="BN63" s="64">
        <v>36</v>
      </c>
      <c r="BO63" s="64">
        <v>42</v>
      </c>
      <c r="BP63" s="64">
        <v>48</v>
      </c>
      <c r="BQ63" s="64">
        <v>54</v>
      </c>
      <c r="BR63" s="64">
        <v>60</v>
      </c>
      <c r="BS63" s="64">
        <v>66</v>
      </c>
      <c r="BT63" s="64">
        <v>72</v>
      </c>
      <c r="BU63" s="64">
        <v>78</v>
      </c>
      <c r="BV63" s="64"/>
      <c r="BW63" s="64" t="s">
        <v>197</v>
      </c>
      <c r="BX63" s="64">
        <v>0</v>
      </c>
      <c r="BY63" s="64">
        <v>12</v>
      </c>
      <c r="BZ63" s="64">
        <v>18</v>
      </c>
      <c r="CA63" s="64">
        <v>24</v>
      </c>
      <c r="CB63" s="64">
        <v>30</v>
      </c>
      <c r="CC63" s="64">
        <v>36</v>
      </c>
      <c r="CD63" s="64">
        <v>42</v>
      </c>
      <c r="CE63" s="64">
        <v>48</v>
      </c>
      <c r="CF63" s="64">
        <v>54</v>
      </c>
      <c r="CG63" s="64">
        <v>60</v>
      </c>
      <c r="CH63" s="64">
        <v>66</v>
      </c>
      <c r="CI63" s="64">
        <v>72</v>
      </c>
      <c r="CJ63" s="64">
        <v>78</v>
      </c>
      <c r="CK63" s="64"/>
      <c r="CL63" s="64"/>
      <c r="CM63" s="64"/>
      <c r="CN63" s="64" t="s">
        <v>58</v>
      </c>
      <c r="CO63" s="64">
        <v>0</v>
      </c>
      <c r="CP63" s="64">
        <v>12</v>
      </c>
      <c r="CQ63" s="64">
        <v>18</v>
      </c>
      <c r="CR63" s="64">
        <v>24</v>
      </c>
      <c r="CS63" s="64">
        <v>30</v>
      </c>
      <c r="CT63" s="64">
        <v>36</v>
      </c>
      <c r="CU63" s="64">
        <v>42</v>
      </c>
      <c r="CV63" s="64">
        <v>48</v>
      </c>
      <c r="CW63" s="64">
        <v>54</v>
      </c>
      <c r="CX63" s="64">
        <v>60</v>
      </c>
      <c r="CY63" s="64">
        <v>66</v>
      </c>
      <c r="CZ63" s="64">
        <v>72</v>
      </c>
      <c r="DA63" s="64">
        <v>78</v>
      </c>
      <c r="DB63" s="64"/>
      <c r="DC63" s="64" t="s">
        <v>203</v>
      </c>
      <c r="DD63" s="64">
        <v>0</v>
      </c>
      <c r="DE63" s="64">
        <v>12</v>
      </c>
      <c r="DF63" s="64">
        <v>18</v>
      </c>
      <c r="DG63" s="64">
        <v>24</v>
      </c>
      <c r="DH63" s="64">
        <v>30</v>
      </c>
      <c r="DI63" s="64">
        <v>36</v>
      </c>
      <c r="DJ63" s="64">
        <v>42</v>
      </c>
      <c r="DK63" s="64">
        <v>48</v>
      </c>
      <c r="DL63" s="64">
        <v>54</v>
      </c>
      <c r="DM63" s="64">
        <v>60</v>
      </c>
      <c r="DN63" s="64">
        <v>66</v>
      </c>
      <c r="DO63" s="64">
        <v>72</v>
      </c>
      <c r="DP63" s="64">
        <v>78</v>
      </c>
      <c r="DQ63" s="80"/>
      <c r="DR63" s="80">
        <v>48</v>
      </c>
      <c r="DS63" s="80"/>
      <c r="DT63" s="64" t="s">
        <v>231</v>
      </c>
      <c r="DU63" s="64">
        <v>0</v>
      </c>
      <c r="DV63" s="64">
        <v>12</v>
      </c>
      <c r="DW63" s="64">
        <v>18</v>
      </c>
      <c r="DX63" s="64">
        <v>24</v>
      </c>
      <c r="DY63" s="64">
        <v>30</v>
      </c>
      <c r="DZ63" s="64">
        <v>36</v>
      </c>
      <c r="EA63" s="64">
        <v>42</v>
      </c>
      <c r="EB63" s="64">
        <v>48</v>
      </c>
      <c r="EC63" s="64">
        <v>54</v>
      </c>
      <c r="ED63" s="64">
        <v>60</v>
      </c>
      <c r="EE63" s="64">
        <v>66</v>
      </c>
      <c r="EF63" s="64">
        <v>72</v>
      </c>
      <c r="EG63" s="64">
        <v>78</v>
      </c>
      <c r="EH63" s="64"/>
      <c r="EI63" s="64"/>
      <c r="EJ63" s="69"/>
      <c r="EK63" s="64" t="s">
        <v>57</v>
      </c>
      <c r="EL63" s="64">
        <v>0</v>
      </c>
      <c r="EM63" s="64">
        <v>12</v>
      </c>
      <c r="EN63" s="64">
        <v>18</v>
      </c>
      <c r="EO63" s="64">
        <v>24</v>
      </c>
      <c r="EP63" s="64">
        <v>30</v>
      </c>
      <c r="EQ63" s="64">
        <v>36</v>
      </c>
      <c r="ER63" s="64">
        <v>42</v>
      </c>
      <c r="ES63" s="64">
        <v>48</v>
      </c>
      <c r="ET63" s="64">
        <v>54</v>
      </c>
      <c r="EU63" s="64">
        <v>60</v>
      </c>
      <c r="EV63" s="64">
        <v>66</v>
      </c>
      <c r="EW63" s="64">
        <v>72</v>
      </c>
      <c r="EX63" s="64">
        <v>78</v>
      </c>
      <c r="EY63" s="64"/>
      <c r="EZ63" s="64" t="s">
        <v>197</v>
      </c>
      <c r="FA63" s="64">
        <v>0</v>
      </c>
      <c r="FB63" s="64">
        <v>12</v>
      </c>
      <c r="FC63" s="64">
        <v>18</v>
      </c>
      <c r="FD63" s="64">
        <v>24</v>
      </c>
      <c r="FE63" s="64">
        <v>30</v>
      </c>
      <c r="FF63" s="64">
        <v>36</v>
      </c>
      <c r="FG63" s="64">
        <v>42</v>
      </c>
      <c r="FH63" s="64">
        <v>48</v>
      </c>
      <c r="FI63" s="64">
        <v>54</v>
      </c>
      <c r="FJ63" s="64">
        <v>60</v>
      </c>
      <c r="FK63" s="64">
        <v>66</v>
      </c>
      <c r="FL63" s="64">
        <v>72</v>
      </c>
      <c r="FM63" s="64">
        <v>78</v>
      </c>
      <c r="FN63" s="64"/>
      <c r="FO63" s="64" t="s">
        <v>58</v>
      </c>
      <c r="FP63" s="64">
        <v>0</v>
      </c>
      <c r="FQ63" s="64">
        <v>12</v>
      </c>
      <c r="FR63" s="64">
        <v>18</v>
      </c>
      <c r="FS63" s="64">
        <v>24</v>
      </c>
      <c r="FT63" s="64">
        <v>30</v>
      </c>
      <c r="FU63" s="64">
        <v>36</v>
      </c>
      <c r="FV63" s="64">
        <v>42</v>
      </c>
      <c r="FW63" s="64">
        <v>48</v>
      </c>
      <c r="FX63" s="64">
        <v>54</v>
      </c>
      <c r="FY63" s="64">
        <v>60</v>
      </c>
      <c r="FZ63" s="64">
        <v>66</v>
      </c>
      <c r="GA63" s="64">
        <v>72</v>
      </c>
      <c r="GB63" s="64">
        <v>78</v>
      </c>
      <c r="GC63" s="64"/>
      <c r="GD63" s="64" t="s">
        <v>203</v>
      </c>
      <c r="GE63" s="64">
        <v>0</v>
      </c>
      <c r="GF63" s="64">
        <v>12</v>
      </c>
      <c r="GG63" s="64">
        <v>18</v>
      </c>
      <c r="GH63" s="64">
        <v>24</v>
      </c>
      <c r="GI63" s="64">
        <v>30</v>
      </c>
      <c r="GJ63" s="64">
        <v>36</v>
      </c>
      <c r="GK63" s="64">
        <v>42</v>
      </c>
      <c r="GL63" s="64">
        <v>48</v>
      </c>
      <c r="GM63" s="64">
        <v>54</v>
      </c>
      <c r="GN63" s="64">
        <v>60</v>
      </c>
      <c r="GO63" s="64">
        <v>66</v>
      </c>
      <c r="GP63" s="64">
        <v>72</v>
      </c>
      <c r="GQ63" s="64">
        <v>78</v>
      </c>
      <c r="GR63" s="64"/>
      <c r="GS63" s="64" t="s">
        <v>231</v>
      </c>
      <c r="GT63" s="64">
        <v>0</v>
      </c>
      <c r="GU63" s="64">
        <v>12</v>
      </c>
      <c r="GV63" s="64">
        <v>18</v>
      </c>
      <c r="GW63" s="64">
        <v>24</v>
      </c>
      <c r="GX63" s="64">
        <v>30</v>
      </c>
      <c r="GY63" s="64">
        <v>36</v>
      </c>
      <c r="GZ63" s="64">
        <v>42</v>
      </c>
      <c r="HA63" s="64">
        <v>48</v>
      </c>
      <c r="HB63" s="64">
        <v>54</v>
      </c>
      <c r="HC63" s="64">
        <v>60</v>
      </c>
      <c r="HD63" s="64">
        <v>66</v>
      </c>
      <c r="HE63" s="64">
        <v>72</v>
      </c>
      <c r="HF63" s="64">
        <v>78</v>
      </c>
      <c r="HG63" s="70"/>
      <c r="HH63" s="64"/>
    </row>
    <row r="64" spans="1:216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6"/>
      <c r="Q64" s="36"/>
      <c r="R64" s="36"/>
      <c r="S64" s="36"/>
      <c r="T64" s="36">
        <f>SUM(T35:T63)</f>
        <v>0</v>
      </c>
      <c r="U64" s="36">
        <f>SUM(U35:U63)</f>
        <v>0</v>
      </c>
      <c r="V64" s="85"/>
      <c r="W64" s="72" t="s">
        <v>17</v>
      </c>
      <c r="X64" s="64" t="s">
        <v>104</v>
      </c>
      <c r="Y64" s="64" t="s">
        <v>103</v>
      </c>
      <c r="Z64" s="64" t="s">
        <v>16</v>
      </c>
      <c r="AA64" s="64">
        <f t="shared" si="178"/>
        <v>0</v>
      </c>
      <c r="AB64" s="64">
        <f t="shared" si="179"/>
        <v>0</v>
      </c>
      <c r="AC64" s="64"/>
      <c r="AD64" s="64"/>
      <c r="AE64" s="64"/>
      <c r="AF64" s="64"/>
      <c r="AG64" s="64"/>
      <c r="AH64" s="64"/>
      <c r="AI64" s="64"/>
      <c r="AJ64" s="64"/>
      <c r="AK64" s="64"/>
      <c r="AL64" s="64"/>
      <c r="AM64" s="64"/>
      <c r="AN64" s="64"/>
      <c r="AO64" s="64"/>
      <c r="AP64" s="64"/>
      <c r="AQ64" s="64"/>
      <c r="AR64" s="64" t="s">
        <v>199</v>
      </c>
      <c r="AS64" s="64" t="s">
        <v>293</v>
      </c>
      <c r="AT64" s="64" t="s">
        <v>295</v>
      </c>
      <c r="AU64" s="64" t="s">
        <v>293</v>
      </c>
      <c r="AV64" s="64" t="s">
        <v>293</v>
      </c>
      <c r="AW64" s="64"/>
      <c r="AX64" s="64"/>
      <c r="AY64" s="64"/>
      <c r="AZ64" s="64"/>
      <c r="BA64" s="64"/>
      <c r="BB64" s="64"/>
      <c r="BC64" s="64"/>
      <c r="BD64" s="64"/>
      <c r="BE64" s="64"/>
      <c r="BF64" s="64"/>
      <c r="BG64" s="64">
        <f t="shared" si="180"/>
        <v>1</v>
      </c>
      <c r="BH64" s="64" t="s">
        <v>104</v>
      </c>
      <c r="BI64" s="64">
        <v>0</v>
      </c>
      <c r="BJ64" s="64">
        <f>IF(BJ9=0,0,IF(BJ9=5,7,IF(BJ9=10,14,IF(BJ9=15,21,IF(BJ9=20,28,0)))))</f>
        <v>0</v>
      </c>
      <c r="BK64" s="64">
        <f t="shared" ref="BK64:BU64" si="181">IF(BK9=0,0,IF(BK9=5,7,IF(BK9=10,14,IF(BK9=15,21,IF(BK9=20,28,0)))))</f>
        <v>7</v>
      </c>
      <c r="BL64" s="64">
        <f t="shared" si="181"/>
        <v>7</v>
      </c>
      <c r="BM64" s="64">
        <f t="shared" si="181"/>
        <v>0</v>
      </c>
      <c r="BN64" s="64">
        <f t="shared" si="181"/>
        <v>7</v>
      </c>
      <c r="BO64" s="64">
        <f t="shared" si="181"/>
        <v>0</v>
      </c>
      <c r="BP64" s="64">
        <f t="shared" si="181"/>
        <v>14</v>
      </c>
      <c r="BQ64" s="64">
        <f t="shared" si="181"/>
        <v>7</v>
      </c>
      <c r="BR64" s="64">
        <f t="shared" si="181"/>
        <v>14</v>
      </c>
      <c r="BS64" s="64">
        <f t="shared" si="181"/>
        <v>7</v>
      </c>
      <c r="BT64" s="64">
        <f t="shared" si="181"/>
        <v>14</v>
      </c>
      <c r="BU64" s="64">
        <f t="shared" si="181"/>
        <v>14</v>
      </c>
      <c r="BV64" s="64"/>
      <c r="BW64" s="64" t="s">
        <v>104</v>
      </c>
      <c r="BX64" s="64">
        <v>0</v>
      </c>
      <c r="BY64" s="64">
        <f t="shared" ref="BY64:CJ67" si="182">IF(BY9=0,0,IF(BY9=5,7,IF(BY9=10,14,IF(BY9=15,21,IF(BY9=20,28,0)))))</f>
        <v>0</v>
      </c>
      <c r="BZ64" s="64">
        <f t="shared" si="182"/>
        <v>7</v>
      </c>
      <c r="CA64" s="64">
        <f t="shared" si="182"/>
        <v>0</v>
      </c>
      <c r="CB64" s="64">
        <f t="shared" si="182"/>
        <v>0</v>
      </c>
      <c r="CC64" s="64">
        <f t="shared" si="182"/>
        <v>0</v>
      </c>
      <c r="CD64" s="64">
        <f t="shared" si="182"/>
        <v>14</v>
      </c>
      <c r="CE64" s="64">
        <f t="shared" si="182"/>
        <v>7</v>
      </c>
      <c r="CF64" s="64">
        <f t="shared" si="182"/>
        <v>14</v>
      </c>
      <c r="CG64" s="64">
        <f t="shared" si="182"/>
        <v>7</v>
      </c>
      <c r="CH64" s="64">
        <f t="shared" si="182"/>
        <v>14</v>
      </c>
      <c r="CI64" s="64">
        <f t="shared" si="182"/>
        <v>14</v>
      </c>
      <c r="CJ64" s="64">
        <f t="shared" si="182"/>
        <v>21</v>
      </c>
      <c r="CK64" s="64"/>
      <c r="CL64" s="64"/>
      <c r="CM64" s="64"/>
      <c r="CN64" s="64" t="s">
        <v>104</v>
      </c>
      <c r="CO64" s="64">
        <v>0</v>
      </c>
      <c r="CP64" s="64">
        <f t="shared" ref="CP64:DA67" si="183">IF(CP9=0,0,IF(CP9=5,7,IF(CP9=10,14,IF(CP9=15,21,IF(CP9=20,28,0)))))</f>
        <v>0</v>
      </c>
      <c r="CQ64" s="64">
        <f t="shared" si="183"/>
        <v>7</v>
      </c>
      <c r="CR64" s="64">
        <f t="shared" si="183"/>
        <v>0</v>
      </c>
      <c r="CS64" s="64">
        <f t="shared" si="183"/>
        <v>7</v>
      </c>
      <c r="CT64" s="64">
        <f t="shared" si="183"/>
        <v>0</v>
      </c>
      <c r="CU64" s="64">
        <f t="shared" si="183"/>
        <v>7</v>
      </c>
      <c r="CV64" s="64">
        <f t="shared" si="183"/>
        <v>14</v>
      </c>
      <c r="CW64" s="64">
        <f t="shared" si="183"/>
        <v>14</v>
      </c>
      <c r="CX64" s="64">
        <f t="shared" si="183"/>
        <v>14</v>
      </c>
      <c r="CY64" s="64">
        <f t="shared" si="183"/>
        <v>14</v>
      </c>
      <c r="CZ64" s="64">
        <f t="shared" si="183"/>
        <v>21</v>
      </c>
      <c r="DA64" s="64">
        <f t="shared" si="183"/>
        <v>28</v>
      </c>
      <c r="DB64" s="64"/>
      <c r="DC64" s="64" t="s">
        <v>104</v>
      </c>
      <c r="DD64" s="64">
        <v>0</v>
      </c>
      <c r="DE64" s="64">
        <f>IF(DE9=0,0,IF(DE9=5,7,IF(DE9=10,14,IF(DE9=15,21,IF(DE9=20,28,0)))))</f>
        <v>0</v>
      </c>
      <c r="DF64" s="64">
        <f t="shared" ref="DF64:DP64" si="184">IF(DF9=0,0,IF(DF9=5,7,IF(DF9=10,14,IF(DF9=15,21,IF(DF9=20,28,0)))))</f>
        <v>7</v>
      </c>
      <c r="DG64" s="64">
        <f t="shared" si="184"/>
        <v>0</v>
      </c>
      <c r="DH64" s="64">
        <f t="shared" si="184"/>
        <v>7</v>
      </c>
      <c r="DI64" s="64">
        <f t="shared" si="184"/>
        <v>14</v>
      </c>
      <c r="DJ64" s="64">
        <f t="shared" si="184"/>
        <v>7</v>
      </c>
      <c r="DK64" s="64">
        <f t="shared" si="184"/>
        <v>14</v>
      </c>
      <c r="DL64" s="64">
        <f t="shared" si="184"/>
        <v>21</v>
      </c>
      <c r="DM64" s="64">
        <f t="shared" si="184"/>
        <v>14</v>
      </c>
      <c r="DN64" s="64">
        <f t="shared" si="184"/>
        <v>21</v>
      </c>
      <c r="DO64" s="64">
        <f t="shared" si="184"/>
        <v>28</v>
      </c>
      <c r="DP64" s="64">
        <f t="shared" si="184"/>
        <v>21</v>
      </c>
      <c r="DQ64" s="80"/>
      <c r="DR64" s="80">
        <v>54</v>
      </c>
      <c r="DS64" s="80"/>
      <c r="DT64" s="64" t="s">
        <v>104</v>
      </c>
      <c r="DU64" s="64">
        <v>0</v>
      </c>
      <c r="DV64" s="64">
        <f>IF(DV9=0,0,IF(DV9=5,7,IF(DV9=10,14,IF(DV9=15,21,IF(DV9=20,28,0)))))</f>
        <v>0</v>
      </c>
      <c r="DW64" s="64">
        <f t="shared" ref="DW64:EG64" si="185">IF(DW9=0,0,IF(DW9=5,7,IF(DW9=10,14,IF(DW9=15,21,IF(DW9=20,28,0)))))</f>
        <v>7</v>
      </c>
      <c r="DX64" s="64">
        <f t="shared" si="185"/>
        <v>0</v>
      </c>
      <c r="DY64" s="64">
        <f t="shared" si="185"/>
        <v>0</v>
      </c>
      <c r="DZ64" s="64">
        <f t="shared" si="185"/>
        <v>14</v>
      </c>
      <c r="EA64" s="64">
        <f t="shared" si="185"/>
        <v>14</v>
      </c>
      <c r="EB64" s="64">
        <f t="shared" si="185"/>
        <v>7</v>
      </c>
      <c r="EC64" s="64">
        <f t="shared" si="185"/>
        <v>14</v>
      </c>
      <c r="ED64" s="64">
        <f t="shared" si="185"/>
        <v>21</v>
      </c>
      <c r="EE64" s="64">
        <f t="shared" si="185"/>
        <v>14</v>
      </c>
      <c r="EF64" s="64">
        <f t="shared" si="185"/>
        <v>21</v>
      </c>
      <c r="EG64" s="64">
        <f t="shared" si="185"/>
        <v>28</v>
      </c>
      <c r="EH64" s="64"/>
      <c r="EI64" s="64"/>
      <c r="EJ64" s="69"/>
      <c r="EK64" s="64" t="s">
        <v>286</v>
      </c>
      <c r="EL64" s="64">
        <v>0</v>
      </c>
      <c r="EM64" s="64">
        <f t="shared" ref="EM64:EX64" si="186">EM9/5*7</f>
        <v>0</v>
      </c>
      <c r="EN64" s="64">
        <f t="shared" si="186"/>
        <v>7</v>
      </c>
      <c r="EO64" s="64">
        <f t="shared" si="186"/>
        <v>7</v>
      </c>
      <c r="EP64" s="64">
        <f t="shared" si="186"/>
        <v>0</v>
      </c>
      <c r="EQ64" s="64">
        <f t="shared" si="186"/>
        <v>0</v>
      </c>
      <c r="ER64" s="64">
        <f t="shared" si="186"/>
        <v>0</v>
      </c>
      <c r="ES64" s="64">
        <f t="shared" si="186"/>
        <v>0</v>
      </c>
      <c r="ET64" s="64">
        <f t="shared" si="186"/>
        <v>0</v>
      </c>
      <c r="EU64" s="64">
        <f t="shared" si="186"/>
        <v>0</v>
      </c>
      <c r="EV64" s="64">
        <f t="shared" si="186"/>
        <v>0</v>
      </c>
      <c r="EW64" s="64">
        <f t="shared" si="186"/>
        <v>0</v>
      </c>
      <c r="EX64" s="64">
        <f t="shared" si="186"/>
        <v>0</v>
      </c>
      <c r="EZ64" s="64" t="s">
        <v>286</v>
      </c>
      <c r="FA64" s="64">
        <v>0</v>
      </c>
      <c r="FB64" s="64">
        <f t="shared" ref="FB64:FM64" si="187">FB9/5*7</f>
        <v>0</v>
      </c>
      <c r="FC64" s="64">
        <f t="shared" si="187"/>
        <v>7</v>
      </c>
      <c r="FD64" s="64">
        <f t="shared" si="187"/>
        <v>0</v>
      </c>
      <c r="FE64" s="64">
        <f t="shared" si="187"/>
        <v>0</v>
      </c>
      <c r="FF64" s="64">
        <f t="shared" si="187"/>
        <v>0</v>
      </c>
      <c r="FG64" s="64">
        <f t="shared" si="187"/>
        <v>0</v>
      </c>
      <c r="FH64" s="64">
        <f t="shared" si="187"/>
        <v>0</v>
      </c>
      <c r="FI64" s="64">
        <f t="shared" si="187"/>
        <v>0</v>
      </c>
      <c r="FJ64" s="64">
        <f t="shared" si="187"/>
        <v>0</v>
      </c>
      <c r="FK64" s="64">
        <f t="shared" si="187"/>
        <v>0</v>
      </c>
      <c r="FL64" s="64">
        <f t="shared" si="187"/>
        <v>0</v>
      </c>
      <c r="FM64" s="64">
        <f t="shared" si="187"/>
        <v>0</v>
      </c>
      <c r="FO64" s="64" t="s">
        <v>286</v>
      </c>
      <c r="FP64" s="64">
        <v>0</v>
      </c>
      <c r="FQ64" s="64">
        <f t="shared" ref="FQ64:GB64" si="188">FQ9/5*7</f>
        <v>0</v>
      </c>
      <c r="FR64" s="64">
        <f t="shared" si="188"/>
        <v>7</v>
      </c>
      <c r="FS64" s="64">
        <f t="shared" si="188"/>
        <v>0</v>
      </c>
      <c r="FT64" s="64">
        <f t="shared" si="188"/>
        <v>0</v>
      </c>
      <c r="FU64" s="64">
        <f t="shared" si="188"/>
        <v>0</v>
      </c>
      <c r="FV64" s="64">
        <f t="shared" si="188"/>
        <v>0</v>
      </c>
      <c r="FW64" s="64">
        <f t="shared" si="188"/>
        <v>0</v>
      </c>
      <c r="FX64" s="64">
        <f t="shared" si="188"/>
        <v>0</v>
      </c>
      <c r="FY64" s="64">
        <f t="shared" si="188"/>
        <v>0</v>
      </c>
      <c r="FZ64" s="64">
        <f t="shared" si="188"/>
        <v>0</v>
      </c>
      <c r="GA64" s="64">
        <f t="shared" si="188"/>
        <v>0</v>
      </c>
      <c r="GB64" s="64">
        <f t="shared" si="188"/>
        <v>0</v>
      </c>
      <c r="GD64" s="64" t="s">
        <v>286</v>
      </c>
      <c r="GE64" s="64">
        <v>0</v>
      </c>
      <c r="GF64" s="64">
        <f t="shared" ref="GF64:GQ64" si="189">GF9/5*7</f>
        <v>0</v>
      </c>
      <c r="GG64" s="64">
        <f t="shared" si="189"/>
        <v>7</v>
      </c>
      <c r="GH64" s="64">
        <f t="shared" si="189"/>
        <v>0</v>
      </c>
      <c r="GI64" s="64">
        <f t="shared" si="189"/>
        <v>0</v>
      </c>
      <c r="GJ64" s="64">
        <f t="shared" si="189"/>
        <v>0</v>
      </c>
      <c r="GK64" s="64">
        <f t="shared" si="189"/>
        <v>0</v>
      </c>
      <c r="GL64" s="64">
        <f t="shared" si="189"/>
        <v>0</v>
      </c>
      <c r="GM64" s="64">
        <f t="shared" si="189"/>
        <v>0</v>
      </c>
      <c r="GN64" s="64">
        <f t="shared" si="189"/>
        <v>0</v>
      </c>
      <c r="GO64" s="64">
        <f t="shared" si="189"/>
        <v>0</v>
      </c>
      <c r="GP64" s="64">
        <f t="shared" si="189"/>
        <v>0</v>
      </c>
      <c r="GQ64" s="64">
        <f t="shared" si="189"/>
        <v>0</v>
      </c>
      <c r="GS64" s="64" t="s">
        <v>286</v>
      </c>
      <c r="GT64" s="64">
        <v>0</v>
      </c>
      <c r="GU64" s="64">
        <f t="shared" ref="GU64:HF64" si="190">GU9/5*7</f>
        <v>0</v>
      </c>
      <c r="GV64" s="64">
        <f t="shared" si="190"/>
        <v>7</v>
      </c>
      <c r="GW64" s="64">
        <f t="shared" si="190"/>
        <v>0</v>
      </c>
      <c r="GX64" s="64">
        <f t="shared" si="190"/>
        <v>0</v>
      </c>
      <c r="GY64" s="64">
        <f t="shared" si="190"/>
        <v>0</v>
      </c>
      <c r="GZ64" s="64">
        <f t="shared" si="190"/>
        <v>0</v>
      </c>
      <c r="HA64" s="64">
        <f t="shared" si="190"/>
        <v>0</v>
      </c>
      <c r="HB64" s="64">
        <f t="shared" si="190"/>
        <v>0</v>
      </c>
      <c r="HC64" s="64">
        <f t="shared" si="190"/>
        <v>0</v>
      </c>
      <c r="HD64" s="64">
        <f t="shared" si="190"/>
        <v>0</v>
      </c>
      <c r="HE64" s="64">
        <f t="shared" si="190"/>
        <v>0</v>
      </c>
      <c r="HF64" s="64">
        <f t="shared" si="190"/>
        <v>0</v>
      </c>
      <c r="HG64" s="70"/>
      <c r="HH64" s="64"/>
    </row>
    <row r="65" spans="1:254" ht="39" x14ac:dyDescent="0.25">
      <c r="A65" s="3" t="s">
        <v>554</v>
      </c>
      <c r="B65" s="3"/>
      <c r="C65" s="3" t="s">
        <v>555</v>
      </c>
      <c r="D65" s="9"/>
      <c r="E65" s="9"/>
      <c r="F65" s="9"/>
      <c r="G65" s="9"/>
      <c r="H65" s="9"/>
      <c r="I65" s="9"/>
      <c r="J65" s="9"/>
      <c r="K65" s="9"/>
      <c r="L65" s="221" t="str">
        <f>IF(E69="zatĺkaná","KONŠTRUKCIA W-H6G2-25°",IF(E69="betónovaná","KONŠTRUKCIA W-H6B2-25°",IF(E69="kotvená","KONŠTRUKCIA W-H6K2-25°",IF(E69="na zemných skrutkach","KONŠTRUKCIA W-H6S2-25°"))))</f>
        <v>KONŠTRUKCIA W-H6G2-25°</v>
      </c>
      <c r="M65" s="221"/>
      <c r="N65" s="221"/>
      <c r="O65" s="221"/>
      <c r="P65" s="221"/>
      <c r="Q65" s="221"/>
      <c r="R65" s="221"/>
      <c r="S65" s="221"/>
      <c r="T65" s="221"/>
      <c r="U65" s="221"/>
      <c r="V65" s="85"/>
      <c r="W65" s="64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64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64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64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64">
        <f t="shared" si="178"/>
        <v>0</v>
      </c>
      <c r="AB65" s="64">
        <f t="shared" si="179"/>
        <v>0</v>
      </c>
      <c r="AC65" s="64"/>
      <c r="AD65" s="64"/>
      <c r="AE65" s="64"/>
      <c r="AF65" s="64"/>
      <c r="AG65" s="64"/>
      <c r="AH65" s="64"/>
      <c r="AI65" s="64"/>
      <c r="AJ65" s="64"/>
      <c r="AK65" s="64"/>
      <c r="AL65" s="64"/>
      <c r="AM65" s="64"/>
      <c r="AN65" s="64"/>
      <c r="AO65" s="64"/>
      <c r="AP65" s="64"/>
      <c r="AQ65" s="64"/>
      <c r="AR65" s="64"/>
      <c r="AS65" s="64"/>
      <c r="AT65" s="64"/>
      <c r="AU65" s="64"/>
      <c r="AV65" s="64"/>
      <c r="AW65" s="64"/>
      <c r="AX65" s="64"/>
      <c r="AY65" s="64"/>
      <c r="AZ65" s="64"/>
      <c r="BA65" s="64"/>
      <c r="BB65" s="64"/>
      <c r="BC65" s="64"/>
      <c r="BD65" s="64"/>
      <c r="BE65" s="64"/>
      <c r="BF65" s="64"/>
      <c r="BG65" s="64">
        <f t="shared" si="180"/>
        <v>1</v>
      </c>
      <c r="BH65" s="64" t="s">
        <v>103</v>
      </c>
      <c r="BI65" s="64">
        <v>0</v>
      </c>
      <c r="BJ65" s="64">
        <f t="shared" ref="BJ65:BU67" si="191">IF(BJ10=0,0,IF(BJ10=5,7,IF(BJ10=10,14,IF(BJ10=15,21,IF(BJ10=20,28,0)))))</f>
        <v>0</v>
      </c>
      <c r="BK65" s="64">
        <f t="shared" si="191"/>
        <v>0</v>
      </c>
      <c r="BL65" s="64">
        <f t="shared" si="191"/>
        <v>0</v>
      </c>
      <c r="BM65" s="64">
        <f t="shared" si="191"/>
        <v>14</v>
      </c>
      <c r="BN65" s="64">
        <f t="shared" si="191"/>
        <v>0</v>
      </c>
      <c r="BO65" s="64">
        <f>IF(BO10=0,0,IF(BO10=5,7,IF(BO10=10,14,IF(BO10=15,21,IF(BO10=20,28,0)))))</f>
        <v>14</v>
      </c>
      <c r="BP65" s="64">
        <f t="shared" si="191"/>
        <v>0</v>
      </c>
      <c r="BQ65" s="64">
        <f t="shared" si="191"/>
        <v>14</v>
      </c>
      <c r="BR65" s="64">
        <f t="shared" si="191"/>
        <v>0</v>
      </c>
      <c r="BS65" s="64">
        <f t="shared" si="191"/>
        <v>14</v>
      </c>
      <c r="BT65" s="64">
        <f t="shared" si="191"/>
        <v>7</v>
      </c>
      <c r="BU65" s="64">
        <f t="shared" si="191"/>
        <v>14</v>
      </c>
      <c r="BV65" s="64"/>
      <c r="BW65" s="64" t="s">
        <v>103</v>
      </c>
      <c r="BX65" s="64">
        <v>0</v>
      </c>
      <c r="BY65" s="64">
        <f t="shared" si="182"/>
        <v>0</v>
      </c>
      <c r="BZ65" s="64">
        <f t="shared" si="182"/>
        <v>0</v>
      </c>
      <c r="CA65" s="64">
        <f t="shared" si="182"/>
        <v>7</v>
      </c>
      <c r="CB65" s="64">
        <f t="shared" si="182"/>
        <v>14</v>
      </c>
      <c r="CC65" s="64">
        <f t="shared" si="182"/>
        <v>14</v>
      </c>
      <c r="CD65" s="64">
        <f t="shared" si="182"/>
        <v>0</v>
      </c>
      <c r="CE65" s="64">
        <f t="shared" si="182"/>
        <v>14</v>
      </c>
      <c r="CF65" s="64">
        <f t="shared" si="182"/>
        <v>7</v>
      </c>
      <c r="CG65" s="64">
        <f t="shared" si="182"/>
        <v>14</v>
      </c>
      <c r="CH65" s="64">
        <f t="shared" si="182"/>
        <v>7</v>
      </c>
      <c r="CI65" s="64">
        <f t="shared" si="182"/>
        <v>14</v>
      </c>
      <c r="CJ65" s="64">
        <f t="shared" si="182"/>
        <v>7</v>
      </c>
      <c r="CK65" s="64"/>
      <c r="CL65" s="64"/>
      <c r="CM65" s="64"/>
      <c r="CN65" s="64" t="s">
        <v>103</v>
      </c>
      <c r="CO65" s="64">
        <v>0</v>
      </c>
      <c r="CP65" s="64">
        <f t="shared" si="183"/>
        <v>7</v>
      </c>
      <c r="CQ65" s="64">
        <f t="shared" si="183"/>
        <v>0</v>
      </c>
      <c r="CR65" s="64">
        <f t="shared" si="183"/>
        <v>7</v>
      </c>
      <c r="CS65" s="64">
        <f t="shared" si="183"/>
        <v>0</v>
      </c>
      <c r="CT65" s="64">
        <f t="shared" si="183"/>
        <v>14</v>
      </c>
      <c r="CU65" s="64">
        <f t="shared" si="183"/>
        <v>14</v>
      </c>
      <c r="CV65" s="64">
        <f t="shared" si="183"/>
        <v>0</v>
      </c>
      <c r="CW65" s="64">
        <f t="shared" si="183"/>
        <v>7</v>
      </c>
      <c r="CX65" s="64">
        <f t="shared" si="183"/>
        <v>7</v>
      </c>
      <c r="CY65" s="64">
        <f t="shared" si="183"/>
        <v>14</v>
      </c>
      <c r="CZ65" s="64">
        <f t="shared" si="183"/>
        <v>7</v>
      </c>
      <c r="DA65" s="64">
        <f t="shared" si="183"/>
        <v>0</v>
      </c>
      <c r="DB65" s="64"/>
      <c r="DC65" s="64" t="s">
        <v>103</v>
      </c>
      <c r="DD65" s="64">
        <v>0</v>
      </c>
      <c r="DE65" s="64">
        <f t="shared" ref="DE65:DP67" si="192">IF(DE10=0,0,IF(DE10=5,7,IF(DE10=10,14,IF(DE10=15,21,IF(DE10=20,28,0)))))</f>
        <v>7</v>
      </c>
      <c r="DF65" s="64">
        <f t="shared" si="192"/>
        <v>0</v>
      </c>
      <c r="DG65" s="64">
        <f t="shared" si="192"/>
        <v>14</v>
      </c>
      <c r="DH65" s="64">
        <f t="shared" si="192"/>
        <v>7</v>
      </c>
      <c r="DI65" s="64">
        <f t="shared" si="192"/>
        <v>0</v>
      </c>
      <c r="DJ65" s="64">
        <f t="shared" si="192"/>
        <v>14</v>
      </c>
      <c r="DK65" s="64">
        <f t="shared" si="192"/>
        <v>7</v>
      </c>
      <c r="DL65" s="64">
        <f t="shared" si="192"/>
        <v>0</v>
      </c>
      <c r="DM65" s="64">
        <f t="shared" si="192"/>
        <v>14</v>
      </c>
      <c r="DN65" s="64">
        <f t="shared" si="192"/>
        <v>7</v>
      </c>
      <c r="DO65" s="64">
        <f t="shared" si="192"/>
        <v>0</v>
      </c>
      <c r="DP65" s="64">
        <f t="shared" si="192"/>
        <v>7</v>
      </c>
      <c r="DQ65" s="80"/>
      <c r="DR65" s="80">
        <v>60</v>
      </c>
      <c r="DS65" s="80"/>
      <c r="DT65" s="64" t="s">
        <v>103</v>
      </c>
      <c r="DU65" s="64">
        <v>0</v>
      </c>
      <c r="DV65" s="64">
        <f t="shared" ref="DV65:EG67" si="193">IF(DV10=0,0,IF(DV10=5,7,IF(DV10=10,14,IF(DV10=15,21,IF(DV10=20,28,0)))))</f>
        <v>7</v>
      </c>
      <c r="DW65" s="64">
        <f t="shared" si="193"/>
        <v>0</v>
      </c>
      <c r="DX65" s="64">
        <f t="shared" si="193"/>
        <v>14</v>
      </c>
      <c r="DY65" s="64">
        <f t="shared" si="193"/>
        <v>14</v>
      </c>
      <c r="DZ65" s="64">
        <f t="shared" si="193"/>
        <v>0</v>
      </c>
      <c r="EA65" s="64">
        <f t="shared" si="193"/>
        <v>0</v>
      </c>
      <c r="EB65" s="64">
        <f t="shared" si="193"/>
        <v>14</v>
      </c>
      <c r="EC65" s="64">
        <f t="shared" si="193"/>
        <v>7</v>
      </c>
      <c r="ED65" s="64">
        <f t="shared" si="193"/>
        <v>7</v>
      </c>
      <c r="EE65" s="64">
        <f t="shared" si="193"/>
        <v>14</v>
      </c>
      <c r="EF65" s="64">
        <f t="shared" si="193"/>
        <v>7</v>
      </c>
      <c r="EG65" s="64">
        <f t="shared" si="193"/>
        <v>0</v>
      </c>
      <c r="EH65" s="64"/>
      <c r="EI65" s="64"/>
      <c r="EJ65" s="69"/>
      <c r="EK65" s="64" t="s">
        <v>240</v>
      </c>
      <c r="EL65" s="64">
        <v>0</v>
      </c>
      <c r="EM65" s="64">
        <f t="shared" ref="EM65:EX65" si="194">EM10/5*7</f>
        <v>0</v>
      </c>
      <c r="EN65" s="64">
        <f t="shared" si="194"/>
        <v>0</v>
      </c>
      <c r="EO65" s="64">
        <f t="shared" si="194"/>
        <v>0</v>
      </c>
      <c r="EP65" s="64">
        <f t="shared" si="194"/>
        <v>14</v>
      </c>
      <c r="EQ65" s="64">
        <f t="shared" si="194"/>
        <v>0</v>
      </c>
      <c r="ER65" s="64">
        <f t="shared" si="194"/>
        <v>14</v>
      </c>
      <c r="ES65" s="64">
        <f t="shared" si="194"/>
        <v>0</v>
      </c>
      <c r="ET65" s="64">
        <f t="shared" si="194"/>
        <v>14</v>
      </c>
      <c r="EU65" s="64">
        <f t="shared" si="194"/>
        <v>0</v>
      </c>
      <c r="EV65" s="64">
        <f t="shared" si="194"/>
        <v>14</v>
      </c>
      <c r="EW65" s="64">
        <f t="shared" si="194"/>
        <v>7</v>
      </c>
      <c r="EX65" s="64">
        <f t="shared" si="194"/>
        <v>14</v>
      </c>
      <c r="EY65" s="64"/>
      <c r="EZ65" s="64" t="s">
        <v>240</v>
      </c>
      <c r="FA65" s="64">
        <v>0</v>
      </c>
      <c r="FB65" s="64">
        <f t="shared" ref="FB65:FM65" si="195">FB10/5*7</f>
        <v>0</v>
      </c>
      <c r="FC65" s="64">
        <f t="shared" si="195"/>
        <v>0</v>
      </c>
      <c r="FD65" s="64">
        <f t="shared" si="195"/>
        <v>7</v>
      </c>
      <c r="FE65" s="64">
        <f t="shared" si="195"/>
        <v>14</v>
      </c>
      <c r="FF65" s="64">
        <f t="shared" si="195"/>
        <v>14</v>
      </c>
      <c r="FG65" s="64">
        <f t="shared" si="195"/>
        <v>0</v>
      </c>
      <c r="FH65" s="64">
        <f t="shared" si="195"/>
        <v>14</v>
      </c>
      <c r="FI65" s="64">
        <f t="shared" si="195"/>
        <v>7</v>
      </c>
      <c r="FJ65" s="64">
        <f t="shared" si="195"/>
        <v>14</v>
      </c>
      <c r="FK65" s="64">
        <f t="shared" si="195"/>
        <v>7</v>
      </c>
      <c r="FL65" s="64">
        <f t="shared" si="195"/>
        <v>14</v>
      </c>
      <c r="FM65" s="64">
        <f t="shared" si="195"/>
        <v>7</v>
      </c>
      <c r="FN65" s="64"/>
      <c r="FO65" s="64" t="s">
        <v>240</v>
      </c>
      <c r="FP65" s="64">
        <v>0</v>
      </c>
      <c r="FQ65" s="64">
        <f t="shared" ref="FQ65:GB65" si="196">FQ10/5*7</f>
        <v>7</v>
      </c>
      <c r="FR65" s="64">
        <f t="shared" si="196"/>
        <v>0</v>
      </c>
      <c r="FS65" s="64">
        <f t="shared" si="196"/>
        <v>7</v>
      </c>
      <c r="FT65" s="64">
        <f t="shared" si="196"/>
        <v>0</v>
      </c>
      <c r="FU65" s="64">
        <f t="shared" si="196"/>
        <v>14</v>
      </c>
      <c r="FV65" s="64">
        <f t="shared" si="196"/>
        <v>14</v>
      </c>
      <c r="FW65" s="64">
        <f t="shared" si="196"/>
        <v>0</v>
      </c>
      <c r="FX65" s="64">
        <f t="shared" si="196"/>
        <v>7</v>
      </c>
      <c r="FY65" s="64">
        <f t="shared" si="196"/>
        <v>7</v>
      </c>
      <c r="FZ65" s="64">
        <f t="shared" si="196"/>
        <v>14</v>
      </c>
      <c r="GA65" s="64">
        <f t="shared" si="196"/>
        <v>7</v>
      </c>
      <c r="GB65" s="64">
        <f t="shared" si="196"/>
        <v>0</v>
      </c>
      <c r="GC65" s="64"/>
      <c r="GD65" s="64" t="s">
        <v>240</v>
      </c>
      <c r="GE65" s="64">
        <v>0</v>
      </c>
      <c r="GF65" s="64">
        <f t="shared" ref="GF65:GQ65" si="197">GF10/5*7</f>
        <v>7</v>
      </c>
      <c r="GG65" s="64">
        <f t="shared" si="197"/>
        <v>0</v>
      </c>
      <c r="GH65" s="64">
        <f t="shared" si="197"/>
        <v>14</v>
      </c>
      <c r="GI65" s="64">
        <f t="shared" si="197"/>
        <v>7</v>
      </c>
      <c r="GJ65" s="64">
        <f t="shared" si="197"/>
        <v>0</v>
      </c>
      <c r="GK65" s="64">
        <f t="shared" si="197"/>
        <v>14</v>
      </c>
      <c r="GL65" s="64">
        <f t="shared" si="197"/>
        <v>7</v>
      </c>
      <c r="GM65" s="64">
        <f t="shared" si="197"/>
        <v>0</v>
      </c>
      <c r="GN65" s="64">
        <f t="shared" si="197"/>
        <v>14</v>
      </c>
      <c r="GO65" s="64">
        <f t="shared" si="197"/>
        <v>7</v>
      </c>
      <c r="GP65" s="64">
        <f t="shared" si="197"/>
        <v>0</v>
      </c>
      <c r="GQ65" s="64">
        <f t="shared" si="197"/>
        <v>7</v>
      </c>
      <c r="GR65" s="64"/>
      <c r="GS65" s="64" t="s">
        <v>240</v>
      </c>
      <c r="GT65" s="64">
        <v>0</v>
      </c>
      <c r="GU65" s="64">
        <f t="shared" ref="GU65:HF65" si="198">GU10/5*7</f>
        <v>7</v>
      </c>
      <c r="GV65" s="64">
        <f t="shared" si="198"/>
        <v>0</v>
      </c>
      <c r="GW65" s="64">
        <f t="shared" si="198"/>
        <v>14</v>
      </c>
      <c r="GX65" s="64">
        <f t="shared" si="198"/>
        <v>14</v>
      </c>
      <c r="GY65" s="64">
        <f t="shared" si="198"/>
        <v>0</v>
      </c>
      <c r="GZ65" s="64">
        <f t="shared" si="198"/>
        <v>0</v>
      </c>
      <c r="HA65" s="64">
        <f t="shared" si="198"/>
        <v>14</v>
      </c>
      <c r="HB65" s="64">
        <f t="shared" si="198"/>
        <v>7</v>
      </c>
      <c r="HC65" s="64">
        <f t="shared" si="198"/>
        <v>7</v>
      </c>
      <c r="HD65" s="64">
        <f t="shared" si="198"/>
        <v>14</v>
      </c>
      <c r="HE65" s="64">
        <f t="shared" si="198"/>
        <v>7</v>
      </c>
      <c r="HF65" s="64">
        <f t="shared" si="198"/>
        <v>0</v>
      </c>
      <c r="HG65" s="70"/>
      <c r="HH65" s="64"/>
    </row>
    <row r="66" spans="1:254" x14ac:dyDescent="0.25">
      <c r="A66" s="8"/>
      <c r="B66" s="5" t="s">
        <v>61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53</v>
      </c>
      <c r="M66" s="5" t="s">
        <v>559</v>
      </c>
      <c r="N66" s="5" t="s">
        <v>436</v>
      </c>
      <c r="O66" s="5" t="s">
        <v>442</v>
      </c>
      <c r="P66" s="5" t="s">
        <v>443</v>
      </c>
      <c r="Q66" s="5" t="s">
        <v>444</v>
      </c>
      <c r="R66" s="5" t="s">
        <v>445</v>
      </c>
      <c r="S66" s="5" t="s">
        <v>446</v>
      </c>
      <c r="T66" s="5" t="s">
        <v>447</v>
      </c>
      <c r="U66" s="5" t="s">
        <v>438</v>
      </c>
      <c r="V66" s="85"/>
      <c r="W66" s="64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64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64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64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64">
        <f t="shared" si="178"/>
        <v>0</v>
      </c>
      <c r="AB66" s="64">
        <f t="shared" si="179"/>
        <v>0</v>
      </c>
      <c r="AC66" s="64"/>
      <c r="AD66" s="64"/>
      <c r="AE66" s="64"/>
      <c r="AF66" s="64"/>
      <c r="AG66" s="64"/>
      <c r="AH66" s="64"/>
      <c r="AI66" s="64"/>
      <c r="AJ66" s="64"/>
      <c r="AK66" s="64"/>
      <c r="AL66" s="64"/>
      <c r="AM66" s="64"/>
      <c r="AN66" s="64"/>
      <c r="AO66" s="64"/>
      <c r="AP66" s="64"/>
      <c r="AQ66" s="64"/>
      <c r="AR66" s="83" t="s">
        <v>342</v>
      </c>
      <c r="AS66" s="64"/>
      <c r="AT66" s="64"/>
      <c r="AU66" s="64"/>
      <c r="AV66" s="64"/>
      <c r="AW66" s="64"/>
      <c r="AX66" s="64"/>
      <c r="AY66" s="64"/>
      <c r="AZ66" s="64"/>
      <c r="BA66" s="64"/>
      <c r="BB66" s="64"/>
      <c r="BC66" s="64"/>
      <c r="BD66" s="64"/>
      <c r="BE66" s="64"/>
      <c r="BF66" s="64"/>
      <c r="BG66" s="64">
        <f t="shared" si="180"/>
        <v>1</v>
      </c>
      <c r="BH66" s="64" t="s">
        <v>16</v>
      </c>
      <c r="BI66" s="64">
        <v>0</v>
      </c>
      <c r="BJ66" s="64">
        <f t="shared" si="191"/>
        <v>7</v>
      </c>
      <c r="BK66" s="64">
        <f t="shared" si="191"/>
        <v>0</v>
      </c>
      <c r="BL66" s="64">
        <f t="shared" si="191"/>
        <v>0</v>
      </c>
      <c r="BM66" s="64">
        <f t="shared" si="191"/>
        <v>0</v>
      </c>
      <c r="BN66" s="64">
        <f t="shared" si="191"/>
        <v>7</v>
      </c>
      <c r="BO66" s="64">
        <f t="shared" si="191"/>
        <v>7</v>
      </c>
      <c r="BP66" s="64">
        <f t="shared" si="191"/>
        <v>0</v>
      </c>
      <c r="BQ66" s="64">
        <f t="shared" si="191"/>
        <v>0</v>
      </c>
      <c r="BR66" s="64">
        <f t="shared" si="191"/>
        <v>7</v>
      </c>
      <c r="BS66" s="64">
        <f t="shared" si="191"/>
        <v>7</v>
      </c>
      <c r="BT66" s="64">
        <f t="shared" si="191"/>
        <v>7</v>
      </c>
      <c r="BU66" s="64">
        <f t="shared" si="191"/>
        <v>0</v>
      </c>
      <c r="BV66" s="64"/>
      <c r="BW66" s="64" t="s">
        <v>16</v>
      </c>
      <c r="BX66" s="64">
        <v>0</v>
      </c>
      <c r="BY66" s="64">
        <f t="shared" si="182"/>
        <v>7</v>
      </c>
      <c r="BZ66" s="64">
        <f t="shared" si="182"/>
        <v>0</v>
      </c>
      <c r="CA66" s="64">
        <f t="shared" si="182"/>
        <v>7</v>
      </c>
      <c r="CB66" s="64">
        <f t="shared" si="182"/>
        <v>0</v>
      </c>
      <c r="CC66" s="64">
        <f t="shared" si="182"/>
        <v>7</v>
      </c>
      <c r="CD66" s="64">
        <f t="shared" si="182"/>
        <v>0</v>
      </c>
      <c r="CE66" s="64">
        <f t="shared" si="182"/>
        <v>0</v>
      </c>
      <c r="CF66" s="64">
        <f t="shared" si="182"/>
        <v>0</v>
      </c>
      <c r="CG66" s="64">
        <f t="shared" si="182"/>
        <v>7</v>
      </c>
      <c r="CH66" s="64">
        <f t="shared" si="182"/>
        <v>7</v>
      </c>
      <c r="CI66" s="64">
        <f t="shared" si="182"/>
        <v>0</v>
      </c>
      <c r="CJ66" s="64">
        <f t="shared" si="182"/>
        <v>0</v>
      </c>
      <c r="CK66" s="64"/>
      <c r="CL66" s="64"/>
      <c r="CM66" s="64"/>
      <c r="CN66" s="64" t="s">
        <v>16</v>
      </c>
      <c r="CO66" s="64">
        <v>0</v>
      </c>
      <c r="CP66" s="64">
        <f t="shared" si="183"/>
        <v>0</v>
      </c>
      <c r="CQ66" s="64">
        <f t="shared" si="183"/>
        <v>0</v>
      </c>
      <c r="CR66" s="64">
        <f t="shared" si="183"/>
        <v>7</v>
      </c>
      <c r="CS66" s="64">
        <f t="shared" si="183"/>
        <v>7</v>
      </c>
      <c r="CT66" s="64">
        <f t="shared" si="183"/>
        <v>7</v>
      </c>
      <c r="CU66" s="64">
        <f t="shared" si="183"/>
        <v>0</v>
      </c>
      <c r="CV66" s="64">
        <f t="shared" si="183"/>
        <v>7</v>
      </c>
      <c r="CW66" s="64">
        <f t="shared" si="183"/>
        <v>0</v>
      </c>
      <c r="CX66" s="64">
        <f t="shared" si="183"/>
        <v>7</v>
      </c>
      <c r="CY66" s="64">
        <f t="shared" si="183"/>
        <v>0</v>
      </c>
      <c r="CZ66" s="64">
        <f t="shared" si="183"/>
        <v>0</v>
      </c>
      <c r="DA66" s="64">
        <f t="shared" si="183"/>
        <v>0</v>
      </c>
      <c r="DB66" s="64"/>
      <c r="DC66" s="64" t="s">
        <v>16</v>
      </c>
      <c r="DD66" s="64">
        <v>0</v>
      </c>
      <c r="DE66" s="64">
        <f t="shared" si="192"/>
        <v>0</v>
      </c>
      <c r="DF66" s="64">
        <f t="shared" si="192"/>
        <v>0</v>
      </c>
      <c r="DG66" s="64">
        <f t="shared" si="192"/>
        <v>0</v>
      </c>
      <c r="DH66" s="64">
        <f t="shared" si="192"/>
        <v>0</v>
      </c>
      <c r="DI66" s="64">
        <f t="shared" si="192"/>
        <v>0</v>
      </c>
      <c r="DJ66" s="64">
        <f t="shared" si="192"/>
        <v>0</v>
      </c>
      <c r="DK66" s="64">
        <f t="shared" si="192"/>
        <v>0</v>
      </c>
      <c r="DL66" s="64">
        <f t="shared" si="192"/>
        <v>0</v>
      </c>
      <c r="DM66" s="64">
        <f t="shared" si="192"/>
        <v>0</v>
      </c>
      <c r="DN66" s="64">
        <f t="shared" si="192"/>
        <v>0</v>
      </c>
      <c r="DO66" s="64">
        <f t="shared" si="192"/>
        <v>0</v>
      </c>
      <c r="DP66" s="64">
        <f t="shared" si="192"/>
        <v>7</v>
      </c>
      <c r="DQ66" s="80"/>
      <c r="DR66" s="80">
        <v>66</v>
      </c>
      <c r="DS66" s="80"/>
      <c r="DT66" s="64" t="s">
        <v>16</v>
      </c>
      <c r="DU66" s="64">
        <v>0</v>
      </c>
      <c r="DV66" s="64">
        <f t="shared" si="193"/>
        <v>0</v>
      </c>
      <c r="DW66" s="64">
        <f t="shared" si="193"/>
        <v>0</v>
      </c>
      <c r="DX66" s="64">
        <f t="shared" si="193"/>
        <v>0</v>
      </c>
      <c r="DY66" s="64">
        <f t="shared" si="193"/>
        <v>7</v>
      </c>
      <c r="DZ66" s="64">
        <f t="shared" si="193"/>
        <v>0</v>
      </c>
      <c r="EA66" s="64">
        <f t="shared" si="193"/>
        <v>7</v>
      </c>
      <c r="EB66" s="64">
        <f t="shared" si="193"/>
        <v>7</v>
      </c>
      <c r="EC66" s="64">
        <f t="shared" si="193"/>
        <v>7</v>
      </c>
      <c r="ED66" s="64">
        <f t="shared" si="193"/>
        <v>0</v>
      </c>
      <c r="EE66" s="64">
        <f t="shared" si="193"/>
        <v>7</v>
      </c>
      <c r="EF66" s="64">
        <f t="shared" si="193"/>
        <v>7</v>
      </c>
      <c r="EG66" s="64">
        <f t="shared" si="193"/>
        <v>7</v>
      </c>
      <c r="EH66" s="64"/>
      <c r="EI66" s="64"/>
      <c r="EJ66" s="69"/>
      <c r="EK66" s="64" t="s">
        <v>241</v>
      </c>
      <c r="EL66" s="64">
        <v>0</v>
      </c>
      <c r="EM66" s="64">
        <f t="shared" ref="EM66:EX66" si="199">EM11/5*7</f>
        <v>7</v>
      </c>
      <c r="EN66" s="64">
        <f t="shared" si="199"/>
        <v>0</v>
      </c>
      <c r="EO66" s="64">
        <f t="shared" si="199"/>
        <v>0</v>
      </c>
      <c r="EP66" s="64">
        <f t="shared" si="199"/>
        <v>0</v>
      </c>
      <c r="EQ66" s="64">
        <f t="shared" si="199"/>
        <v>21</v>
      </c>
      <c r="ER66" s="64">
        <f t="shared" si="199"/>
        <v>7</v>
      </c>
      <c r="ES66" s="64">
        <f t="shared" si="199"/>
        <v>28</v>
      </c>
      <c r="ET66" s="64">
        <f t="shared" si="199"/>
        <v>14</v>
      </c>
      <c r="EU66" s="64">
        <f t="shared" si="199"/>
        <v>35</v>
      </c>
      <c r="EV66" s="64">
        <f t="shared" si="199"/>
        <v>21</v>
      </c>
      <c r="EW66" s="64">
        <f t="shared" si="199"/>
        <v>35</v>
      </c>
      <c r="EX66" s="64">
        <f t="shared" si="199"/>
        <v>28</v>
      </c>
      <c r="EY66" s="64"/>
      <c r="EZ66" s="64" t="s">
        <v>241</v>
      </c>
      <c r="FA66" s="64">
        <v>0</v>
      </c>
      <c r="FB66" s="64">
        <f t="shared" ref="FB66:FM66" si="200">FB11/5*7</f>
        <v>7</v>
      </c>
      <c r="FC66" s="64">
        <f t="shared" si="200"/>
        <v>0</v>
      </c>
      <c r="FD66" s="64">
        <f t="shared" si="200"/>
        <v>7</v>
      </c>
      <c r="FE66" s="64">
        <f t="shared" si="200"/>
        <v>0</v>
      </c>
      <c r="FF66" s="64">
        <f t="shared" si="200"/>
        <v>7</v>
      </c>
      <c r="FG66" s="64">
        <f t="shared" si="200"/>
        <v>28</v>
      </c>
      <c r="FH66" s="64">
        <f t="shared" si="200"/>
        <v>14</v>
      </c>
      <c r="FI66" s="64">
        <f t="shared" si="200"/>
        <v>28</v>
      </c>
      <c r="FJ66" s="64">
        <f t="shared" si="200"/>
        <v>21</v>
      </c>
      <c r="FK66" s="64">
        <f t="shared" si="200"/>
        <v>35</v>
      </c>
      <c r="FL66" s="64">
        <f t="shared" si="200"/>
        <v>28</v>
      </c>
      <c r="FM66" s="64">
        <f t="shared" si="200"/>
        <v>42</v>
      </c>
      <c r="FN66" s="64"/>
      <c r="FO66" s="64" t="s">
        <v>241</v>
      </c>
      <c r="FP66" s="64">
        <v>0</v>
      </c>
      <c r="FQ66" s="64">
        <f t="shared" ref="FQ66:GB66" si="201">FQ11/5*7</f>
        <v>0</v>
      </c>
      <c r="FR66" s="64">
        <f t="shared" si="201"/>
        <v>0</v>
      </c>
      <c r="FS66" s="64">
        <f t="shared" si="201"/>
        <v>7</v>
      </c>
      <c r="FT66" s="64">
        <f t="shared" si="201"/>
        <v>21</v>
      </c>
      <c r="FU66" s="64">
        <f t="shared" si="201"/>
        <v>7</v>
      </c>
      <c r="FV66" s="64">
        <f t="shared" si="201"/>
        <v>14</v>
      </c>
      <c r="FW66" s="64">
        <f t="shared" si="201"/>
        <v>35</v>
      </c>
      <c r="FX66" s="64">
        <f t="shared" si="201"/>
        <v>28</v>
      </c>
      <c r="FY66" s="64">
        <f t="shared" si="201"/>
        <v>35</v>
      </c>
      <c r="FZ66" s="64">
        <f t="shared" si="201"/>
        <v>28</v>
      </c>
      <c r="GA66" s="64">
        <f t="shared" si="201"/>
        <v>42</v>
      </c>
      <c r="GB66" s="64">
        <f t="shared" si="201"/>
        <v>56</v>
      </c>
      <c r="GC66" s="64"/>
      <c r="GD66" s="64" t="s">
        <v>241</v>
      </c>
      <c r="GE66" s="64">
        <v>0</v>
      </c>
      <c r="GF66" s="64">
        <f t="shared" ref="GF66:GQ66" si="202">GF11/5*7</f>
        <v>0</v>
      </c>
      <c r="GG66" s="64">
        <f t="shared" si="202"/>
        <v>0</v>
      </c>
      <c r="GH66" s="64">
        <f t="shared" si="202"/>
        <v>0</v>
      </c>
      <c r="GI66" s="64">
        <f t="shared" si="202"/>
        <v>14</v>
      </c>
      <c r="GJ66" s="64">
        <f t="shared" si="202"/>
        <v>28</v>
      </c>
      <c r="GK66" s="64">
        <f t="shared" si="202"/>
        <v>14</v>
      </c>
      <c r="GL66" s="64">
        <f t="shared" si="202"/>
        <v>28</v>
      </c>
      <c r="GM66" s="64">
        <f t="shared" si="202"/>
        <v>42</v>
      </c>
      <c r="GN66" s="64">
        <f t="shared" si="202"/>
        <v>28</v>
      </c>
      <c r="GO66" s="64">
        <f t="shared" si="202"/>
        <v>42</v>
      </c>
      <c r="GP66" s="64">
        <f t="shared" si="202"/>
        <v>56</v>
      </c>
      <c r="GQ66" s="64">
        <f t="shared" si="202"/>
        <v>49</v>
      </c>
      <c r="GR66" s="64"/>
      <c r="GS66" s="64" t="s">
        <v>241</v>
      </c>
      <c r="GT66" s="64">
        <v>0</v>
      </c>
      <c r="GU66" s="64">
        <f t="shared" ref="GU66:HF66" si="203">GU11/5*7</f>
        <v>0</v>
      </c>
      <c r="GV66" s="64">
        <f t="shared" si="203"/>
        <v>0</v>
      </c>
      <c r="GW66" s="64">
        <f t="shared" si="203"/>
        <v>0</v>
      </c>
      <c r="GX66" s="64">
        <f t="shared" si="203"/>
        <v>7</v>
      </c>
      <c r="GY66" s="64">
        <f t="shared" si="203"/>
        <v>28</v>
      </c>
      <c r="GZ66" s="64">
        <f t="shared" si="203"/>
        <v>35</v>
      </c>
      <c r="HA66" s="64">
        <f t="shared" si="203"/>
        <v>21</v>
      </c>
      <c r="HB66" s="64">
        <f t="shared" si="203"/>
        <v>35</v>
      </c>
      <c r="HC66" s="64">
        <f t="shared" si="203"/>
        <v>42</v>
      </c>
      <c r="HD66" s="64">
        <f t="shared" si="203"/>
        <v>35</v>
      </c>
      <c r="HE66" s="64">
        <f t="shared" si="203"/>
        <v>49</v>
      </c>
      <c r="HF66" s="64">
        <f t="shared" si="203"/>
        <v>63</v>
      </c>
      <c r="HG66" s="70"/>
      <c r="HH66" s="64"/>
    </row>
    <row r="67" spans="1:254" x14ac:dyDescent="0.25">
      <c r="A67" s="8"/>
      <c r="B67" s="5" t="s">
        <v>61</v>
      </c>
      <c r="C67" s="8"/>
      <c r="D67" s="6" t="s">
        <v>452</v>
      </c>
      <c r="E67" s="8" t="s">
        <v>232</v>
      </c>
      <c r="F67" s="5" t="s">
        <v>61</v>
      </c>
      <c r="G67" s="8" t="s">
        <v>199</v>
      </c>
      <c r="H67" s="5" t="s">
        <v>61</v>
      </c>
      <c r="I67" s="8">
        <v>35</v>
      </c>
      <c r="J67" s="5" t="s">
        <v>62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str">
        <f>INDEX(cenník!$C$2:$I$568,MATCH($L67,cenník!$B$2:$B$557,0),MATCH(M$2,cenník!$C$1:$I$1,0))</f>
        <v>-------</v>
      </c>
      <c r="N67" s="11">
        <f>INDEX(cenník!$C$2:$I$568,MATCH($L67,cenník!$B$2:$B$557,0),MATCH(N$2,cenník!$C$1:$I$1,0))</f>
        <v>0</v>
      </c>
      <c r="O67" s="11">
        <f>IF(L67="-------",0,SUM(O69:O70))</f>
        <v>0</v>
      </c>
      <c r="P67" s="36">
        <f>INDEX(cenník!$C$2:$I$568,MATCH($L67,cenník!$B$2:$B$557,0),MATCH(P$2,cenník!$C$1:$I$1,0))</f>
        <v>0</v>
      </c>
      <c r="Q67" s="36">
        <f>O67*P67</f>
        <v>0</v>
      </c>
      <c r="R67" s="37">
        <f t="shared" ref="R67:R91" si="204">$E$71</f>
        <v>0</v>
      </c>
      <c r="S67" s="36">
        <f t="shared" ref="S67:S91" si="205">P67*((100-$E$71)/100)</f>
        <v>0</v>
      </c>
      <c r="T67" s="36">
        <f>O67*S67</f>
        <v>0</v>
      </c>
      <c r="U67" s="36">
        <f>INDEX(cenník!$C$2:$I$568,MATCH($L67,cenník!$B$2:$B$557,0),MATCH(U$2,cenník!$C$1:$I$1,0))*O67</f>
        <v>0</v>
      </c>
      <c r="V67" s="85"/>
      <c r="W67" s="64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64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64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64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64">
        <f t="shared" si="178"/>
        <v>0</v>
      </c>
      <c r="AB67" s="64">
        <f t="shared" si="179"/>
        <v>0</v>
      </c>
      <c r="AC67" s="64"/>
      <c r="AD67" s="64"/>
      <c r="AE67" s="64"/>
      <c r="AF67" s="64"/>
      <c r="AG67" s="64"/>
      <c r="AH67" s="64"/>
      <c r="AI67" s="64"/>
      <c r="AJ67" s="64"/>
      <c r="AK67" s="64"/>
      <c r="AL67" s="64"/>
      <c r="AM67" s="64"/>
      <c r="AN67" s="64"/>
      <c r="AO67" s="64"/>
      <c r="AP67" s="64"/>
      <c r="AQ67" s="64"/>
      <c r="AR67" s="64"/>
      <c r="AS67" s="64" t="s">
        <v>515</v>
      </c>
      <c r="AT67" s="64" t="s">
        <v>516</v>
      </c>
      <c r="AU67" s="64" t="s">
        <v>483</v>
      </c>
      <c r="AV67" s="64" t="s">
        <v>517</v>
      </c>
      <c r="AW67" s="64"/>
      <c r="AX67" s="64"/>
      <c r="AY67" s="64"/>
      <c r="AZ67" s="64"/>
      <c r="BA67" s="64"/>
      <c r="BB67" s="64"/>
      <c r="BC67" s="64"/>
      <c r="BD67" s="64"/>
      <c r="BE67" s="64"/>
      <c r="BF67" s="64"/>
      <c r="BG67" s="64">
        <f t="shared" si="180"/>
        <v>1</v>
      </c>
      <c r="BH67" s="72" t="s">
        <v>17</v>
      </c>
      <c r="BI67" s="72">
        <v>0</v>
      </c>
      <c r="BJ67" s="64">
        <f t="shared" si="191"/>
        <v>0</v>
      </c>
      <c r="BK67" s="64">
        <f t="shared" si="191"/>
        <v>0</v>
      </c>
      <c r="BL67" s="64">
        <f t="shared" si="191"/>
        <v>0</v>
      </c>
      <c r="BM67" s="64">
        <f t="shared" si="191"/>
        <v>7</v>
      </c>
      <c r="BN67" s="64">
        <f t="shared" si="191"/>
        <v>7</v>
      </c>
      <c r="BO67" s="64">
        <f t="shared" si="191"/>
        <v>14</v>
      </c>
      <c r="BP67" s="64">
        <f t="shared" si="191"/>
        <v>7</v>
      </c>
      <c r="BQ67" s="64">
        <f t="shared" si="191"/>
        <v>14</v>
      </c>
      <c r="BR67" s="64">
        <f t="shared" si="191"/>
        <v>14</v>
      </c>
      <c r="BS67" s="64">
        <f t="shared" si="191"/>
        <v>21</v>
      </c>
      <c r="BT67" s="64">
        <f t="shared" si="191"/>
        <v>21</v>
      </c>
      <c r="BU67" s="64">
        <f t="shared" si="191"/>
        <v>21</v>
      </c>
      <c r="BV67" s="64"/>
      <c r="BW67" s="64" t="s">
        <v>17</v>
      </c>
      <c r="BX67" s="64">
        <v>0</v>
      </c>
      <c r="BY67" s="64">
        <f t="shared" si="182"/>
        <v>0</v>
      </c>
      <c r="BZ67" s="64">
        <f t="shared" si="182"/>
        <v>0</v>
      </c>
      <c r="CA67" s="64">
        <f t="shared" si="182"/>
        <v>7</v>
      </c>
      <c r="CB67" s="64">
        <f t="shared" si="182"/>
        <v>7</v>
      </c>
      <c r="CC67" s="64">
        <f t="shared" si="182"/>
        <v>14</v>
      </c>
      <c r="CD67" s="64">
        <f t="shared" si="182"/>
        <v>7</v>
      </c>
      <c r="CE67" s="64">
        <f t="shared" si="182"/>
        <v>14</v>
      </c>
      <c r="CF67" s="64">
        <f t="shared" si="182"/>
        <v>14</v>
      </c>
      <c r="CG67" s="64">
        <f t="shared" si="182"/>
        <v>21</v>
      </c>
      <c r="CH67" s="64">
        <f t="shared" si="182"/>
        <v>21</v>
      </c>
      <c r="CI67" s="64">
        <f t="shared" si="182"/>
        <v>21</v>
      </c>
      <c r="CJ67" s="64">
        <f t="shared" si="182"/>
        <v>21</v>
      </c>
      <c r="CK67" s="64"/>
      <c r="CL67" s="64"/>
      <c r="CM67" s="64"/>
      <c r="CN67" s="72" t="s">
        <v>17</v>
      </c>
      <c r="CO67" s="72">
        <v>0</v>
      </c>
      <c r="CP67" s="64">
        <f t="shared" si="183"/>
        <v>0</v>
      </c>
      <c r="CQ67" s="64">
        <f t="shared" si="183"/>
        <v>0</v>
      </c>
      <c r="CR67" s="64">
        <f t="shared" si="183"/>
        <v>7</v>
      </c>
      <c r="CS67" s="64">
        <f t="shared" si="183"/>
        <v>7</v>
      </c>
      <c r="CT67" s="64">
        <f t="shared" si="183"/>
        <v>14</v>
      </c>
      <c r="CU67" s="64">
        <f t="shared" si="183"/>
        <v>14</v>
      </c>
      <c r="CV67" s="64">
        <f t="shared" si="183"/>
        <v>14</v>
      </c>
      <c r="CW67" s="64">
        <f t="shared" si="183"/>
        <v>14</v>
      </c>
      <c r="CX67" s="64">
        <f t="shared" si="183"/>
        <v>21</v>
      </c>
      <c r="CY67" s="64">
        <f t="shared" si="183"/>
        <v>21</v>
      </c>
      <c r="CZ67" s="64">
        <f t="shared" si="183"/>
        <v>21</v>
      </c>
      <c r="DA67" s="64">
        <f t="shared" si="183"/>
        <v>21</v>
      </c>
      <c r="DB67" s="64"/>
      <c r="DC67" s="64" t="s">
        <v>17</v>
      </c>
      <c r="DD67" s="64">
        <v>0</v>
      </c>
      <c r="DE67" s="64">
        <f t="shared" si="192"/>
        <v>0</v>
      </c>
      <c r="DF67" s="64">
        <f t="shared" si="192"/>
        <v>0</v>
      </c>
      <c r="DG67" s="64">
        <f t="shared" si="192"/>
        <v>7</v>
      </c>
      <c r="DH67" s="64">
        <f t="shared" si="192"/>
        <v>7</v>
      </c>
      <c r="DI67" s="64">
        <f t="shared" si="192"/>
        <v>7</v>
      </c>
      <c r="DJ67" s="64">
        <f t="shared" si="192"/>
        <v>14</v>
      </c>
      <c r="DK67" s="64">
        <f t="shared" si="192"/>
        <v>14</v>
      </c>
      <c r="DL67" s="64">
        <f t="shared" si="192"/>
        <v>14</v>
      </c>
      <c r="DM67" s="64">
        <f t="shared" si="192"/>
        <v>21</v>
      </c>
      <c r="DN67" s="64">
        <f t="shared" si="192"/>
        <v>21</v>
      </c>
      <c r="DO67" s="64">
        <f t="shared" si="192"/>
        <v>21</v>
      </c>
      <c r="DP67" s="64">
        <f t="shared" si="192"/>
        <v>28</v>
      </c>
      <c r="DQ67" s="80"/>
      <c r="DR67" s="80">
        <v>72</v>
      </c>
      <c r="DS67" s="80"/>
      <c r="DT67" s="64" t="s">
        <v>17</v>
      </c>
      <c r="DU67" s="64">
        <v>0</v>
      </c>
      <c r="DV67" s="64">
        <f t="shared" si="193"/>
        <v>0</v>
      </c>
      <c r="DW67" s="64">
        <f t="shared" si="193"/>
        <v>0</v>
      </c>
      <c r="DX67" s="64">
        <f t="shared" si="193"/>
        <v>7</v>
      </c>
      <c r="DY67" s="64">
        <f t="shared" si="193"/>
        <v>14</v>
      </c>
      <c r="DZ67" s="64">
        <f t="shared" si="193"/>
        <v>7</v>
      </c>
      <c r="EA67" s="64">
        <f t="shared" si="193"/>
        <v>14</v>
      </c>
      <c r="EB67" s="64">
        <f t="shared" si="193"/>
        <v>21</v>
      </c>
      <c r="EC67" s="64">
        <f t="shared" si="193"/>
        <v>21</v>
      </c>
      <c r="ED67" s="64">
        <f t="shared" si="193"/>
        <v>21</v>
      </c>
      <c r="EE67" s="64">
        <f t="shared" si="193"/>
        <v>28</v>
      </c>
      <c r="EF67" s="64">
        <f t="shared" si="193"/>
        <v>28</v>
      </c>
      <c r="EG67" s="64">
        <f t="shared" si="193"/>
        <v>28</v>
      </c>
      <c r="EH67" s="64"/>
      <c r="EI67" s="64"/>
      <c r="EJ67" s="69"/>
      <c r="EK67" s="72" t="s">
        <v>364</v>
      </c>
      <c r="EL67" s="64">
        <v>0</v>
      </c>
      <c r="EM67" s="64">
        <f t="shared" ref="EM67:EX67" si="206">EM12/5*7</f>
        <v>0</v>
      </c>
      <c r="EN67" s="64">
        <f t="shared" si="206"/>
        <v>0</v>
      </c>
      <c r="EO67" s="64">
        <f t="shared" si="206"/>
        <v>0</v>
      </c>
      <c r="EP67" s="64">
        <f t="shared" si="206"/>
        <v>7</v>
      </c>
      <c r="EQ67" s="64">
        <f t="shared" si="206"/>
        <v>14</v>
      </c>
      <c r="ER67" s="64">
        <f t="shared" si="206"/>
        <v>14</v>
      </c>
      <c r="ES67" s="64">
        <f t="shared" si="206"/>
        <v>21</v>
      </c>
      <c r="ET67" s="64">
        <f t="shared" si="206"/>
        <v>21</v>
      </c>
      <c r="EU67" s="64">
        <f t="shared" si="206"/>
        <v>28</v>
      </c>
      <c r="EV67" s="64">
        <f t="shared" si="206"/>
        <v>28</v>
      </c>
      <c r="EW67" s="64">
        <f t="shared" si="206"/>
        <v>35</v>
      </c>
      <c r="EX67" s="64">
        <f t="shared" si="206"/>
        <v>35</v>
      </c>
      <c r="EY67" s="64"/>
      <c r="EZ67" s="72" t="s">
        <v>364</v>
      </c>
      <c r="FA67" s="64">
        <v>0</v>
      </c>
      <c r="FB67" s="64">
        <f t="shared" ref="FB67:FM67" si="207">FB12/5*7</f>
        <v>0</v>
      </c>
      <c r="FC67" s="64">
        <f t="shared" si="207"/>
        <v>0</v>
      </c>
      <c r="FD67" s="64">
        <f t="shared" si="207"/>
        <v>7</v>
      </c>
      <c r="FE67" s="64">
        <f t="shared" si="207"/>
        <v>7</v>
      </c>
      <c r="FF67" s="64">
        <f t="shared" si="207"/>
        <v>14</v>
      </c>
      <c r="FG67" s="64">
        <f t="shared" si="207"/>
        <v>21</v>
      </c>
      <c r="FH67" s="64">
        <f t="shared" si="207"/>
        <v>21</v>
      </c>
      <c r="FI67" s="64">
        <f t="shared" si="207"/>
        <v>28</v>
      </c>
      <c r="FJ67" s="64">
        <f t="shared" si="207"/>
        <v>28</v>
      </c>
      <c r="FK67" s="64">
        <f t="shared" si="207"/>
        <v>35</v>
      </c>
      <c r="FL67" s="64">
        <f t="shared" si="207"/>
        <v>35</v>
      </c>
      <c r="FM67" s="64">
        <f t="shared" si="207"/>
        <v>42</v>
      </c>
      <c r="FN67" s="64"/>
      <c r="FO67" s="72" t="s">
        <v>364</v>
      </c>
      <c r="FP67" s="64">
        <v>0</v>
      </c>
      <c r="FQ67" s="64">
        <f t="shared" ref="FQ67:GB67" si="208">FQ12/5*7</f>
        <v>0</v>
      </c>
      <c r="FR67" s="64">
        <f t="shared" si="208"/>
        <v>0</v>
      </c>
      <c r="FS67" s="64">
        <f t="shared" si="208"/>
        <v>7</v>
      </c>
      <c r="FT67" s="64">
        <f t="shared" si="208"/>
        <v>14</v>
      </c>
      <c r="FU67" s="64">
        <f t="shared" si="208"/>
        <v>14</v>
      </c>
      <c r="FV67" s="64">
        <f t="shared" si="208"/>
        <v>21</v>
      </c>
      <c r="FW67" s="64">
        <f t="shared" si="208"/>
        <v>28</v>
      </c>
      <c r="FX67" s="64">
        <f t="shared" si="208"/>
        <v>28</v>
      </c>
      <c r="FY67" s="64">
        <f t="shared" si="208"/>
        <v>35</v>
      </c>
      <c r="FZ67" s="64">
        <f t="shared" si="208"/>
        <v>35</v>
      </c>
      <c r="GA67" s="64">
        <f t="shared" si="208"/>
        <v>42</v>
      </c>
      <c r="GB67" s="64">
        <f t="shared" si="208"/>
        <v>49</v>
      </c>
      <c r="GC67" s="64"/>
      <c r="GD67" s="72" t="s">
        <v>364</v>
      </c>
      <c r="GE67" s="64">
        <v>0</v>
      </c>
      <c r="GF67" s="64">
        <f t="shared" ref="GF67:GQ67" si="209">GF12/5*7</f>
        <v>0</v>
      </c>
      <c r="GG67" s="64">
        <f t="shared" si="209"/>
        <v>0</v>
      </c>
      <c r="GH67" s="64">
        <f t="shared" si="209"/>
        <v>7</v>
      </c>
      <c r="GI67" s="64">
        <f t="shared" si="209"/>
        <v>14</v>
      </c>
      <c r="GJ67" s="64">
        <f t="shared" si="209"/>
        <v>21</v>
      </c>
      <c r="GK67" s="64">
        <f t="shared" si="209"/>
        <v>21</v>
      </c>
      <c r="GL67" s="64">
        <f t="shared" si="209"/>
        <v>28</v>
      </c>
      <c r="GM67" s="64">
        <f t="shared" si="209"/>
        <v>35</v>
      </c>
      <c r="GN67" s="64">
        <f t="shared" si="209"/>
        <v>35</v>
      </c>
      <c r="GO67" s="64">
        <f t="shared" si="209"/>
        <v>42</v>
      </c>
      <c r="GP67" s="64">
        <f t="shared" si="209"/>
        <v>49</v>
      </c>
      <c r="GQ67" s="64">
        <f t="shared" si="209"/>
        <v>49</v>
      </c>
      <c r="GR67" s="64"/>
      <c r="GS67" s="72" t="s">
        <v>364</v>
      </c>
      <c r="GT67" s="64">
        <v>0</v>
      </c>
      <c r="GU67" s="64">
        <f t="shared" ref="GU67:HF67" si="210">GU12/5*7</f>
        <v>0</v>
      </c>
      <c r="GV67" s="64">
        <f t="shared" si="210"/>
        <v>0</v>
      </c>
      <c r="GW67" s="64">
        <f t="shared" si="210"/>
        <v>7</v>
      </c>
      <c r="GX67" s="64">
        <f t="shared" si="210"/>
        <v>14</v>
      </c>
      <c r="GY67" s="64">
        <f t="shared" si="210"/>
        <v>21</v>
      </c>
      <c r="GZ67" s="64">
        <f t="shared" si="210"/>
        <v>28</v>
      </c>
      <c r="HA67" s="64">
        <f t="shared" si="210"/>
        <v>28</v>
      </c>
      <c r="HB67" s="64">
        <f t="shared" si="210"/>
        <v>35</v>
      </c>
      <c r="HC67" s="64">
        <f t="shared" si="210"/>
        <v>42</v>
      </c>
      <c r="HD67" s="64">
        <f t="shared" si="210"/>
        <v>42</v>
      </c>
      <c r="HE67" s="64">
        <f t="shared" si="210"/>
        <v>49</v>
      </c>
      <c r="HF67" s="64">
        <f t="shared" si="210"/>
        <v>56</v>
      </c>
      <c r="HG67" s="70"/>
      <c r="HH67" s="64"/>
    </row>
    <row r="68" spans="1:254" x14ac:dyDescent="0.25">
      <c r="A68" s="8"/>
      <c r="B68" s="5" t="s">
        <v>61</v>
      </c>
      <c r="C68" s="8"/>
      <c r="D68" s="6" t="s">
        <v>456</v>
      </c>
      <c r="E68" s="8" t="s">
        <v>466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-------</v>
      </c>
      <c r="M68" s="11" t="str">
        <f>INDEX(cenník!$C$2:$I$568,MATCH($L68,cenník!$B$2:$B$557,0),MATCH(M$2,cenník!$C$1:$I$1,0))</f>
        <v>-------</v>
      </c>
      <c r="N68" s="11">
        <f>INDEX(cenník!$C$2:$I$568,MATCH($L68,cenník!$B$2:$B$557,0),MATCH(N$2,cenník!$C$1:$I$1,0))</f>
        <v>0</v>
      </c>
      <c r="O68" s="11">
        <f>IF(E69=AC7,SUM(O69:O70),IF(E69=AC8,SUM(O69:O70),IF(E69=AC5,0,IF(E69=AC6,0,0))))</f>
        <v>0</v>
      </c>
      <c r="P68" s="36">
        <f>INDEX(cenník!$C$2:$I$568,MATCH($L68,cenník!$B$2:$B$557,0),MATCH(P$2,cenník!$C$1:$I$1,0))</f>
        <v>0</v>
      </c>
      <c r="Q68" s="36">
        <f>O68*P68</f>
        <v>0</v>
      </c>
      <c r="R68" s="37">
        <f t="shared" si="204"/>
        <v>0</v>
      </c>
      <c r="S68" s="36">
        <f t="shared" si="205"/>
        <v>0</v>
      </c>
      <c r="T68" s="36">
        <f>O68*S68</f>
        <v>0</v>
      </c>
      <c r="U68" s="36">
        <f>INDEX(cenník!$C$2:$I$568,MATCH($L68,cenník!$B$2:$B$557,0),MATCH(U$2,cenník!$C$1:$I$1,0))*O68</f>
        <v>0</v>
      </c>
      <c r="V68" s="85"/>
      <c r="W68" s="64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64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64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64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64">
        <f t="shared" si="178"/>
        <v>0</v>
      </c>
      <c r="AB68" s="64">
        <f t="shared" si="179"/>
        <v>0</v>
      </c>
      <c r="AC68" s="64"/>
      <c r="AD68" s="64"/>
      <c r="AE68" s="64"/>
      <c r="AF68" s="64"/>
      <c r="AG68" s="64"/>
      <c r="AH68" s="64"/>
      <c r="AI68" s="64"/>
      <c r="AJ68" s="64"/>
      <c r="AK68" s="64"/>
      <c r="AL68" s="64"/>
      <c r="AM68" s="64"/>
      <c r="AN68" s="64"/>
      <c r="AO68" s="64"/>
      <c r="AP68" s="64"/>
      <c r="AQ68" s="64"/>
      <c r="AR68" s="64" t="s">
        <v>59</v>
      </c>
      <c r="AS68" s="64" t="s">
        <v>292</v>
      </c>
      <c r="AT68" s="64" t="s">
        <v>84</v>
      </c>
      <c r="AU68" s="64" t="s">
        <v>84</v>
      </c>
      <c r="AV68" s="64" t="s">
        <v>84</v>
      </c>
      <c r="AW68" s="64"/>
      <c r="AX68" s="64"/>
      <c r="AY68" s="64"/>
      <c r="AZ68" s="64"/>
      <c r="BA68" s="64"/>
      <c r="BB68" s="64"/>
      <c r="BC68" s="64"/>
      <c r="BD68" s="64"/>
      <c r="BE68" s="64"/>
      <c r="BF68" s="64"/>
      <c r="BG68" s="64">
        <f t="shared" si="180"/>
        <v>1</v>
      </c>
      <c r="BH68" s="64"/>
      <c r="BI68" s="64"/>
      <c r="BJ68" s="64"/>
      <c r="BK68" s="64"/>
      <c r="BL68" s="64"/>
      <c r="BM68" s="64"/>
      <c r="BN68" s="64"/>
      <c r="BO68" s="64"/>
      <c r="BP68" s="64"/>
      <c r="BQ68" s="64"/>
      <c r="BR68" s="64"/>
      <c r="BS68" s="64"/>
      <c r="BT68" s="64"/>
      <c r="BU68" s="64"/>
      <c r="BV68" s="64"/>
      <c r="BW68" s="64"/>
      <c r="BX68" s="64"/>
      <c r="BY68" s="64"/>
      <c r="BZ68" s="64"/>
      <c r="CA68" s="64"/>
      <c r="CB68" s="64"/>
      <c r="CC68" s="64"/>
      <c r="CD68" s="64"/>
      <c r="CE68" s="64"/>
      <c r="CF68" s="64"/>
      <c r="CG68" s="64"/>
      <c r="CH68" s="64"/>
      <c r="CI68" s="64"/>
      <c r="CJ68" s="64"/>
      <c r="CK68" s="64"/>
      <c r="CL68" s="64"/>
      <c r="CM68" s="64"/>
      <c r="CN68" s="64"/>
      <c r="CO68" s="64"/>
      <c r="CP68" s="64"/>
      <c r="CQ68" s="64"/>
      <c r="CR68" s="64"/>
      <c r="CS68" s="64"/>
      <c r="CT68" s="64"/>
      <c r="CU68" s="64"/>
      <c r="CV68" s="64"/>
      <c r="CW68" s="64"/>
      <c r="CX68" s="64"/>
      <c r="CY68" s="64"/>
      <c r="CZ68" s="64"/>
      <c r="DA68" s="64"/>
      <c r="DB68" s="64"/>
      <c r="DC68" s="64"/>
      <c r="DD68" s="64"/>
      <c r="DE68" s="64"/>
      <c r="DF68" s="64"/>
      <c r="DG68" s="64"/>
      <c r="DH68" s="64"/>
      <c r="DI68" s="64"/>
      <c r="DJ68" s="64"/>
      <c r="DK68" s="64"/>
      <c r="DL68" s="64"/>
      <c r="DM68" s="64"/>
      <c r="DN68" s="64"/>
      <c r="DO68" s="64"/>
      <c r="DP68" s="64"/>
      <c r="DQ68" s="80"/>
      <c r="DR68" s="80">
        <v>78</v>
      </c>
      <c r="DS68" s="80"/>
      <c r="DT68" s="64"/>
      <c r="DU68" s="64"/>
      <c r="DV68" s="64"/>
      <c r="DW68" s="64"/>
      <c r="DX68" s="64"/>
      <c r="DY68" s="64"/>
      <c r="DZ68" s="64"/>
      <c r="EA68" s="64"/>
      <c r="EB68" s="64"/>
      <c r="EC68" s="64"/>
      <c r="ED68" s="64"/>
      <c r="EE68" s="64"/>
      <c r="EF68" s="64"/>
      <c r="EG68" s="64"/>
      <c r="EH68" s="64"/>
      <c r="EI68" s="64"/>
      <c r="EJ68" s="69"/>
      <c r="EK68" s="64"/>
      <c r="EL68" s="64"/>
      <c r="EM68" s="64"/>
      <c r="EN68" s="64"/>
      <c r="EO68" s="64"/>
      <c r="EP68" s="64"/>
      <c r="EQ68" s="64"/>
      <c r="ER68" s="64"/>
      <c r="ES68" s="64"/>
      <c r="ET68" s="64"/>
      <c r="EU68" s="64"/>
      <c r="EV68" s="64"/>
      <c r="EW68" s="64"/>
      <c r="EX68" s="64"/>
      <c r="EY68" s="64"/>
      <c r="EZ68" s="64"/>
      <c r="FA68" s="64"/>
      <c r="FB68" s="64"/>
      <c r="FC68" s="64"/>
      <c r="FD68" s="64"/>
      <c r="FE68" s="64"/>
      <c r="FF68" s="64"/>
      <c r="FG68" s="64"/>
      <c r="FH68" s="64"/>
      <c r="FI68" s="64"/>
      <c r="FJ68" s="64"/>
      <c r="FK68" s="64"/>
      <c r="FL68" s="64"/>
      <c r="FM68" s="64"/>
      <c r="FN68" s="64"/>
      <c r="FO68" s="64"/>
      <c r="FP68" s="64"/>
      <c r="FQ68" s="64"/>
      <c r="FR68" s="64"/>
      <c r="FS68" s="64"/>
      <c r="FT68" s="64"/>
      <c r="FU68" s="64"/>
      <c r="FV68" s="64"/>
      <c r="FW68" s="64"/>
      <c r="FX68" s="64"/>
      <c r="FY68" s="64"/>
      <c r="FZ68" s="64"/>
      <c r="GA68" s="64"/>
      <c r="GB68" s="64"/>
      <c r="GC68" s="64"/>
      <c r="GD68" s="64"/>
      <c r="GE68" s="64"/>
      <c r="GF68" s="64"/>
      <c r="GG68" s="64"/>
      <c r="GH68" s="64"/>
      <c r="GI68" s="64"/>
      <c r="GJ68" s="64"/>
      <c r="GK68" s="64"/>
      <c r="GL68" s="64"/>
      <c r="GM68" s="64"/>
      <c r="GN68" s="64"/>
      <c r="GO68" s="64"/>
      <c r="GP68" s="64"/>
      <c r="GQ68" s="64"/>
      <c r="GR68" s="64"/>
      <c r="GS68" s="64"/>
      <c r="GT68" s="64"/>
      <c r="GU68" s="64"/>
      <c r="GV68" s="64"/>
      <c r="GW68" s="64"/>
      <c r="GX68" s="64"/>
      <c r="GY68" s="64"/>
      <c r="GZ68" s="64"/>
      <c r="HA68" s="64"/>
      <c r="HB68" s="64"/>
      <c r="HC68" s="64"/>
      <c r="HD68" s="64"/>
      <c r="HE68" s="64"/>
      <c r="HF68" s="64"/>
      <c r="HG68" s="70"/>
      <c r="HH68" s="64"/>
    </row>
    <row r="69" spans="1:254" x14ac:dyDescent="0.25">
      <c r="A69" s="8"/>
      <c r="B69" s="5" t="s">
        <v>61</v>
      </c>
      <c r="C69" s="8"/>
      <c r="D69" s="6" t="s">
        <v>475</v>
      </c>
      <c r="E69" s="8" t="s">
        <v>515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CWT70H50/3NMC</v>
      </c>
      <c r="M69" s="11">
        <f>INDEX(cenník!$C$2:$I$568,MATCH($L69,cenník!$B$2:$B$557,0),MATCH(M$2,cenník!$C$1:$I$1,0))</f>
        <v>867830</v>
      </c>
      <c r="N69" s="11" t="str">
        <f>INDEX(cenník!$C$2:$I$568,MATCH($L69,cenník!$B$2:$B$557,0),MATCH(N$2,cenník!$C$1:$I$1,0))</f>
        <v>ks</v>
      </c>
      <c r="O69" s="11">
        <f>SUM(AB63:AB78)</f>
        <v>0</v>
      </c>
      <c r="P69" s="36">
        <f>INDEX(cenník!$C$2:$I$568,MATCH($L69,cenník!$B$2:$B$557,0),MATCH(P$2,cenník!$C$1:$I$1,0))</f>
        <v>52.49</v>
      </c>
      <c r="Q69" s="36">
        <f>O69*P69</f>
        <v>0</v>
      </c>
      <c r="R69" s="37">
        <f t="shared" si="204"/>
        <v>0</v>
      </c>
      <c r="S69" s="36">
        <f t="shared" si="205"/>
        <v>52.49</v>
      </c>
      <c r="T69" s="36">
        <f t="shared" ref="T69:T70" si="211">O69*S69</f>
        <v>0</v>
      </c>
      <c r="U69" s="36">
        <f>INDEX(cenník!$C$2:$I$568,MATCH($L69,cenník!$B$2:$B$557,0),MATCH(U$2,cenník!$C$1:$I$1,0))*O69</f>
        <v>0</v>
      </c>
      <c r="V69" s="85"/>
      <c r="W69" s="64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64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64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64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64">
        <f t="shared" si="178"/>
        <v>0</v>
      </c>
      <c r="AB69" s="64">
        <f t="shared" si="179"/>
        <v>0</v>
      </c>
      <c r="AC69" s="64"/>
      <c r="AD69" s="64"/>
      <c r="AE69" s="64"/>
      <c r="AF69" s="64"/>
      <c r="AG69" s="64"/>
      <c r="AH69" s="64"/>
      <c r="AI69" s="64"/>
      <c r="AJ69" s="64"/>
      <c r="AK69" s="64"/>
      <c r="AL69" s="64"/>
      <c r="AM69" s="64"/>
      <c r="AN69" s="64"/>
      <c r="AO69" s="64"/>
      <c r="AP69" s="64"/>
      <c r="AQ69" s="64"/>
      <c r="AR69" s="64" t="s">
        <v>60</v>
      </c>
      <c r="AS69" s="64" t="s">
        <v>292</v>
      </c>
      <c r="AT69" s="64" t="s">
        <v>84</v>
      </c>
      <c r="AU69" s="64" t="s">
        <v>84</v>
      </c>
      <c r="AV69" s="64" t="s">
        <v>84</v>
      </c>
      <c r="AW69" s="64"/>
      <c r="AX69" s="64"/>
      <c r="AY69" s="64"/>
      <c r="AZ69" s="64"/>
      <c r="BA69" s="64"/>
      <c r="BB69" s="64"/>
      <c r="BC69" s="64"/>
      <c r="BD69" s="64"/>
      <c r="BE69" s="64"/>
      <c r="BF69" s="64"/>
      <c r="BG69" s="64">
        <f t="shared" si="180"/>
        <v>1</v>
      </c>
      <c r="BH69" s="64" t="s">
        <v>67</v>
      </c>
      <c r="BI69" s="64">
        <v>0</v>
      </c>
      <c r="BJ69" s="64">
        <v>12</v>
      </c>
      <c r="BK69" s="64">
        <v>18</v>
      </c>
      <c r="BL69" s="64">
        <v>24</v>
      </c>
      <c r="BM69" s="64">
        <v>30</v>
      </c>
      <c r="BN69" s="64">
        <v>36</v>
      </c>
      <c r="BO69" s="64">
        <v>42</v>
      </c>
      <c r="BP69" s="64">
        <v>48</v>
      </c>
      <c r="BQ69" s="64">
        <v>54</v>
      </c>
      <c r="BR69" s="64">
        <v>60</v>
      </c>
      <c r="BS69" s="64">
        <v>66</v>
      </c>
      <c r="BT69" s="64">
        <v>72</v>
      </c>
      <c r="BU69" s="64">
        <v>78</v>
      </c>
      <c r="BV69" s="64"/>
      <c r="BW69" s="64" t="s">
        <v>196</v>
      </c>
      <c r="BX69" s="64">
        <v>0</v>
      </c>
      <c r="BY69" s="64">
        <v>12</v>
      </c>
      <c r="BZ69" s="64">
        <v>18</v>
      </c>
      <c r="CA69" s="64">
        <v>24</v>
      </c>
      <c r="CB69" s="64">
        <v>30</v>
      </c>
      <c r="CC69" s="64">
        <v>36</v>
      </c>
      <c r="CD69" s="64">
        <v>42</v>
      </c>
      <c r="CE69" s="64">
        <v>48</v>
      </c>
      <c r="CF69" s="64">
        <v>54</v>
      </c>
      <c r="CG69" s="64">
        <v>60</v>
      </c>
      <c r="CH69" s="64">
        <v>66</v>
      </c>
      <c r="CI69" s="64">
        <v>72</v>
      </c>
      <c r="CJ69" s="64">
        <v>78</v>
      </c>
      <c r="CK69" s="64"/>
      <c r="CL69" s="64"/>
      <c r="CM69" s="64"/>
      <c r="CN69" s="64" t="s">
        <v>71</v>
      </c>
      <c r="CO69" s="64">
        <v>0</v>
      </c>
      <c r="CP69" s="64">
        <v>12</v>
      </c>
      <c r="CQ69" s="64">
        <v>18</v>
      </c>
      <c r="CR69" s="64">
        <v>24</v>
      </c>
      <c r="CS69" s="64">
        <v>30</v>
      </c>
      <c r="CT69" s="64">
        <v>36</v>
      </c>
      <c r="CU69" s="64">
        <v>42</v>
      </c>
      <c r="CV69" s="64">
        <v>48</v>
      </c>
      <c r="CW69" s="64">
        <v>54</v>
      </c>
      <c r="CX69" s="64">
        <v>60</v>
      </c>
      <c r="CY69" s="64">
        <v>66</v>
      </c>
      <c r="CZ69" s="64">
        <v>72</v>
      </c>
      <c r="DA69" s="64">
        <v>78</v>
      </c>
      <c r="DB69" s="64"/>
      <c r="DC69" s="64" t="s">
        <v>204</v>
      </c>
      <c r="DD69" s="64">
        <v>0</v>
      </c>
      <c r="DE69" s="64">
        <v>12</v>
      </c>
      <c r="DF69" s="64">
        <v>18</v>
      </c>
      <c r="DG69" s="64">
        <v>24</v>
      </c>
      <c r="DH69" s="64">
        <v>30</v>
      </c>
      <c r="DI69" s="64">
        <v>36</v>
      </c>
      <c r="DJ69" s="64">
        <v>42</v>
      </c>
      <c r="DK69" s="64">
        <v>48</v>
      </c>
      <c r="DL69" s="64">
        <v>54</v>
      </c>
      <c r="DM69" s="64">
        <v>60</v>
      </c>
      <c r="DN69" s="64">
        <v>66</v>
      </c>
      <c r="DO69" s="64">
        <v>72</v>
      </c>
      <c r="DP69" s="64">
        <v>78</v>
      </c>
      <c r="DQ69" s="80"/>
      <c r="DR69" s="80"/>
      <c r="DS69" s="80"/>
      <c r="DT69" s="64"/>
      <c r="DU69" s="64"/>
      <c r="DV69" s="64"/>
      <c r="DW69" s="64"/>
      <c r="DX69" s="64"/>
      <c r="DY69" s="64"/>
      <c r="DZ69" s="64"/>
      <c r="EA69" s="64"/>
      <c r="EB69" s="64"/>
      <c r="EC69" s="64"/>
      <c r="ED69" s="64"/>
      <c r="EE69" s="64"/>
      <c r="EF69" s="64"/>
      <c r="EG69" s="64"/>
      <c r="EH69" s="64"/>
      <c r="EI69" s="64"/>
      <c r="EJ69" s="69"/>
      <c r="EK69" s="64" t="s">
        <v>67</v>
      </c>
      <c r="EL69" s="64">
        <v>0</v>
      </c>
      <c r="EM69" s="64">
        <v>12</v>
      </c>
      <c r="EN69" s="64">
        <v>18</v>
      </c>
      <c r="EO69" s="64">
        <v>24</v>
      </c>
      <c r="EP69" s="64">
        <v>30</v>
      </c>
      <c r="EQ69" s="64">
        <v>36</v>
      </c>
      <c r="ER69" s="64">
        <v>42</v>
      </c>
      <c r="ES69" s="64">
        <v>48</v>
      </c>
      <c r="ET69" s="64">
        <v>54</v>
      </c>
      <c r="EU69" s="64">
        <v>60</v>
      </c>
      <c r="EV69" s="64">
        <v>66</v>
      </c>
      <c r="EW69" s="64">
        <v>72</v>
      </c>
      <c r="EX69" s="64">
        <v>78</v>
      </c>
      <c r="EY69" s="64"/>
      <c r="EZ69" s="64" t="s">
        <v>196</v>
      </c>
      <c r="FA69" s="64">
        <v>0</v>
      </c>
      <c r="FB69" s="64">
        <v>12</v>
      </c>
      <c r="FC69" s="64">
        <v>18</v>
      </c>
      <c r="FD69" s="64">
        <v>24</v>
      </c>
      <c r="FE69" s="64">
        <v>30</v>
      </c>
      <c r="FF69" s="64">
        <v>36</v>
      </c>
      <c r="FG69" s="64">
        <v>42</v>
      </c>
      <c r="FH69" s="64">
        <v>48</v>
      </c>
      <c r="FI69" s="64">
        <v>54</v>
      </c>
      <c r="FJ69" s="64">
        <v>60</v>
      </c>
      <c r="FK69" s="64">
        <v>66</v>
      </c>
      <c r="FL69" s="64">
        <v>72</v>
      </c>
      <c r="FM69" s="64">
        <v>78</v>
      </c>
      <c r="FN69" s="64"/>
      <c r="FO69" s="64" t="s">
        <v>71</v>
      </c>
      <c r="FP69" s="64">
        <v>0</v>
      </c>
      <c r="FQ69" s="64">
        <v>12</v>
      </c>
      <c r="FR69" s="64">
        <v>18</v>
      </c>
      <c r="FS69" s="64">
        <v>24</v>
      </c>
      <c r="FT69" s="64">
        <v>30</v>
      </c>
      <c r="FU69" s="64">
        <v>36</v>
      </c>
      <c r="FV69" s="64">
        <v>42</v>
      </c>
      <c r="FW69" s="64">
        <v>48</v>
      </c>
      <c r="FX69" s="64">
        <v>54</v>
      </c>
      <c r="FY69" s="64">
        <v>60</v>
      </c>
      <c r="FZ69" s="64">
        <v>66</v>
      </c>
      <c r="GA69" s="64">
        <v>72</v>
      </c>
      <c r="GB69" s="64">
        <v>78</v>
      </c>
      <c r="GC69" s="64"/>
      <c r="GD69" s="64" t="s">
        <v>204</v>
      </c>
      <c r="GE69" s="64">
        <v>0</v>
      </c>
      <c r="GF69" s="64">
        <v>12</v>
      </c>
      <c r="GG69" s="64">
        <v>18</v>
      </c>
      <c r="GH69" s="64">
        <v>24</v>
      </c>
      <c r="GI69" s="64">
        <v>30</v>
      </c>
      <c r="GJ69" s="64">
        <v>36</v>
      </c>
      <c r="GK69" s="64">
        <v>42</v>
      </c>
      <c r="GL69" s="64">
        <v>48</v>
      </c>
      <c r="GM69" s="64">
        <v>54</v>
      </c>
      <c r="GN69" s="64">
        <v>60</v>
      </c>
      <c r="GO69" s="64">
        <v>66</v>
      </c>
      <c r="GP69" s="64">
        <v>72</v>
      </c>
      <c r="GQ69" s="64">
        <v>78</v>
      </c>
      <c r="GR69" s="64"/>
      <c r="GS69" s="64"/>
      <c r="GT69" s="64"/>
      <c r="GU69" s="64"/>
      <c r="GV69" s="64"/>
      <c r="GW69" s="64"/>
      <c r="GX69" s="64"/>
      <c r="GY69" s="64"/>
      <c r="GZ69" s="64"/>
      <c r="HA69" s="64"/>
      <c r="HB69" s="64"/>
      <c r="HC69" s="64"/>
      <c r="HD69" s="64"/>
      <c r="HE69" s="64"/>
      <c r="HF69" s="64"/>
      <c r="HG69" s="70"/>
      <c r="HH69" s="64"/>
    </row>
    <row r="70" spans="1:254" x14ac:dyDescent="0.25">
      <c r="A70" s="8"/>
      <c r="B70" s="5" t="s">
        <v>61</v>
      </c>
      <c r="C70" s="8"/>
      <c r="D70" s="6" t="s">
        <v>488</v>
      </c>
      <c r="E70" s="8">
        <v>0</v>
      </c>
      <c r="F70" s="5"/>
      <c r="G70" s="5"/>
      <c r="H70" s="5"/>
      <c r="I70" s="5"/>
      <c r="J70" s="5" t="s">
        <v>461</v>
      </c>
      <c r="K70" s="9"/>
      <c r="L70" s="6" t="str">
        <f>INDEX((AS62:AV64),MATCH(G67,AR62:AR64,0),MATCH(E69,AS61:AV61,0))</f>
        <v>CWT70H50/3NMC</v>
      </c>
      <c r="M70" s="11">
        <f>INDEX(cenník!$C$2:$I$568,MATCH($L70,cenník!$B$2:$B$557,0),MATCH(M$2,cenník!$C$1:$I$1,0))</f>
        <v>867830</v>
      </c>
      <c r="N70" s="11" t="str">
        <f>INDEX(cenník!$C$2:$I$568,MATCH($L70,cenník!$B$2:$B$557,0),MATCH(N$2,cenník!$C$1:$I$1,0))</f>
        <v>ks</v>
      </c>
      <c r="O70" s="11">
        <f>O69</f>
        <v>0</v>
      </c>
      <c r="P70" s="36">
        <f>INDEX(cenník!$C$2:$I$568,MATCH($L70,cenník!$B$2:$B$557,0),MATCH(P$2,cenník!$C$1:$I$1,0))</f>
        <v>52.49</v>
      </c>
      <c r="Q70" s="36">
        <f t="shared" ref="Q70" si="212">O70*P70</f>
        <v>0</v>
      </c>
      <c r="R70" s="37">
        <f t="shared" si="204"/>
        <v>0</v>
      </c>
      <c r="S70" s="36">
        <f t="shared" si="205"/>
        <v>52.49</v>
      </c>
      <c r="T70" s="36">
        <f t="shared" si="211"/>
        <v>0</v>
      </c>
      <c r="U70" s="36">
        <f>INDEX(cenník!$C$2:$I$568,MATCH($L70,cenník!$B$2:$B$557,0),MATCH(U$2,cenník!$C$1:$I$1,0))*O70</f>
        <v>0</v>
      </c>
      <c r="V70" s="85"/>
      <c r="W70" s="64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64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64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64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64">
        <f t="shared" si="178"/>
        <v>0</v>
      </c>
      <c r="AB70" s="64">
        <f t="shared" si="179"/>
        <v>0</v>
      </c>
      <c r="AC70" s="64"/>
      <c r="AD70" s="64"/>
      <c r="AE70" s="64"/>
      <c r="AF70" s="64"/>
      <c r="AG70" s="64"/>
      <c r="AH70" s="64"/>
      <c r="AI70" s="64"/>
      <c r="AJ70" s="64"/>
      <c r="AK70" s="64"/>
      <c r="AL70" s="64"/>
      <c r="AM70" s="64"/>
      <c r="AN70" s="64"/>
      <c r="AO70" s="64"/>
      <c r="AP70" s="64"/>
      <c r="AQ70" s="64"/>
      <c r="AR70" s="64" t="s">
        <v>199</v>
      </c>
      <c r="AS70" s="64" t="s">
        <v>292</v>
      </c>
      <c r="AT70" s="64" t="s">
        <v>84</v>
      </c>
      <c r="AU70" s="64" t="s">
        <v>84</v>
      </c>
      <c r="AV70" s="64" t="s">
        <v>84</v>
      </c>
      <c r="AW70" s="64"/>
      <c r="AX70" s="64"/>
      <c r="AY70" s="64"/>
      <c r="AZ70" s="64"/>
      <c r="BA70" s="64"/>
      <c r="BB70" s="64"/>
      <c r="BC70" s="64"/>
      <c r="BD70" s="64"/>
      <c r="BE70" s="64"/>
      <c r="BF70" s="64"/>
      <c r="BG70" s="64">
        <f t="shared" si="180"/>
        <v>1</v>
      </c>
      <c r="BH70" s="64" t="s">
        <v>104</v>
      </c>
      <c r="BI70" s="64">
        <v>0</v>
      </c>
      <c r="BJ70" s="64">
        <f>IF(BJ15=0,0,IF(BJ15=5,7,IF(BJ15=10,14,IF(BJ15=15,21,IF(BJ15=20,28,0)))))</f>
        <v>0</v>
      </c>
      <c r="BK70" s="64">
        <f t="shared" ref="BK70:BU70" si="213">IF(BK15=0,0,IF(BK15=5,7,IF(BK15=10,14,IF(BK15=15,21,IF(BK15=20,28,0)))))</f>
        <v>7</v>
      </c>
      <c r="BL70" s="64">
        <f t="shared" si="213"/>
        <v>7</v>
      </c>
      <c r="BM70" s="64">
        <f t="shared" si="213"/>
        <v>0</v>
      </c>
      <c r="BN70" s="64">
        <f t="shared" si="213"/>
        <v>7</v>
      </c>
      <c r="BO70" s="64">
        <f t="shared" si="213"/>
        <v>0</v>
      </c>
      <c r="BP70" s="64">
        <f t="shared" si="213"/>
        <v>7</v>
      </c>
      <c r="BQ70" s="64">
        <f t="shared" si="213"/>
        <v>7</v>
      </c>
      <c r="BR70" s="64">
        <f t="shared" si="213"/>
        <v>14</v>
      </c>
      <c r="BS70" s="64">
        <f t="shared" si="213"/>
        <v>21</v>
      </c>
      <c r="BT70" s="64">
        <f t="shared" si="213"/>
        <v>14</v>
      </c>
      <c r="BU70" s="64">
        <f t="shared" si="213"/>
        <v>21</v>
      </c>
      <c r="BV70" s="64"/>
      <c r="BW70" s="64" t="s">
        <v>104</v>
      </c>
      <c r="BX70" s="64">
        <v>0</v>
      </c>
      <c r="BY70" s="64">
        <f t="shared" ref="BY70:CJ73" si="214">IF(BY15=0,0,IF(BY15=5,7,IF(BY15=10,14,IF(BY15=15,21,IF(BY15=20,28,0)))))</f>
        <v>0</v>
      </c>
      <c r="BZ70" s="64">
        <f t="shared" si="214"/>
        <v>7</v>
      </c>
      <c r="CA70" s="64">
        <f t="shared" si="214"/>
        <v>0</v>
      </c>
      <c r="CB70" s="64">
        <f t="shared" si="214"/>
        <v>7</v>
      </c>
      <c r="CC70" s="64">
        <f t="shared" si="214"/>
        <v>0</v>
      </c>
      <c r="CD70" s="64">
        <f t="shared" si="214"/>
        <v>14</v>
      </c>
      <c r="CE70" s="64">
        <f t="shared" si="214"/>
        <v>7</v>
      </c>
      <c r="CF70" s="64">
        <f t="shared" si="214"/>
        <v>14</v>
      </c>
      <c r="CG70" s="64">
        <f t="shared" si="214"/>
        <v>7</v>
      </c>
      <c r="CH70" s="64">
        <f t="shared" si="214"/>
        <v>14</v>
      </c>
      <c r="CI70" s="64">
        <f t="shared" si="214"/>
        <v>21</v>
      </c>
      <c r="CJ70" s="64">
        <f t="shared" si="214"/>
        <v>14</v>
      </c>
      <c r="CK70" s="64"/>
      <c r="CL70" s="64"/>
      <c r="CM70" s="64"/>
      <c r="CN70" s="64" t="s">
        <v>104</v>
      </c>
      <c r="CO70" s="64">
        <v>0</v>
      </c>
      <c r="CP70" s="64">
        <f t="shared" ref="CP70:DA73" si="215">IF(CP15=0,0,IF(CP15=5,7,IF(CP15=10,14,IF(CP15=15,21,IF(CP15=20,28,0)))))</f>
        <v>0</v>
      </c>
      <c r="CQ70" s="64">
        <f t="shared" si="215"/>
        <v>7</v>
      </c>
      <c r="CR70" s="64">
        <f t="shared" si="215"/>
        <v>0</v>
      </c>
      <c r="CS70" s="64">
        <f t="shared" si="215"/>
        <v>7</v>
      </c>
      <c r="CT70" s="64">
        <f t="shared" si="215"/>
        <v>0</v>
      </c>
      <c r="CU70" s="64">
        <f t="shared" si="215"/>
        <v>7</v>
      </c>
      <c r="CV70" s="64">
        <f t="shared" si="215"/>
        <v>14</v>
      </c>
      <c r="CW70" s="64">
        <f t="shared" si="215"/>
        <v>7</v>
      </c>
      <c r="CX70" s="64">
        <f t="shared" si="215"/>
        <v>14</v>
      </c>
      <c r="CY70" s="64">
        <f t="shared" si="215"/>
        <v>21</v>
      </c>
      <c r="CZ70" s="64">
        <f t="shared" si="215"/>
        <v>21</v>
      </c>
      <c r="DA70" s="64">
        <f t="shared" si="215"/>
        <v>28</v>
      </c>
      <c r="DB70" s="64"/>
      <c r="DC70" s="64" t="s">
        <v>104</v>
      </c>
      <c r="DD70" s="64">
        <v>0</v>
      </c>
      <c r="DE70" s="64">
        <f>IF(DE15=0,0,IF(DE15=5,7,IF(DE15=10,14,IF(DE15=15,21,IF(DE15=20,28,0)))))</f>
        <v>0</v>
      </c>
      <c r="DF70" s="64">
        <f t="shared" ref="DF70:DP70" si="216">IF(DF15=0,0,IF(DF15=5,7,IF(DF15=10,14,IF(DF15=15,21,IF(DF15=20,28,0)))))</f>
        <v>7</v>
      </c>
      <c r="DG70" s="64">
        <f t="shared" si="216"/>
        <v>0</v>
      </c>
      <c r="DH70" s="64">
        <f t="shared" si="216"/>
        <v>0</v>
      </c>
      <c r="DI70" s="64">
        <f t="shared" si="216"/>
        <v>14</v>
      </c>
      <c r="DJ70" s="64">
        <f t="shared" si="216"/>
        <v>7</v>
      </c>
      <c r="DK70" s="64">
        <f t="shared" si="216"/>
        <v>14</v>
      </c>
      <c r="DL70" s="64">
        <f t="shared" si="216"/>
        <v>14</v>
      </c>
      <c r="DM70" s="64">
        <f t="shared" si="216"/>
        <v>14</v>
      </c>
      <c r="DN70" s="64">
        <f t="shared" si="216"/>
        <v>21</v>
      </c>
      <c r="DO70" s="64">
        <f t="shared" si="216"/>
        <v>28</v>
      </c>
      <c r="DP70" s="64">
        <f t="shared" si="216"/>
        <v>28</v>
      </c>
      <c r="DQ70" s="80"/>
      <c r="DR70" s="80"/>
      <c r="DS70" s="80"/>
      <c r="DT70" s="64"/>
      <c r="DU70" s="64"/>
      <c r="DV70" s="64"/>
      <c r="DW70" s="64"/>
      <c r="DX70" s="64"/>
      <c r="DY70" s="64"/>
      <c r="DZ70" s="64"/>
      <c r="EA70" s="64"/>
      <c r="EB70" s="64"/>
      <c r="EC70" s="64"/>
      <c r="ED70" s="64"/>
      <c r="EE70" s="64"/>
      <c r="EF70" s="64"/>
      <c r="EG70" s="64"/>
      <c r="EH70" s="64"/>
      <c r="EI70" s="64"/>
      <c r="EJ70" s="69"/>
      <c r="EK70" s="64" t="s">
        <v>286</v>
      </c>
      <c r="EL70" s="64">
        <v>0</v>
      </c>
      <c r="EM70" s="64">
        <f t="shared" ref="EM70:EX70" si="217">EM15/5*7</f>
        <v>0</v>
      </c>
      <c r="EN70" s="64">
        <f t="shared" si="217"/>
        <v>7</v>
      </c>
      <c r="EO70" s="64">
        <f t="shared" si="217"/>
        <v>7</v>
      </c>
      <c r="EP70" s="64">
        <f t="shared" si="217"/>
        <v>0</v>
      </c>
      <c r="EQ70" s="64">
        <f t="shared" si="217"/>
        <v>0</v>
      </c>
      <c r="ER70" s="64">
        <f t="shared" si="217"/>
        <v>0</v>
      </c>
      <c r="ES70" s="64">
        <f t="shared" si="217"/>
        <v>0</v>
      </c>
      <c r="ET70" s="64">
        <f t="shared" si="217"/>
        <v>0</v>
      </c>
      <c r="EU70" s="64">
        <f t="shared" si="217"/>
        <v>0</v>
      </c>
      <c r="EV70" s="64">
        <f t="shared" si="217"/>
        <v>0</v>
      </c>
      <c r="EW70" s="64">
        <f t="shared" si="217"/>
        <v>0</v>
      </c>
      <c r="EX70" s="64">
        <f t="shared" si="217"/>
        <v>0</v>
      </c>
      <c r="EZ70" s="64" t="s">
        <v>286</v>
      </c>
      <c r="FA70" s="64">
        <v>0</v>
      </c>
      <c r="FB70" s="64">
        <f t="shared" ref="FB70:FM70" si="218">FB15/5*7</f>
        <v>0</v>
      </c>
      <c r="FC70" s="64">
        <f t="shared" si="218"/>
        <v>7</v>
      </c>
      <c r="FD70" s="64">
        <f t="shared" si="218"/>
        <v>0</v>
      </c>
      <c r="FE70" s="64">
        <f t="shared" si="218"/>
        <v>0</v>
      </c>
      <c r="FF70" s="64">
        <f t="shared" si="218"/>
        <v>0</v>
      </c>
      <c r="FG70" s="64">
        <f t="shared" si="218"/>
        <v>0</v>
      </c>
      <c r="FH70" s="64">
        <f t="shared" si="218"/>
        <v>0</v>
      </c>
      <c r="FI70" s="64">
        <f t="shared" si="218"/>
        <v>0</v>
      </c>
      <c r="FJ70" s="64">
        <f t="shared" si="218"/>
        <v>0</v>
      </c>
      <c r="FK70" s="64">
        <f t="shared" si="218"/>
        <v>0</v>
      </c>
      <c r="FL70" s="64">
        <f t="shared" si="218"/>
        <v>0</v>
      </c>
      <c r="FM70" s="64">
        <f t="shared" si="218"/>
        <v>0</v>
      </c>
      <c r="FO70" s="64" t="s">
        <v>286</v>
      </c>
      <c r="FP70" s="64">
        <v>0</v>
      </c>
      <c r="FQ70" s="64">
        <f t="shared" ref="FQ70:GB70" si="219">FQ15/5*7</f>
        <v>0</v>
      </c>
      <c r="FR70" s="64">
        <f t="shared" si="219"/>
        <v>7</v>
      </c>
      <c r="FS70" s="64">
        <f t="shared" si="219"/>
        <v>0</v>
      </c>
      <c r="FT70" s="64">
        <f t="shared" si="219"/>
        <v>0</v>
      </c>
      <c r="FU70" s="64">
        <f t="shared" si="219"/>
        <v>0</v>
      </c>
      <c r="FV70" s="64">
        <f t="shared" si="219"/>
        <v>0</v>
      </c>
      <c r="FW70" s="64">
        <f t="shared" si="219"/>
        <v>0</v>
      </c>
      <c r="FX70" s="64">
        <f t="shared" si="219"/>
        <v>0</v>
      </c>
      <c r="FY70" s="64">
        <f t="shared" si="219"/>
        <v>0</v>
      </c>
      <c r="FZ70" s="64">
        <f t="shared" si="219"/>
        <v>0</v>
      </c>
      <c r="GA70" s="64">
        <f t="shared" si="219"/>
        <v>0</v>
      </c>
      <c r="GB70" s="64">
        <f t="shared" si="219"/>
        <v>0</v>
      </c>
      <c r="GD70" s="64" t="s">
        <v>286</v>
      </c>
      <c r="GE70" s="64">
        <v>0</v>
      </c>
      <c r="GF70" s="64">
        <f t="shared" ref="GF70:GQ70" si="220">GF15/5*7</f>
        <v>0</v>
      </c>
      <c r="GG70" s="64">
        <f t="shared" si="220"/>
        <v>7</v>
      </c>
      <c r="GH70" s="64">
        <f t="shared" si="220"/>
        <v>0</v>
      </c>
      <c r="GI70" s="64">
        <f t="shared" si="220"/>
        <v>0</v>
      </c>
      <c r="GJ70" s="64">
        <f t="shared" si="220"/>
        <v>0</v>
      </c>
      <c r="GK70" s="64">
        <f t="shared" si="220"/>
        <v>0</v>
      </c>
      <c r="GL70" s="64">
        <f t="shared" si="220"/>
        <v>0</v>
      </c>
      <c r="GM70" s="64">
        <f t="shared" si="220"/>
        <v>0</v>
      </c>
      <c r="GN70" s="64">
        <f t="shared" si="220"/>
        <v>0</v>
      </c>
      <c r="GO70" s="64">
        <f t="shared" si="220"/>
        <v>0</v>
      </c>
      <c r="GP70" s="64">
        <f t="shared" si="220"/>
        <v>0</v>
      </c>
      <c r="GQ70" s="64">
        <f t="shared" si="220"/>
        <v>0</v>
      </c>
      <c r="GR70" s="64"/>
      <c r="GS70" s="64"/>
      <c r="GT70" s="64"/>
      <c r="GU70" s="64"/>
      <c r="GV70" s="64"/>
      <c r="GW70" s="64"/>
      <c r="GX70" s="64"/>
      <c r="GY70" s="64"/>
      <c r="GZ70" s="64"/>
      <c r="HA70" s="64"/>
      <c r="HB70" s="64"/>
      <c r="HC70" s="64"/>
      <c r="HD70" s="64"/>
      <c r="HE70" s="64"/>
      <c r="HF70" s="64"/>
      <c r="HG70" s="70"/>
      <c r="HH70" s="64"/>
    </row>
    <row r="71" spans="1:254" x14ac:dyDescent="0.25">
      <c r="A71" s="8"/>
      <c r="B71" s="5" t="s">
        <v>61</v>
      </c>
      <c r="C71" s="8"/>
      <c r="D71" s="6" t="s">
        <v>458</v>
      </c>
      <c r="E71" s="8">
        <v>0</v>
      </c>
      <c r="F71" s="5"/>
      <c r="G71" s="5"/>
      <c r="H71" s="5"/>
      <c r="I71" s="5"/>
      <c r="J71" s="5" t="s">
        <v>95</v>
      </c>
      <c r="K71" s="9"/>
      <c r="L71" s="6" t="str">
        <f>INDEX((AS68:AV70),MATCH(G67,AR68:AR70,0),MATCH(E69,AS67:AV67,0))</f>
        <v>CWT70H50/2,4NMC</v>
      </c>
      <c r="M71" s="11">
        <f>INDEX(cenník!$C$2:$I$568,MATCH($L71,cenník!$B$2:$B$557,0),MATCH(M$2,cenník!$C$1:$I$1,0))</f>
        <v>867824</v>
      </c>
      <c r="N71" s="11" t="str">
        <f>INDEX(cenník!$C$2:$I$568,MATCH($L71,cenník!$B$2:$B$557,0),MATCH(N$2,cenník!$C$1:$I$1,0))</f>
        <v>ks</v>
      </c>
      <c r="O71" s="11">
        <f>IF(L71="CWT70H50/2NMC",O70,IF(L71="CWT70H50/2,4NMC",O70,0))</f>
        <v>0</v>
      </c>
      <c r="P71" s="36">
        <f>INDEX(cenník!$C$2:$I$568,MATCH($L71,cenník!$B$2:$B$557,0),MATCH(P$2,cenník!$C$1:$I$1,0))</f>
        <v>41.99</v>
      </c>
      <c r="Q71" s="36">
        <f t="shared" ref="Q71:Q72" si="221">O71*P71</f>
        <v>0</v>
      </c>
      <c r="R71" s="37">
        <f t="shared" si="204"/>
        <v>0</v>
      </c>
      <c r="S71" s="36">
        <f t="shared" si="205"/>
        <v>41.99</v>
      </c>
      <c r="T71" s="36">
        <f t="shared" ref="T71:T72" si="222">O71*S71</f>
        <v>0</v>
      </c>
      <c r="U71" s="36">
        <f>INDEX(cenník!$C$2:$I$568,MATCH($L71,cenník!$B$2:$B$557,0),MATCH(U$2,cenník!$C$1:$I$1,0))*O71</f>
        <v>0</v>
      </c>
      <c r="V71" s="85"/>
      <c r="W71" s="64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64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64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64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64">
        <f t="shared" si="178"/>
        <v>0</v>
      </c>
      <c r="AB71" s="64">
        <f t="shared" si="179"/>
        <v>0</v>
      </c>
      <c r="AC71" s="64"/>
      <c r="AD71" s="64"/>
      <c r="AE71" s="64"/>
      <c r="AF71" s="64"/>
      <c r="AG71" s="64"/>
      <c r="AH71" s="64"/>
      <c r="AI71" s="64"/>
      <c r="AJ71" s="64"/>
      <c r="AK71" s="64"/>
      <c r="AL71" s="64"/>
      <c r="AM71" s="64"/>
      <c r="AN71" s="64"/>
      <c r="AO71" s="64"/>
      <c r="AP71" s="64"/>
      <c r="AQ71" s="64"/>
      <c r="AW71" s="64"/>
      <c r="AX71" s="64"/>
      <c r="AY71" s="64"/>
      <c r="AZ71" s="64"/>
      <c r="BA71" s="64"/>
      <c r="BB71" s="64"/>
      <c r="BC71" s="64"/>
      <c r="BD71" s="64"/>
      <c r="BE71" s="64"/>
      <c r="BF71" s="64"/>
      <c r="BG71" s="64">
        <f t="shared" si="180"/>
        <v>1</v>
      </c>
      <c r="BH71" s="64" t="s">
        <v>103</v>
      </c>
      <c r="BI71" s="64">
        <v>0</v>
      </c>
      <c r="BJ71" s="64">
        <f t="shared" ref="BJ71:BU73" si="223">IF(BJ16=0,0,IF(BJ16=5,7,IF(BJ16=10,14,IF(BJ16=15,21,IF(BJ16=20,28,0)))))</f>
        <v>0</v>
      </c>
      <c r="BK71" s="64">
        <f t="shared" si="223"/>
        <v>0</v>
      </c>
      <c r="BL71" s="64">
        <f t="shared" si="223"/>
        <v>0</v>
      </c>
      <c r="BM71" s="64">
        <f t="shared" si="223"/>
        <v>14</v>
      </c>
      <c r="BN71" s="64">
        <f t="shared" si="223"/>
        <v>0</v>
      </c>
      <c r="BO71" s="64">
        <f t="shared" si="223"/>
        <v>14</v>
      </c>
      <c r="BP71" s="64">
        <f t="shared" si="223"/>
        <v>14</v>
      </c>
      <c r="BQ71" s="64">
        <f t="shared" si="223"/>
        <v>14</v>
      </c>
      <c r="BR71" s="64">
        <f t="shared" si="223"/>
        <v>7</v>
      </c>
      <c r="BS71" s="64">
        <f t="shared" si="223"/>
        <v>0</v>
      </c>
      <c r="BT71" s="64">
        <f t="shared" si="223"/>
        <v>7</v>
      </c>
      <c r="BU71" s="64">
        <f t="shared" si="223"/>
        <v>7</v>
      </c>
      <c r="BV71" s="64"/>
      <c r="BW71" s="64" t="s">
        <v>103</v>
      </c>
      <c r="BX71" s="64">
        <v>0</v>
      </c>
      <c r="BY71" s="64">
        <f t="shared" si="214"/>
        <v>0</v>
      </c>
      <c r="BZ71" s="64">
        <f t="shared" si="214"/>
        <v>0</v>
      </c>
      <c r="CA71" s="64">
        <f t="shared" si="214"/>
        <v>7</v>
      </c>
      <c r="CB71" s="64">
        <f t="shared" si="214"/>
        <v>0</v>
      </c>
      <c r="CC71" s="64">
        <f t="shared" si="214"/>
        <v>14</v>
      </c>
      <c r="CD71" s="64">
        <f t="shared" si="214"/>
        <v>0</v>
      </c>
      <c r="CE71" s="64">
        <f t="shared" si="214"/>
        <v>14</v>
      </c>
      <c r="CF71" s="64">
        <f t="shared" si="214"/>
        <v>7</v>
      </c>
      <c r="CG71" s="64">
        <f t="shared" si="214"/>
        <v>14</v>
      </c>
      <c r="CH71" s="64">
        <f t="shared" si="214"/>
        <v>7</v>
      </c>
      <c r="CI71" s="64">
        <f t="shared" si="214"/>
        <v>7</v>
      </c>
      <c r="CJ71" s="64">
        <f t="shared" si="214"/>
        <v>14</v>
      </c>
      <c r="CK71" s="64"/>
      <c r="CL71" s="64"/>
      <c r="CM71" s="64"/>
      <c r="CN71" s="64" t="s">
        <v>103</v>
      </c>
      <c r="CO71" s="64">
        <v>0</v>
      </c>
      <c r="CP71" s="64">
        <f t="shared" si="215"/>
        <v>7</v>
      </c>
      <c r="CQ71" s="64">
        <f t="shared" si="215"/>
        <v>0</v>
      </c>
      <c r="CR71" s="64">
        <f t="shared" si="215"/>
        <v>14</v>
      </c>
      <c r="CS71" s="64">
        <f t="shared" si="215"/>
        <v>0</v>
      </c>
      <c r="CT71" s="64">
        <f t="shared" si="215"/>
        <v>14</v>
      </c>
      <c r="CU71" s="64">
        <f t="shared" si="215"/>
        <v>14</v>
      </c>
      <c r="CV71" s="64">
        <f t="shared" si="215"/>
        <v>0</v>
      </c>
      <c r="CW71" s="64">
        <f t="shared" si="215"/>
        <v>14</v>
      </c>
      <c r="CX71" s="64">
        <f t="shared" si="215"/>
        <v>7</v>
      </c>
      <c r="CY71" s="64">
        <f t="shared" si="215"/>
        <v>0</v>
      </c>
      <c r="CZ71" s="64">
        <f t="shared" si="215"/>
        <v>7</v>
      </c>
      <c r="DA71" s="64">
        <f t="shared" si="215"/>
        <v>0</v>
      </c>
      <c r="DB71" s="64"/>
      <c r="DC71" s="64" t="s">
        <v>103</v>
      </c>
      <c r="DD71" s="64">
        <v>0</v>
      </c>
      <c r="DE71" s="64">
        <f t="shared" ref="DE71:DP73" si="224">IF(DE16=0,0,IF(DE16=5,7,IF(DE16=10,14,IF(DE16=15,21,IF(DE16=20,28,0)))))</f>
        <v>7</v>
      </c>
      <c r="DF71" s="64">
        <f t="shared" si="224"/>
        <v>0</v>
      </c>
      <c r="DG71" s="64">
        <f t="shared" si="224"/>
        <v>14</v>
      </c>
      <c r="DH71" s="64">
        <f t="shared" si="224"/>
        <v>14</v>
      </c>
      <c r="DI71" s="64">
        <f t="shared" si="224"/>
        <v>0</v>
      </c>
      <c r="DJ71" s="64">
        <f t="shared" si="224"/>
        <v>14</v>
      </c>
      <c r="DK71" s="64">
        <f t="shared" si="224"/>
        <v>7</v>
      </c>
      <c r="DL71" s="64">
        <f t="shared" si="224"/>
        <v>7</v>
      </c>
      <c r="DM71" s="64">
        <f t="shared" si="224"/>
        <v>14</v>
      </c>
      <c r="DN71" s="64">
        <f t="shared" si="224"/>
        <v>7</v>
      </c>
      <c r="DO71" s="64">
        <f t="shared" si="224"/>
        <v>0</v>
      </c>
      <c r="DP71" s="64">
        <f t="shared" si="224"/>
        <v>0</v>
      </c>
      <c r="DQ71" s="80"/>
      <c r="DR71" s="80"/>
      <c r="DS71" s="80"/>
      <c r="DT71" s="64"/>
      <c r="DU71" s="64"/>
      <c r="DV71" s="64"/>
      <c r="DW71" s="64"/>
      <c r="DX71" s="64"/>
      <c r="DY71" s="64"/>
      <c r="DZ71" s="64"/>
      <c r="EA71" s="64"/>
      <c r="EB71" s="64"/>
      <c r="EC71" s="64"/>
      <c r="ED71" s="64"/>
      <c r="EE71" s="64"/>
      <c r="EF71" s="64"/>
      <c r="EG71" s="64"/>
      <c r="EH71" s="64"/>
      <c r="EI71" s="64"/>
      <c r="EJ71" s="69"/>
      <c r="EK71" s="64" t="s">
        <v>240</v>
      </c>
      <c r="EL71" s="64">
        <v>0</v>
      </c>
      <c r="EM71" s="64">
        <f t="shared" ref="EM71:EX71" si="225">EM16/5*7</f>
        <v>0</v>
      </c>
      <c r="EN71" s="64">
        <f t="shared" si="225"/>
        <v>0</v>
      </c>
      <c r="EO71" s="64">
        <f t="shared" si="225"/>
        <v>0</v>
      </c>
      <c r="EP71" s="64">
        <f t="shared" si="225"/>
        <v>14</v>
      </c>
      <c r="EQ71" s="64">
        <f t="shared" si="225"/>
        <v>0</v>
      </c>
      <c r="ER71" s="64">
        <f t="shared" si="225"/>
        <v>14</v>
      </c>
      <c r="ES71" s="64">
        <f t="shared" si="225"/>
        <v>14</v>
      </c>
      <c r="ET71" s="64">
        <f t="shared" si="225"/>
        <v>14</v>
      </c>
      <c r="EU71" s="64">
        <f t="shared" si="225"/>
        <v>7</v>
      </c>
      <c r="EV71" s="64">
        <f t="shared" si="225"/>
        <v>0</v>
      </c>
      <c r="EW71" s="64">
        <f t="shared" si="225"/>
        <v>7</v>
      </c>
      <c r="EX71" s="64">
        <f t="shared" si="225"/>
        <v>7</v>
      </c>
      <c r="EY71" s="64"/>
      <c r="EZ71" s="64" t="s">
        <v>240</v>
      </c>
      <c r="FA71" s="64">
        <v>0</v>
      </c>
      <c r="FB71" s="64">
        <f t="shared" ref="FB71:FM71" si="226">FB16/5*7</f>
        <v>0</v>
      </c>
      <c r="FC71" s="64">
        <f t="shared" si="226"/>
        <v>0</v>
      </c>
      <c r="FD71" s="64">
        <f t="shared" si="226"/>
        <v>7</v>
      </c>
      <c r="FE71" s="64">
        <f t="shared" si="226"/>
        <v>0</v>
      </c>
      <c r="FF71" s="64">
        <f t="shared" si="226"/>
        <v>14</v>
      </c>
      <c r="FG71" s="64">
        <f t="shared" si="226"/>
        <v>0</v>
      </c>
      <c r="FH71" s="64">
        <f t="shared" si="226"/>
        <v>14</v>
      </c>
      <c r="FI71" s="64">
        <f t="shared" si="226"/>
        <v>7</v>
      </c>
      <c r="FJ71" s="64">
        <f t="shared" si="226"/>
        <v>14</v>
      </c>
      <c r="FK71" s="64">
        <f t="shared" si="226"/>
        <v>7</v>
      </c>
      <c r="FL71" s="64">
        <f t="shared" si="226"/>
        <v>7</v>
      </c>
      <c r="FM71" s="64">
        <f t="shared" si="226"/>
        <v>14</v>
      </c>
      <c r="FN71" s="64"/>
      <c r="FO71" s="64" t="s">
        <v>240</v>
      </c>
      <c r="FP71" s="64">
        <v>0</v>
      </c>
      <c r="FQ71" s="64">
        <f t="shared" ref="FQ71:GB71" si="227">FQ16/5*7</f>
        <v>7</v>
      </c>
      <c r="FR71" s="64">
        <f t="shared" si="227"/>
        <v>0</v>
      </c>
      <c r="FS71" s="64">
        <f t="shared" si="227"/>
        <v>14</v>
      </c>
      <c r="FT71" s="64">
        <f t="shared" si="227"/>
        <v>0</v>
      </c>
      <c r="FU71" s="64">
        <f t="shared" si="227"/>
        <v>14</v>
      </c>
      <c r="FV71" s="64">
        <f t="shared" si="227"/>
        <v>14</v>
      </c>
      <c r="FW71" s="64">
        <f t="shared" si="227"/>
        <v>0</v>
      </c>
      <c r="FX71" s="64">
        <f t="shared" si="227"/>
        <v>14</v>
      </c>
      <c r="FY71" s="64">
        <f t="shared" si="227"/>
        <v>7</v>
      </c>
      <c r="FZ71" s="64">
        <f t="shared" si="227"/>
        <v>0</v>
      </c>
      <c r="GA71" s="64">
        <f t="shared" si="227"/>
        <v>7</v>
      </c>
      <c r="GB71" s="64">
        <f t="shared" si="227"/>
        <v>0</v>
      </c>
      <c r="GC71" s="64"/>
      <c r="GD71" s="64" t="s">
        <v>240</v>
      </c>
      <c r="GE71" s="64">
        <v>0</v>
      </c>
      <c r="GF71" s="64">
        <f t="shared" ref="GF71:GQ71" si="228">GF16/5*7</f>
        <v>7</v>
      </c>
      <c r="GG71" s="64">
        <f t="shared" si="228"/>
        <v>0</v>
      </c>
      <c r="GH71" s="64">
        <f t="shared" si="228"/>
        <v>14</v>
      </c>
      <c r="GI71" s="64">
        <f t="shared" si="228"/>
        <v>14</v>
      </c>
      <c r="GJ71" s="64">
        <f t="shared" si="228"/>
        <v>0</v>
      </c>
      <c r="GK71" s="64">
        <f t="shared" si="228"/>
        <v>14</v>
      </c>
      <c r="GL71" s="64">
        <f t="shared" si="228"/>
        <v>7</v>
      </c>
      <c r="GM71" s="64">
        <f t="shared" si="228"/>
        <v>7</v>
      </c>
      <c r="GN71" s="64">
        <f t="shared" si="228"/>
        <v>14</v>
      </c>
      <c r="GO71" s="64">
        <f t="shared" si="228"/>
        <v>7</v>
      </c>
      <c r="GP71" s="64">
        <f t="shared" si="228"/>
        <v>0</v>
      </c>
      <c r="GQ71" s="64">
        <f t="shared" si="228"/>
        <v>0</v>
      </c>
      <c r="GR71" s="64"/>
      <c r="GS71" s="64"/>
      <c r="GT71" s="64"/>
      <c r="GU71" s="64"/>
      <c r="GV71" s="64"/>
      <c r="GW71" s="64"/>
      <c r="GX71" s="64"/>
      <c r="GY71" s="64"/>
      <c r="GZ71" s="64"/>
      <c r="HA71" s="64"/>
      <c r="HB71" s="64"/>
      <c r="HC71" s="64"/>
      <c r="HD71" s="64"/>
      <c r="HE71" s="64"/>
      <c r="HF71" s="64"/>
      <c r="HG71" s="70"/>
      <c r="HH71" s="64"/>
    </row>
    <row r="72" spans="1:254" x14ac:dyDescent="0.25">
      <c r="A72" s="8"/>
      <c r="B72" s="5" t="s">
        <v>61</v>
      </c>
      <c r="C72" s="8"/>
      <c r="D72" s="6" t="s">
        <v>460</v>
      </c>
      <c r="E72" s="8">
        <v>0</v>
      </c>
      <c r="F72" s="5"/>
      <c r="G72" s="5"/>
      <c r="H72" s="5"/>
      <c r="I72" s="5"/>
      <c r="J72" s="5" t="s">
        <v>461</v>
      </c>
      <c r="K72" s="9"/>
      <c r="L72" s="39" t="str">
        <f>IF(L71="CWT70H50/2NMC","LCT70H50NMC",IF(L71="CWT70H50/2,4NMC","LCT70H50NMC","-------"))</f>
        <v>LCT70H50NMC</v>
      </c>
      <c r="M72" s="11">
        <f>INDEX(cenník!$C$2:$I$568,MATCH($L72,cenník!$B$2:$B$557,0),MATCH(M$2,cenník!$C$1:$I$1,0))</f>
        <v>852002</v>
      </c>
      <c r="N72" s="11" t="str">
        <f>INDEX(cenník!$C$2:$I$568,MATCH($L72,cenník!$B$2:$B$557,0),MATCH(N$2,cenník!$C$1:$I$1,0))</f>
        <v>ks</v>
      </c>
      <c r="O72" s="11">
        <f>O71</f>
        <v>0</v>
      </c>
      <c r="P72" s="36">
        <f>INDEX(cenník!$C$2:$I$568,MATCH($L72,cenník!$B$2:$B$557,0),MATCH(P$2,cenník!$C$1:$I$1,0))</f>
        <v>7.8</v>
      </c>
      <c r="Q72" s="36">
        <f t="shared" si="221"/>
        <v>0</v>
      </c>
      <c r="R72" s="37">
        <f t="shared" si="204"/>
        <v>0</v>
      </c>
      <c r="S72" s="36">
        <f t="shared" si="205"/>
        <v>7.8</v>
      </c>
      <c r="T72" s="36">
        <f t="shared" si="222"/>
        <v>0</v>
      </c>
      <c r="U72" s="36">
        <f>INDEX(cenník!$C$2:$I$568,MATCH($L72,cenník!$B$2:$B$557,0),MATCH(U$2,cenník!$C$1:$I$1,0))*O72</f>
        <v>0</v>
      </c>
      <c r="V72" s="85"/>
      <c r="W72" s="64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64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64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64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64">
        <f t="shared" si="178"/>
        <v>0</v>
      </c>
      <c r="AB72" s="64">
        <f t="shared" si="179"/>
        <v>0</v>
      </c>
      <c r="AC72" s="64"/>
      <c r="AD72" s="64"/>
      <c r="AE72" s="64"/>
      <c r="AF72" s="64"/>
      <c r="AG72" s="64"/>
      <c r="AH72" s="64"/>
      <c r="AI72" s="64"/>
      <c r="AJ72" s="64"/>
      <c r="AK72" s="64"/>
      <c r="AL72" s="64"/>
      <c r="AM72" s="64"/>
      <c r="AN72" s="64"/>
      <c r="AO72" s="64"/>
      <c r="AP72" s="64"/>
      <c r="AQ72" s="64"/>
      <c r="AR72" s="91" t="s">
        <v>186</v>
      </c>
      <c r="AW72" s="64"/>
      <c r="AX72" s="64"/>
      <c r="AY72" s="64"/>
      <c r="AZ72" s="64"/>
      <c r="BA72" s="64"/>
      <c r="BB72" s="64"/>
      <c r="BC72" s="64"/>
      <c r="BD72" s="64"/>
      <c r="BE72" s="64"/>
      <c r="BF72" s="64"/>
      <c r="BG72" s="64">
        <f t="shared" si="180"/>
        <v>1</v>
      </c>
      <c r="BH72" s="64" t="s">
        <v>16</v>
      </c>
      <c r="BI72" s="64">
        <v>0</v>
      </c>
      <c r="BJ72" s="64">
        <f t="shared" si="223"/>
        <v>7</v>
      </c>
      <c r="BK72" s="64">
        <f t="shared" si="223"/>
        <v>0</v>
      </c>
      <c r="BL72" s="64">
        <f t="shared" si="223"/>
        <v>0</v>
      </c>
      <c r="BM72" s="64">
        <f t="shared" si="223"/>
        <v>0</v>
      </c>
      <c r="BN72" s="64">
        <f t="shared" si="223"/>
        <v>7</v>
      </c>
      <c r="BO72" s="64">
        <f t="shared" si="223"/>
        <v>7</v>
      </c>
      <c r="BP72" s="64">
        <f t="shared" si="223"/>
        <v>0</v>
      </c>
      <c r="BQ72" s="64">
        <f t="shared" si="223"/>
        <v>0</v>
      </c>
      <c r="BR72" s="64">
        <f t="shared" si="223"/>
        <v>0</v>
      </c>
      <c r="BS72" s="64">
        <f t="shared" si="223"/>
        <v>0</v>
      </c>
      <c r="BT72" s="64">
        <f t="shared" si="223"/>
        <v>7</v>
      </c>
      <c r="BU72" s="64">
        <f t="shared" si="223"/>
        <v>0</v>
      </c>
      <c r="BV72" s="64"/>
      <c r="BW72" s="64" t="s">
        <v>16</v>
      </c>
      <c r="BX72" s="64">
        <v>0</v>
      </c>
      <c r="BY72" s="64">
        <f t="shared" si="214"/>
        <v>7</v>
      </c>
      <c r="BZ72" s="64">
        <f t="shared" si="214"/>
        <v>0</v>
      </c>
      <c r="CA72" s="64">
        <f t="shared" si="214"/>
        <v>7</v>
      </c>
      <c r="CB72" s="64">
        <f t="shared" si="214"/>
        <v>7</v>
      </c>
      <c r="CC72" s="64">
        <f t="shared" si="214"/>
        <v>7</v>
      </c>
      <c r="CD72" s="64">
        <f t="shared" si="214"/>
        <v>0</v>
      </c>
      <c r="CE72" s="64">
        <f t="shared" si="214"/>
        <v>0</v>
      </c>
      <c r="CF72" s="64">
        <f t="shared" si="214"/>
        <v>0</v>
      </c>
      <c r="CG72" s="64">
        <f t="shared" si="214"/>
        <v>7</v>
      </c>
      <c r="CH72" s="64">
        <f t="shared" si="214"/>
        <v>7</v>
      </c>
      <c r="CI72" s="64">
        <f t="shared" si="214"/>
        <v>0</v>
      </c>
      <c r="CJ72" s="64">
        <f t="shared" si="214"/>
        <v>7</v>
      </c>
      <c r="CK72" s="64"/>
      <c r="CL72" s="64"/>
      <c r="CM72" s="64"/>
      <c r="CN72" s="64" t="s">
        <v>16</v>
      </c>
      <c r="CO72" s="64">
        <v>0</v>
      </c>
      <c r="CP72" s="64">
        <f t="shared" si="215"/>
        <v>0</v>
      </c>
      <c r="CQ72" s="64">
        <f t="shared" si="215"/>
        <v>0</v>
      </c>
      <c r="CR72" s="64">
        <f t="shared" si="215"/>
        <v>0</v>
      </c>
      <c r="CS72" s="64">
        <f t="shared" si="215"/>
        <v>7</v>
      </c>
      <c r="CT72" s="64">
        <f t="shared" si="215"/>
        <v>7</v>
      </c>
      <c r="CU72" s="64">
        <f t="shared" si="215"/>
        <v>0</v>
      </c>
      <c r="CV72" s="64">
        <f t="shared" si="215"/>
        <v>7</v>
      </c>
      <c r="CW72" s="64">
        <f t="shared" si="215"/>
        <v>7</v>
      </c>
      <c r="CX72" s="64">
        <f t="shared" si="215"/>
        <v>7</v>
      </c>
      <c r="CY72" s="64">
        <f t="shared" si="215"/>
        <v>7</v>
      </c>
      <c r="CZ72" s="64">
        <f t="shared" si="215"/>
        <v>0</v>
      </c>
      <c r="DA72" s="64">
        <f t="shared" si="215"/>
        <v>0</v>
      </c>
      <c r="DB72" s="64"/>
      <c r="DC72" s="64" t="s">
        <v>16</v>
      </c>
      <c r="DD72" s="64">
        <v>0</v>
      </c>
      <c r="DE72" s="64">
        <f t="shared" si="224"/>
        <v>0</v>
      </c>
      <c r="DF72" s="64">
        <f t="shared" si="224"/>
        <v>0</v>
      </c>
      <c r="DG72" s="64">
        <f t="shared" si="224"/>
        <v>0</v>
      </c>
      <c r="DH72" s="64">
        <f t="shared" si="224"/>
        <v>7</v>
      </c>
      <c r="DI72" s="64">
        <f t="shared" si="224"/>
        <v>0</v>
      </c>
      <c r="DJ72" s="64">
        <f t="shared" si="224"/>
        <v>0</v>
      </c>
      <c r="DK72" s="64">
        <f t="shared" si="224"/>
        <v>0</v>
      </c>
      <c r="DL72" s="64">
        <f t="shared" si="224"/>
        <v>7</v>
      </c>
      <c r="DM72" s="64">
        <f t="shared" si="224"/>
        <v>0</v>
      </c>
      <c r="DN72" s="64">
        <f t="shared" si="224"/>
        <v>0</v>
      </c>
      <c r="DO72" s="64">
        <f t="shared" si="224"/>
        <v>0</v>
      </c>
      <c r="DP72" s="64">
        <f t="shared" si="224"/>
        <v>7</v>
      </c>
      <c r="DQ72" s="80"/>
      <c r="DR72" s="80"/>
      <c r="DS72" s="80"/>
      <c r="DT72" s="64"/>
      <c r="DU72" s="64"/>
      <c r="DV72" s="64"/>
      <c r="DW72" s="64"/>
      <c r="DX72" s="64"/>
      <c r="DY72" s="64"/>
      <c r="DZ72" s="64"/>
      <c r="EA72" s="64"/>
      <c r="EB72" s="64"/>
      <c r="EC72" s="64"/>
      <c r="ED72" s="64"/>
      <c r="EE72" s="64"/>
      <c r="EF72" s="64"/>
      <c r="EG72" s="64"/>
      <c r="EH72" s="64"/>
      <c r="EI72" s="64"/>
      <c r="EJ72" s="69"/>
      <c r="EK72" s="64" t="s">
        <v>241</v>
      </c>
      <c r="EL72" s="64">
        <v>0</v>
      </c>
      <c r="EM72" s="64">
        <f t="shared" ref="EM72:EX72" si="229">EM17/5*7</f>
        <v>7</v>
      </c>
      <c r="EN72" s="64">
        <f t="shared" si="229"/>
        <v>0</v>
      </c>
      <c r="EO72" s="64">
        <f t="shared" si="229"/>
        <v>0</v>
      </c>
      <c r="EP72" s="64">
        <f t="shared" si="229"/>
        <v>0</v>
      </c>
      <c r="EQ72" s="64">
        <f t="shared" si="229"/>
        <v>21</v>
      </c>
      <c r="ER72" s="64">
        <f t="shared" si="229"/>
        <v>7</v>
      </c>
      <c r="ES72" s="64">
        <f t="shared" si="229"/>
        <v>14</v>
      </c>
      <c r="ET72" s="64">
        <f t="shared" si="229"/>
        <v>14</v>
      </c>
      <c r="EU72" s="64">
        <f t="shared" si="229"/>
        <v>28</v>
      </c>
      <c r="EV72" s="64">
        <f t="shared" si="229"/>
        <v>42</v>
      </c>
      <c r="EW72" s="64">
        <f t="shared" si="229"/>
        <v>35</v>
      </c>
      <c r="EX72" s="64">
        <f t="shared" si="229"/>
        <v>42</v>
      </c>
      <c r="EY72" s="64"/>
      <c r="EZ72" s="64" t="s">
        <v>241</v>
      </c>
      <c r="FA72" s="64">
        <v>0</v>
      </c>
      <c r="FB72" s="64">
        <f t="shared" ref="FB72:FM72" si="230">FB17/5*7</f>
        <v>7</v>
      </c>
      <c r="FC72" s="64">
        <f t="shared" si="230"/>
        <v>0</v>
      </c>
      <c r="FD72" s="64">
        <f t="shared" si="230"/>
        <v>7</v>
      </c>
      <c r="FE72" s="64">
        <f t="shared" si="230"/>
        <v>21</v>
      </c>
      <c r="FF72" s="64">
        <f t="shared" si="230"/>
        <v>7</v>
      </c>
      <c r="FG72" s="64">
        <f t="shared" si="230"/>
        <v>28</v>
      </c>
      <c r="FH72" s="64">
        <f t="shared" si="230"/>
        <v>14</v>
      </c>
      <c r="FI72" s="64">
        <f t="shared" si="230"/>
        <v>28</v>
      </c>
      <c r="FJ72" s="64">
        <f t="shared" si="230"/>
        <v>21</v>
      </c>
      <c r="FK72" s="64">
        <f t="shared" si="230"/>
        <v>35</v>
      </c>
      <c r="FL72" s="64">
        <f t="shared" si="230"/>
        <v>42</v>
      </c>
      <c r="FM72" s="64">
        <f t="shared" si="230"/>
        <v>35</v>
      </c>
      <c r="FN72" s="64"/>
      <c r="FO72" s="64" t="s">
        <v>241</v>
      </c>
      <c r="FP72" s="64">
        <v>0</v>
      </c>
      <c r="FQ72" s="64">
        <f t="shared" ref="FQ72:GB72" si="231">FQ17/5*7</f>
        <v>0</v>
      </c>
      <c r="FR72" s="64">
        <f t="shared" si="231"/>
        <v>0</v>
      </c>
      <c r="FS72" s="64">
        <f t="shared" si="231"/>
        <v>0</v>
      </c>
      <c r="FT72" s="64">
        <f t="shared" si="231"/>
        <v>21</v>
      </c>
      <c r="FU72" s="64">
        <f t="shared" si="231"/>
        <v>7</v>
      </c>
      <c r="FV72" s="64">
        <f t="shared" si="231"/>
        <v>14</v>
      </c>
      <c r="FW72" s="64">
        <f t="shared" si="231"/>
        <v>35</v>
      </c>
      <c r="FX72" s="64">
        <f t="shared" si="231"/>
        <v>21</v>
      </c>
      <c r="FY72" s="64">
        <f t="shared" si="231"/>
        <v>35</v>
      </c>
      <c r="FZ72" s="64">
        <f t="shared" si="231"/>
        <v>49</v>
      </c>
      <c r="GA72" s="64">
        <f t="shared" si="231"/>
        <v>42</v>
      </c>
      <c r="GB72" s="64">
        <f t="shared" si="231"/>
        <v>56</v>
      </c>
      <c r="GC72" s="64"/>
      <c r="GD72" s="64" t="s">
        <v>241</v>
      </c>
      <c r="GE72" s="64">
        <v>0</v>
      </c>
      <c r="GF72" s="64">
        <f t="shared" ref="GF72:GQ72" si="232">GF17/5*7</f>
        <v>0</v>
      </c>
      <c r="GG72" s="64">
        <f t="shared" si="232"/>
        <v>0</v>
      </c>
      <c r="GH72" s="64">
        <f t="shared" si="232"/>
        <v>0</v>
      </c>
      <c r="GI72" s="64">
        <f t="shared" si="232"/>
        <v>7</v>
      </c>
      <c r="GJ72" s="64">
        <f t="shared" si="232"/>
        <v>28</v>
      </c>
      <c r="GK72" s="64">
        <f t="shared" si="232"/>
        <v>14</v>
      </c>
      <c r="GL72" s="64">
        <f t="shared" si="232"/>
        <v>28</v>
      </c>
      <c r="GM72" s="64">
        <f t="shared" si="232"/>
        <v>35</v>
      </c>
      <c r="GN72" s="64">
        <f t="shared" si="232"/>
        <v>28</v>
      </c>
      <c r="GO72" s="64">
        <f t="shared" si="232"/>
        <v>42</v>
      </c>
      <c r="GP72" s="64">
        <f t="shared" si="232"/>
        <v>56</v>
      </c>
      <c r="GQ72" s="64">
        <f t="shared" si="232"/>
        <v>63</v>
      </c>
      <c r="GR72" s="64"/>
      <c r="GS72" s="64"/>
      <c r="GT72" s="64"/>
      <c r="GU72" s="64"/>
      <c r="GV72" s="64"/>
      <c r="GW72" s="64"/>
      <c r="GX72" s="64"/>
      <c r="GY72" s="64"/>
      <c r="GZ72" s="64"/>
      <c r="HA72" s="64"/>
      <c r="HB72" s="64"/>
      <c r="HC72" s="64"/>
      <c r="HD72" s="64"/>
      <c r="HE72" s="64"/>
      <c r="HF72" s="64"/>
      <c r="HG72" s="70"/>
      <c r="HH72" s="64"/>
    </row>
    <row r="73" spans="1:254" x14ac:dyDescent="0.25">
      <c r="A73" s="8"/>
      <c r="B73" s="5" t="s">
        <v>61</v>
      </c>
      <c r="C73" s="8"/>
      <c r="D73" s="6" t="s">
        <v>474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>
        <f>INDEX(cenník!$C$2:$I$568,MATCH($L73,cenník!$B$2:$B$557,0),MATCH(M$2,cenník!$C$1:$I$1,0))</f>
        <v>863468</v>
      </c>
      <c r="N73" s="11" t="str">
        <f>INDEX(cenník!$C$2:$I$568,MATCH($L73,cenník!$B$2:$B$557,0),MATCH(N$2,cenník!$C$1:$I$1,0))</f>
        <v>ks</v>
      </c>
      <c r="O73" s="11">
        <f>O69</f>
        <v>0</v>
      </c>
      <c r="P73" s="36">
        <f>INDEX(cenník!$C$2:$I$568,MATCH($L73,cenník!$B$2:$B$557,0),MATCH(P$2,cenník!$C$1:$I$1,0))</f>
        <v>146.80000000000001</v>
      </c>
      <c r="Q73" s="36">
        <f t="shared" ref="Q73:Q77" si="233">O73*P73</f>
        <v>0</v>
      </c>
      <c r="R73" s="37">
        <f t="shared" si="204"/>
        <v>0</v>
      </c>
      <c r="S73" s="36">
        <f t="shared" si="205"/>
        <v>146.80000000000001</v>
      </c>
      <c r="T73" s="36">
        <f t="shared" ref="T73:T77" si="234">O73*S73</f>
        <v>0</v>
      </c>
      <c r="U73" s="36">
        <f>INDEX(cenník!$C$2:$I$568,MATCH($L73,cenník!$B$2:$B$557,0),MATCH(U$2,cenník!$C$1:$I$1,0))*O73</f>
        <v>0</v>
      </c>
      <c r="V73" s="85"/>
      <c r="W73" s="64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64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64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64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64">
        <f t="shared" si="178"/>
        <v>0</v>
      </c>
      <c r="AB73" s="64">
        <f t="shared" si="179"/>
        <v>0</v>
      </c>
      <c r="AC73" s="64"/>
      <c r="AD73" s="64"/>
      <c r="AE73" s="64"/>
      <c r="AF73" s="64"/>
      <c r="AG73" s="64"/>
      <c r="AH73" s="64"/>
      <c r="AI73" s="64"/>
      <c r="AJ73" s="64"/>
      <c r="AK73" s="64"/>
      <c r="AL73" s="64"/>
      <c r="AM73" s="64"/>
      <c r="AN73" s="64"/>
      <c r="AO73" s="64"/>
      <c r="AP73" s="64"/>
      <c r="AQ73" s="64"/>
      <c r="AR73" s="68" t="s">
        <v>333</v>
      </c>
      <c r="AS73" s="68">
        <v>1</v>
      </c>
      <c r="AT73" s="68">
        <v>2</v>
      </c>
      <c r="AU73" s="68">
        <v>3</v>
      </c>
      <c r="AV73" s="68">
        <v>4</v>
      </c>
      <c r="AW73" s="64">
        <v>5</v>
      </c>
      <c r="AX73" s="64"/>
      <c r="AY73" s="64"/>
      <c r="AZ73" s="64"/>
      <c r="BA73" s="64"/>
      <c r="BB73" s="64"/>
      <c r="BC73" s="64"/>
      <c r="BD73" s="64"/>
      <c r="BE73" s="64"/>
      <c r="BF73" s="64"/>
      <c r="BG73" s="64">
        <f t="shared" si="180"/>
        <v>1</v>
      </c>
      <c r="BH73" s="72" t="s">
        <v>17</v>
      </c>
      <c r="BI73" s="72">
        <v>0</v>
      </c>
      <c r="BJ73" s="64">
        <f t="shared" si="223"/>
        <v>0</v>
      </c>
      <c r="BK73" s="64">
        <f t="shared" si="223"/>
        <v>0</v>
      </c>
      <c r="BL73" s="64">
        <f t="shared" si="223"/>
        <v>0</v>
      </c>
      <c r="BM73" s="64">
        <f t="shared" si="223"/>
        <v>7</v>
      </c>
      <c r="BN73" s="64">
        <f t="shared" si="223"/>
        <v>7</v>
      </c>
      <c r="BO73" s="64">
        <f t="shared" si="223"/>
        <v>14</v>
      </c>
      <c r="BP73" s="64">
        <f t="shared" si="223"/>
        <v>14</v>
      </c>
      <c r="BQ73" s="64">
        <f t="shared" si="223"/>
        <v>14</v>
      </c>
      <c r="BR73" s="64">
        <f t="shared" si="223"/>
        <v>14</v>
      </c>
      <c r="BS73" s="64">
        <f t="shared" si="223"/>
        <v>14</v>
      </c>
      <c r="BT73" s="64">
        <f t="shared" si="223"/>
        <v>21</v>
      </c>
      <c r="BU73" s="64">
        <f t="shared" si="223"/>
        <v>21</v>
      </c>
      <c r="BV73" s="64"/>
      <c r="BW73" s="64" t="s">
        <v>17</v>
      </c>
      <c r="BX73" s="64">
        <v>0</v>
      </c>
      <c r="BY73" s="64">
        <f t="shared" si="214"/>
        <v>0</v>
      </c>
      <c r="BZ73" s="64">
        <f t="shared" si="214"/>
        <v>0</v>
      </c>
      <c r="CA73" s="64">
        <f t="shared" si="214"/>
        <v>7</v>
      </c>
      <c r="CB73" s="64">
        <f t="shared" si="214"/>
        <v>7</v>
      </c>
      <c r="CC73" s="64">
        <f t="shared" si="214"/>
        <v>14</v>
      </c>
      <c r="CD73" s="64">
        <f t="shared" si="214"/>
        <v>7</v>
      </c>
      <c r="CE73" s="64">
        <f t="shared" si="214"/>
        <v>14</v>
      </c>
      <c r="CF73" s="64">
        <f t="shared" si="214"/>
        <v>14</v>
      </c>
      <c r="CG73" s="64">
        <f t="shared" si="214"/>
        <v>21</v>
      </c>
      <c r="CH73" s="64">
        <f t="shared" si="214"/>
        <v>21</v>
      </c>
      <c r="CI73" s="64">
        <f t="shared" si="214"/>
        <v>21</v>
      </c>
      <c r="CJ73" s="64">
        <f t="shared" si="214"/>
        <v>28</v>
      </c>
      <c r="CK73" s="64"/>
      <c r="CL73" s="64"/>
      <c r="CM73" s="64"/>
      <c r="CN73" s="72" t="s">
        <v>17</v>
      </c>
      <c r="CO73" s="72">
        <v>0</v>
      </c>
      <c r="CP73" s="64">
        <f t="shared" si="215"/>
        <v>0</v>
      </c>
      <c r="CQ73" s="64">
        <f t="shared" si="215"/>
        <v>0</v>
      </c>
      <c r="CR73" s="64">
        <f t="shared" si="215"/>
        <v>7</v>
      </c>
      <c r="CS73" s="64">
        <f t="shared" si="215"/>
        <v>7</v>
      </c>
      <c r="CT73" s="64">
        <f t="shared" si="215"/>
        <v>14</v>
      </c>
      <c r="CU73" s="64">
        <f t="shared" si="215"/>
        <v>14</v>
      </c>
      <c r="CV73" s="64">
        <f t="shared" si="215"/>
        <v>14</v>
      </c>
      <c r="CW73" s="64">
        <f t="shared" si="215"/>
        <v>21</v>
      </c>
      <c r="CX73" s="64">
        <f t="shared" si="215"/>
        <v>21</v>
      </c>
      <c r="CY73" s="64">
        <f t="shared" si="215"/>
        <v>21</v>
      </c>
      <c r="CZ73" s="64">
        <f t="shared" si="215"/>
        <v>21</v>
      </c>
      <c r="DA73" s="64">
        <f t="shared" si="215"/>
        <v>21</v>
      </c>
      <c r="DB73" s="64"/>
      <c r="DC73" s="64" t="s">
        <v>17</v>
      </c>
      <c r="DD73" s="64">
        <v>0</v>
      </c>
      <c r="DE73" s="64">
        <f t="shared" si="224"/>
        <v>0</v>
      </c>
      <c r="DF73" s="64">
        <f t="shared" si="224"/>
        <v>0</v>
      </c>
      <c r="DG73" s="64">
        <f t="shared" si="224"/>
        <v>7</v>
      </c>
      <c r="DH73" s="64">
        <f t="shared" si="224"/>
        <v>14</v>
      </c>
      <c r="DI73" s="64">
        <f t="shared" si="224"/>
        <v>7</v>
      </c>
      <c r="DJ73" s="64">
        <f t="shared" si="224"/>
        <v>14</v>
      </c>
      <c r="DK73" s="64">
        <f t="shared" si="224"/>
        <v>14</v>
      </c>
      <c r="DL73" s="64">
        <f t="shared" si="224"/>
        <v>21</v>
      </c>
      <c r="DM73" s="64">
        <f t="shared" si="224"/>
        <v>21</v>
      </c>
      <c r="DN73" s="64">
        <f t="shared" si="224"/>
        <v>21</v>
      </c>
      <c r="DO73" s="64">
        <f t="shared" si="224"/>
        <v>21</v>
      </c>
      <c r="DP73" s="64">
        <f t="shared" si="224"/>
        <v>28</v>
      </c>
      <c r="DQ73" s="80"/>
      <c r="DR73" s="80"/>
      <c r="DS73" s="80"/>
      <c r="DT73" s="64"/>
      <c r="DU73" s="64"/>
      <c r="DV73" s="64"/>
      <c r="DW73" s="64"/>
      <c r="DX73" s="64"/>
      <c r="DY73" s="64"/>
      <c r="DZ73" s="64"/>
      <c r="EA73" s="64"/>
      <c r="EB73" s="64"/>
      <c r="EC73" s="64"/>
      <c r="ED73" s="64"/>
      <c r="EE73" s="64"/>
      <c r="EF73" s="64"/>
      <c r="EG73" s="64"/>
      <c r="EH73" s="64"/>
      <c r="EI73" s="64"/>
      <c r="EJ73" s="69"/>
      <c r="EK73" s="72" t="s">
        <v>364</v>
      </c>
      <c r="EL73" s="64">
        <v>0</v>
      </c>
      <c r="EM73" s="64">
        <f t="shared" ref="EM73:EX73" si="235">EM18/5*7</f>
        <v>0</v>
      </c>
      <c r="EN73" s="64">
        <f t="shared" si="235"/>
        <v>0</v>
      </c>
      <c r="EO73" s="64">
        <f t="shared" si="235"/>
        <v>0</v>
      </c>
      <c r="EP73" s="64">
        <f t="shared" si="235"/>
        <v>7</v>
      </c>
      <c r="EQ73" s="64">
        <f t="shared" si="235"/>
        <v>14</v>
      </c>
      <c r="ER73" s="64">
        <f t="shared" si="235"/>
        <v>14</v>
      </c>
      <c r="ES73" s="64">
        <f t="shared" si="235"/>
        <v>21</v>
      </c>
      <c r="ET73" s="64">
        <f t="shared" si="235"/>
        <v>21</v>
      </c>
      <c r="EU73" s="64">
        <f t="shared" si="235"/>
        <v>28</v>
      </c>
      <c r="EV73" s="64">
        <f t="shared" si="235"/>
        <v>35</v>
      </c>
      <c r="EW73" s="64">
        <f t="shared" si="235"/>
        <v>35</v>
      </c>
      <c r="EX73" s="64">
        <f t="shared" si="235"/>
        <v>42</v>
      </c>
      <c r="EY73" s="64"/>
      <c r="EZ73" s="72" t="s">
        <v>364</v>
      </c>
      <c r="FA73" s="64">
        <v>0</v>
      </c>
      <c r="FB73" s="64">
        <f t="shared" ref="FB73:FM73" si="236">FB18/5*7</f>
        <v>0</v>
      </c>
      <c r="FC73" s="64">
        <f t="shared" si="236"/>
        <v>0</v>
      </c>
      <c r="FD73" s="64">
        <f t="shared" si="236"/>
        <v>7</v>
      </c>
      <c r="FE73" s="64">
        <f t="shared" si="236"/>
        <v>14</v>
      </c>
      <c r="FF73" s="64">
        <f t="shared" si="236"/>
        <v>14</v>
      </c>
      <c r="FG73" s="64">
        <f t="shared" si="236"/>
        <v>21</v>
      </c>
      <c r="FH73" s="64">
        <f t="shared" si="236"/>
        <v>21</v>
      </c>
      <c r="FI73" s="64">
        <f t="shared" si="236"/>
        <v>28</v>
      </c>
      <c r="FJ73" s="64">
        <f t="shared" si="236"/>
        <v>28</v>
      </c>
      <c r="FK73" s="64">
        <f t="shared" si="236"/>
        <v>35</v>
      </c>
      <c r="FL73" s="64">
        <f t="shared" si="236"/>
        <v>42</v>
      </c>
      <c r="FM73" s="64">
        <f t="shared" si="236"/>
        <v>42</v>
      </c>
      <c r="FN73" s="64"/>
      <c r="FO73" s="72" t="s">
        <v>364</v>
      </c>
      <c r="FP73" s="64">
        <v>0</v>
      </c>
      <c r="FQ73" s="64">
        <f t="shared" ref="FQ73:GB73" si="237">FQ18/5*7</f>
        <v>0</v>
      </c>
      <c r="FR73" s="64">
        <f t="shared" si="237"/>
        <v>0</v>
      </c>
      <c r="FS73" s="64">
        <f t="shared" si="237"/>
        <v>7</v>
      </c>
      <c r="FT73" s="64">
        <f t="shared" si="237"/>
        <v>14</v>
      </c>
      <c r="FU73" s="64">
        <f t="shared" si="237"/>
        <v>14</v>
      </c>
      <c r="FV73" s="64">
        <f t="shared" si="237"/>
        <v>21</v>
      </c>
      <c r="FW73" s="64">
        <f t="shared" si="237"/>
        <v>28</v>
      </c>
      <c r="FX73" s="64">
        <f t="shared" si="237"/>
        <v>28</v>
      </c>
      <c r="FY73" s="64">
        <f t="shared" si="237"/>
        <v>35</v>
      </c>
      <c r="FZ73" s="64">
        <f t="shared" si="237"/>
        <v>42</v>
      </c>
      <c r="GA73" s="64">
        <f t="shared" si="237"/>
        <v>42</v>
      </c>
      <c r="GB73" s="64">
        <f t="shared" si="237"/>
        <v>49</v>
      </c>
      <c r="GC73" s="64"/>
      <c r="GD73" s="72" t="s">
        <v>364</v>
      </c>
      <c r="GE73" s="64">
        <v>0</v>
      </c>
      <c r="GF73" s="64">
        <f t="shared" ref="GF73:GQ73" si="238">GF18/5*7</f>
        <v>0</v>
      </c>
      <c r="GG73" s="64">
        <f t="shared" si="238"/>
        <v>0</v>
      </c>
      <c r="GH73" s="64">
        <f t="shared" si="238"/>
        <v>7</v>
      </c>
      <c r="GI73" s="64">
        <f t="shared" si="238"/>
        <v>14</v>
      </c>
      <c r="GJ73" s="64">
        <f t="shared" si="238"/>
        <v>21</v>
      </c>
      <c r="GK73" s="64">
        <f t="shared" si="238"/>
        <v>21</v>
      </c>
      <c r="GL73" s="64">
        <f t="shared" si="238"/>
        <v>28</v>
      </c>
      <c r="GM73" s="64">
        <f t="shared" si="238"/>
        <v>35</v>
      </c>
      <c r="GN73" s="64">
        <f t="shared" si="238"/>
        <v>35</v>
      </c>
      <c r="GO73" s="64">
        <f t="shared" si="238"/>
        <v>42</v>
      </c>
      <c r="GP73" s="64">
        <f t="shared" si="238"/>
        <v>49</v>
      </c>
      <c r="GQ73" s="64">
        <f t="shared" si="238"/>
        <v>56</v>
      </c>
      <c r="GR73" s="64"/>
      <c r="GS73" s="64"/>
      <c r="GT73" s="64"/>
      <c r="GU73" s="64"/>
      <c r="GV73" s="64"/>
      <c r="GW73" s="64"/>
      <c r="GX73" s="64"/>
      <c r="GY73" s="64"/>
      <c r="GZ73" s="64"/>
      <c r="HA73" s="64"/>
      <c r="HB73" s="64"/>
      <c r="HC73" s="64"/>
      <c r="HD73" s="64"/>
      <c r="HE73" s="64"/>
      <c r="HF73" s="64"/>
      <c r="HG73" s="70"/>
      <c r="HH73" s="64"/>
    </row>
    <row r="74" spans="1:254" ht="15.75" thickBot="1" x14ac:dyDescent="0.3">
      <c r="A74" s="8"/>
      <c r="B74" s="5" t="s">
        <v>61</v>
      </c>
      <c r="C74" s="8"/>
      <c r="D74" s="6" t="s">
        <v>478</v>
      </c>
      <c r="E74" s="8">
        <v>1</v>
      </c>
      <c r="F74" s="43" t="s">
        <v>480</v>
      </c>
      <c r="G74" s="9"/>
      <c r="H74" s="9"/>
      <c r="I74" s="9"/>
      <c r="J74" s="9"/>
      <c r="K74" s="9"/>
      <c r="L74" s="6" t="s">
        <v>114</v>
      </c>
      <c r="M74" s="11">
        <f>INDEX(cenník!$C$2:$I$568,MATCH($L74,cenník!$B$2:$B$557,0),MATCH(M$2,cenník!$C$1:$I$1,0))</f>
        <v>851122</v>
      </c>
      <c r="N74" s="11" t="str">
        <f>INDEX(cenník!$C$2:$I$568,MATCH($L74,cenník!$B$2:$B$557,0),MATCH(N$2,cenník!$C$1:$I$1,0))</f>
        <v>ks</v>
      </c>
      <c r="O74" s="11">
        <f>O69</f>
        <v>0</v>
      </c>
      <c r="P74" s="36">
        <f>INDEX(cenník!$C$2:$I$568,MATCH($L74,cenník!$B$2:$B$557,0),MATCH(P$2,cenník!$C$1:$I$1,0))</f>
        <v>15.99</v>
      </c>
      <c r="Q74" s="36">
        <f t="shared" si="233"/>
        <v>0</v>
      </c>
      <c r="R74" s="37">
        <f t="shared" si="204"/>
        <v>0</v>
      </c>
      <c r="S74" s="36">
        <f t="shared" si="205"/>
        <v>15.99</v>
      </c>
      <c r="T74" s="36">
        <f t="shared" si="234"/>
        <v>0</v>
      </c>
      <c r="U74" s="36">
        <f>INDEX(cenník!$C$2:$I$568,MATCH($L74,cenník!$B$2:$B$557,0),MATCH(U$2,cenník!$C$1:$I$1,0))*O74</f>
        <v>0</v>
      </c>
      <c r="V74" s="85"/>
      <c r="W74" s="64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64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64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64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64">
        <f t="shared" si="178"/>
        <v>0</v>
      </c>
      <c r="AB74" s="64">
        <f t="shared" si="179"/>
        <v>0</v>
      </c>
      <c r="AC74" s="64"/>
      <c r="AD74" s="64"/>
      <c r="AE74" s="64"/>
      <c r="AF74" s="64"/>
      <c r="AG74" s="64"/>
      <c r="AH74" s="64"/>
      <c r="AI74" s="64"/>
      <c r="AJ74" s="64"/>
      <c r="AK74" s="64"/>
      <c r="AL74" s="64"/>
      <c r="AM74" s="64"/>
      <c r="AN74" s="64"/>
      <c r="AO74" s="64"/>
      <c r="AP74" s="64"/>
      <c r="AQ74" s="64"/>
      <c r="AR74" s="68">
        <v>1</v>
      </c>
      <c r="AS74" s="68">
        <v>2900</v>
      </c>
      <c r="AT74" s="68">
        <v>2900</v>
      </c>
      <c r="AU74" s="68">
        <v>2700</v>
      </c>
      <c r="AV74" s="68">
        <v>2700</v>
      </c>
      <c r="AW74" s="64" t="s">
        <v>522</v>
      </c>
      <c r="AX74" s="64"/>
      <c r="AY74" s="64"/>
      <c r="AZ74" s="64"/>
      <c r="BA74" s="64"/>
      <c r="BB74" s="64"/>
      <c r="BC74" s="64"/>
      <c r="BD74" s="64"/>
      <c r="BE74" s="64"/>
      <c r="BF74" s="64"/>
      <c r="BG74" s="64">
        <f t="shared" si="180"/>
        <v>1</v>
      </c>
      <c r="BH74" s="64"/>
      <c r="BI74" s="64"/>
      <c r="BJ74" s="64"/>
      <c r="BK74" s="64"/>
      <c r="BL74" s="64"/>
      <c r="BM74" s="64"/>
      <c r="BN74" s="64"/>
      <c r="BO74" s="64"/>
      <c r="BP74" s="64"/>
      <c r="BQ74" s="64"/>
      <c r="BR74" s="64"/>
      <c r="BS74" s="64"/>
      <c r="BT74" s="64"/>
      <c r="BU74" s="64"/>
      <c r="BV74" s="64"/>
      <c r="BW74" s="64"/>
      <c r="BX74" s="64"/>
      <c r="BY74" s="64"/>
      <c r="BZ74" s="64"/>
      <c r="CA74" s="64"/>
      <c r="CB74" s="64"/>
      <c r="CC74" s="64"/>
      <c r="CD74" s="64"/>
      <c r="CE74" s="64"/>
      <c r="CF74" s="64"/>
      <c r="CG74" s="64"/>
      <c r="CH74" s="64"/>
      <c r="CI74" s="64"/>
      <c r="CJ74" s="64"/>
      <c r="CK74" s="64"/>
      <c r="CL74" s="64"/>
      <c r="CM74" s="64"/>
      <c r="CN74" s="64"/>
      <c r="CO74" s="64"/>
      <c r="CP74" s="64"/>
      <c r="CQ74" s="64"/>
      <c r="CR74" s="64"/>
      <c r="CS74" s="64"/>
      <c r="CT74" s="64"/>
      <c r="CU74" s="64"/>
      <c r="CV74" s="64"/>
      <c r="CW74" s="64"/>
      <c r="CX74" s="64"/>
      <c r="CY74" s="64"/>
      <c r="CZ74" s="64"/>
      <c r="DA74" s="64"/>
      <c r="DB74" s="64"/>
      <c r="DC74" s="64"/>
      <c r="DD74" s="64"/>
      <c r="DE74" s="64"/>
      <c r="DF74" s="64"/>
      <c r="DG74" s="64"/>
      <c r="DH74" s="64"/>
      <c r="DI74" s="64"/>
      <c r="DJ74" s="64"/>
      <c r="DK74" s="64"/>
      <c r="DL74" s="64"/>
      <c r="DM74" s="64"/>
      <c r="DN74" s="64"/>
      <c r="DO74" s="64"/>
      <c r="DP74" s="64"/>
      <c r="DQ74" s="80"/>
      <c r="DR74" s="80"/>
      <c r="DS74" s="80"/>
      <c r="DT74" s="64"/>
      <c r="DU74" s="64"/>
      <c r="DV74" s="64"/>
      <c r="DW74" s="64"/>
      <c r="DX74" s="64"/>
      <c r="DY74" s="64"/>
      <c r="DZ74" s="64"/>
      <c r="EA74" s="64"/>
      <c r="EB74" s="64"/>
      <c r="EC74" s="64"/>
      <c r="ED74" s="64"/>
      <c r="EE74" s="64"/>
      <c r="EF74" s="64"/>
      <c r="EG74" s="64"/>
      <c r="EH74" s="64"/>
      <c r="EI74" s="64"/>
      <c r="EJ74" s="73"/>
      <c r="EK74" s="74"/>
      <c r="EL74" s="74"/>
      <c r="EM74" s="74"/>
      <c r="EN74" s="74"/>
      <c r="EO74" s="74"/>
      <c r="EP74" s="74"/>
      <c r="EQ74" s="74"/>
      <c r="ER74" s="74"/>
      <c r="ES74" s="74"/>
      <c r="ET74" s="74"/>
      <c r="EU74" s="74"/>
      <c r="EV74" s="74"/>
      <c r="EW74" s="74"/>
      <c r="EX74" s="74"/>
      <c r="EY74" s="74"/>
      <c r="EZ74" s="74"/>
      <c r="FA74" s="74"/>
      <c r="FB74" s="74"/>
      <c r="FC74" s="74"/>
      <c r="FD74" s="74"/>
      <c r="FE74" s="74"/>
      <c r="FF74" s="74"/>
      <c r="FG74" s="74"/>
      <c r="FH74" s="74"/>
      <c r="FI74" s="74"/>
      <c r="FJ74" s="74"/>
      <c r="FK74" s="74"/>
      <c r="FL74" s="74"/>
      <c r="FM74" s="74"/>
      <c r="FN74" s="74"/>
      <c r="FO74" s="74"/>
      <c r="FP74" s="74"/>
      <c r="FQ74" s="74"/>
      <c r="FR74" s="74"/>
      <c r="FS74" s="74"/>
      <c r="FT74" s="74"/>
      <c r="FU74" s="74"/>
      <c r="FV74" s="74"/>
      <c r="FW74" s="74"/>
      <c r="FX74" s="74"/>
      <c r="FY74" s="74"/>
      <c r="FZ74" s="74"/>
      <c r="GA74" s="74"/>
      <c r="GB74" s="74"/>
      <c r="GC74" s="74"/>
      <c r="GD74" s="74"/>
      <c r="GE74" s="74"/>
      <c r="GF74" s="74"/>
      <c r="GG74" s="74"/>
      <c r="GH74" s="74"/>
      <c r="GI74" s="74"/>
      <c r="GJ74" s="74"/>
      <c r="GK74" s="74"/>
      <c r="GL74" s="74"/>
      <c r="GM74" s="74"/>
      <c r="GN74" s="74"/>
      <c r="GO74" s="74"/>
      <c r="GP74" s="74"/>
      <c r="GQ74" s="74"/>
      <c r="GR74" s="74"/>
      <c r="GS74" s="74"/>
      <c r="GT74" s="74"/>
      <c r="GU74" s="74"/>
      <c r="GV74" s="74"/>
      <c r="GW74" s="74"/>
      <c r="GX74" s="74"/>
      <c r="GY74" s="74"/>
      <c r="GZ74" s="74"/>
      <c r="HA74" s="74"/>
      <c r="HB74" s="74"/>
      <c r="HC74" s="74"/>
      <c r="HD74" s="74"/>
      <c r="HE74" s="74"/>
      <c r="HF74" s="74"/>
      <c r="HG74" s="75"/>
      <c r="HH74" s="64"/>
    </row>
    <row r="75" spans="1:254" x14ac:dyDescent="0.25">
      <c r="A75" s="8"/>
      <c r="B75" s="5" t="s">
        <v>61</v>
      </c>
      <c r="C75" s="8"/>
      <c r="D75" s="6" t="s">
        <v>479</v>
      </c>
      <c r="E75" s="8">
        <v>4</v>
      </c>
      <c r="F75" s="43" t="s">
        <v>481</v>
      </c>
      <c r="G75" s="9"/>
      <c r="H75" s="9"/>
      <c r="I75" s="9"/>
      <c r="J75" s="9"/>
      <c r="K75" s="9"/>
      <c r="L75" s="6" t="s">
        <v>8</v>
      </c>
      <c r="M75" s="11">
        <f>INDEX(cenník!$C$2:$I$568,MATCH($L75,cenník!$B$2:$B$557,0),MATCH(M$2,cenník!$C$1:$I$1,0))</f>
        <v>856211</v>
      </c>
      <c r="N75" s="11" t="str">
        <f>INDEX(cenník!$C$2:$I$568,MATCH($L75,cenník!$B$2:$B$557,0),MATCH(N$2,cenník!$C$1:$I$1,0))</f>
        <v>ks</v>
      </c>
      <c r="O75" s="11">
        <f>O69</f>
        <v>0</v>
      </c>
      <c r="P75" s="36">
        <f>INDEX(cenník!$C$2:$I$568,MATCH($L75,cenník!$B$2:$B$557,0),MATCH(P$2,cenník!$C$1:$I$1,0))</f>
        <v>8.7100000000000009</v>
      </c>
      <c r="Q75" s="36">
        <f t="shared" si="233"/>
        <v>0</v>
      </c>
      <c r="R75" s="37">
        <f t="shared" si="204"/>
        <v>0</v>
      </c>
      <c r="S75" s="36">
        <f t="shared" si="205"/>
        <v>8.7100000000000009</v>
      </c>
      <c r="T75" s="36">
        <f t="shared" si="234"/>
        <v>0</v>
      </c>
      <c r="U75" s="36">
        <f>INDEX(cenník!$C$2:$I$568,MATCH($L75,cenník!$B$2:$B$557,0),MATCH(U$2,cenník!$C$1:$I$1,0))*O75</f>
        <v>0</v>
      </c>
      <c r="V75" s="85"/>
      <c r="W75" s="64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64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64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64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64">
        <f t="shared" si="178"/>
        <v>0</v>
      </c>
      <c r="AB75" s="64">
        <f t="shared" si="179"/>
        <v>0</v>
      </c>
      <c r="AC75" s="64"/>
      <c r="AD75" s="64"/>
      <c r="AE75" s="64"/>
      <c r="AF75" s="64"/>
      <c r="AG75" s="64"/>
      <c r="AH75" s="64"/>
      <c r="AI75" s="64"/>
      <c r="AJ75" s="64"/>
      <c r="AK75" s="64"/>
      <c r="AL75" s="64"/>
      <c r="AM75" s="64"/>
      <c r="AN75" s="64"/>
      <c r="AO75" s="64"/>
      <c r="AP75" s="64"/>
      <c r="AQ75" s="64"/>
      <c r="AR75" s="68">
        <v>2</v>
      </c>
      <c r="AS75" s="68" t="s">
        <v>522</v>
      </c>
      <c r="AT75" s="68">
        <v>2000</v>
      </c>
      <c r="AU75" s="68">
        <v>2000</v>
      </c>
      <c r="AV75" s="68" t="s">
        <v>522</v>
      </c>
      <c r="AW75" s="64" t="s">
        <v>522</v>
      </c>
      <c r="AX75" s="64"/>
      <c r="AY75" s="64"/>
      <c r="AZ75" s="64"/>
      <c r="BA75" s="64"/>
      <c r="BB75" s="64"/>
      <c r="BC75" s="64"/>
      <c r="BD75" s="64"/>
      <c r="BE75" s="64"/>
      <c r="BF75" s="64"/>
      <c r="BG75" s="64">
        <f t="shared" si="180"/>
        <v>1</v>
      </c>
      <c r="BH75" s="64"/>
      <c r="BI75" s="64"/>
      <c r="BJ75" s="64"/>
      <c r="BK75" s="64"/>
      <c r="BL75" s="64"/>
      <c r="BM75" s="64"/>
      <c r="BN75" s="64"/>
      <c r="BO75" s="64"/>
      <c r="BP75" s="64"/>
      <c r="BQ75" s="64"/>
      <c r="BR75" s="64"/>
      <c r="BS75" s="64"/>
      <c r="BT75" s="64"/>
      <c r="BU75" s="64"/>
      <c r="BV75" s="64"/>
      <c r="BW75" s="64"/>
      <c r="BX75" s="64"/>
      <c r="BY75" s="64"/>
      <c r="BZ75" s="64"/>
      <c r="CA75" s="64"/>
      <c r="CB75" s="64"/>
      <c r="CC75" s="64"/>
      <c r="CD75" s="64"/>
      <c r="CE75" s="64"/>
      <c r="CF75" s="64"/>
      <c r="CG75" s="64"/>
      <c r="CH75" s="64"/>
      <c r="CI75" s="64"/>
      <c r="CJ75" s="64"/>
      <c r="CK75" s="64"/>
      <c r="CL75" s="64"/>
      <c r="CM75" s="64"/>
      <c r="CN75" s="64"/>
      <c r="CO75" s="64"/>
      <c r="CP75" s="64"/>
      <c r="CQ75" s="64"/>
      <c r="CR75" s="64"/>
      <c r="CS75" s="64"/>
      <c r="CT75" s="64"/>
      <c r="CU75" s="64"/>
      <c r="CV75" s="64"/>
      <c r="CW75" s="64"/>
      <c r="CX75" s="64"/>
      <c r="CY75" s="64"/>
      <c r="CZ75" s="64"/>
      <c r="DA75" s="64"/>
      <c r="DB75" s="64"/>
      <c r="DC75" s="64"/>
      <c r="DD75" s="64"/>
      <c r="DE75" s="64"/>
      <c r="DF75" s="64"/>
      <c r="DG75" s="64"/>
      <c r="DH75" s="64"/>
      <c r="DI75" s="64"/>
      <c r="DJ75" s="64"/>
      <c r="DK75" s="64"/>
      <c r="DL75" s="64"/>
      <c r="DM75" s="64"/>
      <c r="DN75" s="64"/>
      <c r="DO75" s="64"/>
      <c r="DP75" s="64"/>
      <c r="DQ75" s="80"/>
      <c r="DR75" s="80"/>
      <c r="DS75" s="80"/>
      <c r="DT75" s="64"/>
      <c r="DU75" s="64"/>
      <c r="DV75" s="64"/>
      <c r="DW75" s="64"/>
      <c r="DX75" s="64"/>
      <c r="DY75" s="64"/>
      <c r="DZ75" s="64"/>
      <c r="EA75" s="64"/>
      <c r="EB75" s="64"/>
      <c r="EC75" s="64"/>
      <c r="ED75" s="64"/>
      <c r="EE75" s="64"/>
      <c r="EF75" s="64"/>
      <c r="EG75" s="64"/>
      <c r="EH75" s="64"/>
      <c r="EI75" s="64"/>
      <c r="EJ75" s="64"/>
      <c r="EK75" s="64"/>
      <c r="EL75" s="64"/>
      <c r="EM75" s="64"/>
      <c r="EN75" s="64"/>
      <c r="EO75" s="64"/>
      <c r="EP75" s="64"/>
      <c r="EQ75" s="64"/>
      <c r="ER75" s="64"/>
      <c r="ES75" s="64"/>
      <c r="ET75" s="64"/>
      <c r="EU75" s="64"/>
      <c r="EV75" s="64"/>
      <c r="EW75" s="64"/>
      <c r="EX75" s="64"/>
      <c r="EY75" s="64"/>
      <c r="EZ75" s="64"/>
      <c r="FA75" s="64"/>
      <c r="FB75" s="64"/>
      <c r="FC75" s="64"/>
      <c r="FD75" s="64"/>
      <c r="FE75" s="64"/>
      <c r="FF75" s="64"/>
      <c r="FG75" s="64"/>
      <c r="FH75" s="64"/>
      <c r="FI75" s="64"/>
      <c r="FJ75" s="64"/>
      <c r="FK75" s="64"/>
      <c r="FL75" s="64"/>
      <c r="FM75" s="64"/>
      <c r="FN75" s="64"/>
      <c r="FO75" s="64"/>
      <c r="FP75" s="64"/>
      <c r="FQ75" s="64"/>
      <c r="FR75" s="64"/>
      <c r="FS75" s="64"/>
      <c r="FT75" s="64"/>
      <c r="FU75" s="64"/>
      <c r="FV75" s="64"/>
      <c r="FW75" s="64"/>
      <c r="FX75" s="64"/>
      <c r="FY75" s="64"/>
      <c r="FZ75" s="64"/>
      <c r="GA75" s="64"/>
      <c r="GB75" s="64"/>
      <c r="GC75" s="64"/>
      <c r="GD75" s="64"/>
      <c r="GE75" s="64"/>
      <c r="GF75" s="64"/>
      <c r="GG75" s="64"/>
      <c r="GH75" s="64"/>
      <c r="GI75" s="64"/>
      <c r="GJ75" s="64"/>
      <c r="GK75" s="64"/>
      <c r="GL75" s="64"/>
      <c r="GM75" s="64"/>
      <c r="GN75" s="64"/>
      <c r="GO75" s="64"/>
      <c r="GP75" s="64"/>
      <c r="GQ75" s="64"/>
      <c r="GR75" s="64"/>
      <c r="GS75" s="64"/>
      <c r="GT75" s="64"/>
      <c r="GU75" s="64"/>
      <c r="GV75" s="64"/>
      <c r="GW75" s="64"/>
      <c r="GX75" s="64"/>
      <c r="GY75" s="64"/>
      <c r="GZ75" s="64"/>
      <c r="HA75" s="64"/>
      <c r="HB75" s="64"/>
      <c r="HC75" s="64"/>
      <c r="HD75" s="64"/>
      <c r="HE75" s="64"/>
      <c r="HF75" s="64"/>
      <c r="HG75" s="64"/>
      <c r="HH75" s="64"/>
    </row>
    <row r="76" spans="1:254" x14ac:dyDescent="0.25">
      <c r="A76" s="8"/>
      <c r="B76" s="5" t="s">
        <v>61</v>
      </c>
      <c r="C76" s="8"/>
      <c r="D76" s="6" t="s">
        <v>489</v>
      </c>
      <c r="E76" s="34">
        <f>INDEX((AS74:AW76),MATCH(E74,AR74:AR76,0),MATCH(E75,AS73:AW73,0))</f>
        <v>2700</v>
      </c>
      <c r="F76" s="9"/>
      <c r="G76" s="9"/>
      <c r="H76" s="9"/>
      <c r="I76" s="9"/>
      <c r="J76" s="31" t="s">
        <v>62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>
        <f>INDEX(cenník!$C$2:$I$568,MATCH($L76,cenník!$B$2:$B$557,0),MATCH(M$2,cenník!$C$1:$I$1,0))</f>
        <v>852137</v>
      </c>
      <c r="N76" s="11" t="str">
        <f>INDEX(cenník!$C$2:$I$568,MATCH($L76,cenník!$B$2:$B$557,0),MATCH(N$2,cenník!$C$1:$I$1,0))</f>
        <v>ks</v>
      </c>
      <c r="O76" s="11">
        <f>SUM(AA63:AA78)</f>
        <v>0</v>
      </c>
      <c r="P76" s="36">
        <f>INDEX(cenník!$C$2:$I$568,MATCH($L76,cenník!$B$2:$B$557,0),MATCH(P$2,cenník!$C$1:$I$1,0))</f>
        <v>26.88</v>
      </c>
      <c r="Q76" s="36">
        <f t="shared" si="233"/>
        <v>0</v>
      </c>
      <c r="R76" s="37">
        <f t="shared" si="204"/>
        <v>0</v>
      </c>
      <c r="S76" s="36">
        <f t="shared" si="205"/>
        <v>26.88</v>
      </c>
      <c r="T76" s="36">
        <f t="shared" si="234"/>
        <v>0</v>
      </c>
      <c r="U76" s="36">
        <f>INDEX(cenník!$C$2:$I$568,MATCH($L76,cenník!$B$2:$B$557,0),MATCH(U$2,cenník!$C$1:$I$1,0))*O76</f>
        <v>0</v>
      </c>
      <c r="V76" s="85"/>
      <c r="W76" s="64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64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64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64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64">
        <f t="shared" si="178"/>
        <v>0</v>
      </c>
      <c r="AB76" s="64">
        <f t="shared" si="179"/>
        <v>0</v>
      </c>
      <c r="AC76" s="64"/>
      <c r="AD76" s="64"/>
      <c r="AE76" s="64"/>
      <c r="AF76" s="64"/>
      <c r="AG76" s="64"/>
      <c r="AH76" s="64"/>
      <c r="AI76" s="64"/>
      <c r="AJ76" s="64"/>
      <c r="AK76" s="64"/>
      <c r="AL76" s="64"/>
      <c r="AM76" s="64"/>
      <c r="AN76" s="64"/>
      <c r="AO76" s="64"/>
      <c r="AP76" s="64"/>
      <c r="AQ76" s="64"/>
      <c r="AR76" s="68" t="s">
        <v>339</v>
      </c>
      <c r="AS76" s="68">
        <v>2700</v>
      </c>
      <c r="AT76" s="68" t="s">
        <v>522</v>
      </c>
      <c r="AU76" s="68">
        <v>2000</v>
      </c>
      <c r="AV76" s="68" t="s">
        <v>522</v>
      </c>
      <c r="AW76" s="64">
        <v>1000</v>
      </c>
      <c r="AX76" s="64"/>
      <c r="AY76" s="64"/>
      <c r="AZ76" s="64"/>
      <c r="BA76" s="64"/>
      <c r="BB76" s="64"/>
      <c r="BC76" s="64"/>
      <c r="BD76" s="64"/>
      <c r="BE76" s="64"/>
      <c r="BF76" s="64"/>
      <c r="BG76" s="64">
        <f t="shared" si="180"/>
        <v>1</v>
      </c>
      <c r="BH76" s="64"/>
      <c r="BI76" s="64"/>
      <c r="BJ76" s="64"/>
      <c r="BK76" s="64"/>
      <c r="BL76" s="64"/>
      <c r="BM76" s="64"/>
      <c r="BN76" s="64"/>
      <c r="BO76" s="64"/>
      <c r="BP76" s="64"/>
      <c r="BQ76" s="64"/>
      <c r="BR76" s="64"/>
      <c r="BS76" s="64"/>
      <c r="BT76" s="64"/>
      <c r="BU76" s="64"/>
      <c r="BV76" s="64"/>
      <c r="BW76" s="64"/>
      <c r="BX76" s="64"/>
      <c r="BY76" s="64"/>
      <c r="BZ76" s="64"/>
      <c r="CA76" s="64"/>
      <c r="CB76" s="64"/>
      <c r="CC76" s="64"/>
      <c r="CD76" s="64"/>
      <c r="CE76" s="64"/>
      <c r="CF76" s="64"/>
      <c r="CG76" s="64"/>
      <c r="CH76" s="64"/>
      <c r="CI76" s="64"/>
      <c r="CJ76" s="64"/>
      <c r="CK76" s="64"/>
      <c r="CL76" s="64"/>
      <c r="CM76" s="64"/>
      <c r="CN76" s="64"/>
      <c r="CO76" s="64"/>
      <c r="CP76" s="64"/>
      <c r="CQ76" s="64"/>
      <c r="CR76" s="64"/>
      <c r="CS76" s="64"/>
      <c r="CT76" s="64"/>
      <c r="CU76" s="64"/>
      <c r="CV76" s="64"/>
      <c r="CW76" s="64"/>
      <c r="CX76" s="64"/>
      <c r="CY76" s="64"/>
      <c r="CZ76" s="64"/>
      <c r="DA76" s="64"/>
      <c r="DB76" s="64"/>
      <c r="DC76" s="64"/>
      <c r="DD76" s="64"/>
      <c r="DE76" s="64"/>
      <c r="DF76" s="64"/>
      <c r="DG76" s="64"/>
      <c r="DH76" s="64"/>
      <c r="DI76" s="64"/>
      <c r="DJ76" s="64"/>
      <c r="DK76" s="64"/>
      <c r="DL76" s="64"/>
      <c r="DM76" s="64"/>
      <c r="DN76" s="64"/>
      <c r="DO76" s="64"/>
      <c r="DP76" s="64"/>
      <c r="DQ76" s="80"/>
      <c r="DR76" s="80"/>
      <c r="DS76" s="80"/>
      <c r="DT76" s="64"/>
      <c r="DU76" s="64"/>
      <c r="DV76" s="64"/>
      <c r="DW76" s="64"/>
      <c r="DX76" s="64"/>
      <c r="DY76" s="64"/>
      <c r="DZ76" s="64"/>
      <c r="EA76" s="64"/>
      <c r="EB76" s="64"/>
      <c r="EC76" s="64"/>
      <c r="ED76" s="64"/>
      <c r="EE76" s="64"/>
      <c r="EF76" s="64"/>
      <c r="EG76" s="64"/>
      <c r="EH76" s="64"/>
      <c r="EI76" s="64"/>
      <c r="EJ76" s="64"/>
      <c r="EK76" s="64"/>
      <c r="EL76" s="64"/>
      <c r="EM76" s="64"/>
      <c r="EN76" s="64"/>
      <c r="EO76" s="64"/>
      <c r="EP76" s="64"/>
      <c r="EQ76" s="64"/>
      <c r="ER76" s="64"/>
      <c r="ES76" s="64"/>
      <c r="ET76" s="64"/>
      <c r="EU76" s="64"/>
      <c r="EV76" s="64"/>
      <c r="EW76" s="64"/>
      <c r="EX76" s="64"/>
      <c r="EY76" s="64"/>
      <c r="EZ76" s="64"/>
      <c r="FA76" s="64"/>
      <c r="FB76" s="64"/>
      <c r="FC76" s="64"/>
      <c r="FD76" s="64"/>
      <c r="FE76" s="64"/>
      <c r="FF76" s="64"/>
      <c r="FG76" s="64"/>
      <c r="FH76" s="64"/>
      <c r="FI76" s="64"/>
      <c r="FJ76" s="64"/>
      <c r="FK76" s="64"/>
      <c r="FL76" s="64"/>
      <c r="FM76" s="64"/>
      <c r="FN76" s="64"/>
      <c r="FO76" s="64"/>
      <c r="FP76" s="64"/>
      <c r="FQ76" s="64"/>
      <c r="FR76" s="64"/>
      <c r="FS76" s="64"/>
      <c r="FT76" s="64"/>
      <c r="FU76" s="64"/>
      <c r="FV76" s="64"/>
      <c r="FW76" s="64"/>
      <c r="FX76" s="64"/>
      <c r="FY76" s="64"/>
      <c r="FZ76" s="64"/>
      <c r="GA76" s="64"/>
      <c r="GB76" s="64"/>
      <c r="GC76" s="64"/>
      <c r="GD76" s="64"/>
      <c r="GE76" s="64"/>
      <c r="GF76" s="64"/>
      <c r="GG76" s="64"/>
      <c r="GH76" s="64"/>
      <c r="GI76" s="64"/>
      <c r="GJ76" s="64"/>
      <c r="GK76" s="64"/>
      <c r="GL76" s="64"/>
      <c r="GM76" s="64"/>
      <c r="GN76" s="64"/>
      <c r="GO76" s="64"/>
      <c r="GP76" s="64"/>
      <c r="GQ76" s="64"/>
      <c r="GR76" s="64"/>
      <c r="GS76" s="64"/>
      <c r="GT76" s="64"/>
      <c r="GU76" s="64"/>
      <c r="GV76" s="64"/>
      <c r="GW76" s="64"/>
      <c r="GX76" s="64"/>
      <c r="GY76" s="64"/>
      <c r="GZ76" s="64"/>
      <c r="HA76" s="64"/>
      <c r="HB76" s="64"/>
      <c r="HC76" s="64"/>
      <c r="HD76" s="64"/>
      <c r="HE76" s="64"/>
      <c r="HF76" s="64"/>
      <c r="HG76" s="64"/>
      <c r="HH76" s="64"/>
    </row>
    <row r="77" spans="1:254" x14ac:dyDescent="0.25">
      <c r="A77" s="8"/>
      <c r="B77" s="5" t="s">
        <v>61</v>
      </c>
      <c r="C77" s="8"/>
      <c r="D77" s="6" t="str">
        <f>IF(E69=$AC$8,"Dĺžka skrutky GSW","")</f>
        <v/>
      </c>
      <c r="E77" s="42">
        <v>1600</v>
      </c>
      <c r="F77" s="9"/>
      <c r="G77" s="9"/>
      <c r="H77" s="9"/>
      <c r="I77" s="9"/>
      <c r="J77" s="31" t="str">
        <f>IF(E69=$AC$8,"[mm]","")</f>
        <v/>
      </c>
      <c r="K77" s="9"/>
      <c r="L77" s="6" t="s">
        <v>1457</v>
      </c>
      <c r="M77" s="11">
        <f>INDEX(cenník!$C$2:$I$568,MATCH($L77,cenník!$B$2:$B$557,0),MATCH(M$2,cenník!$C$1:$I$1,0))</f>
        <v>850252</v>
      </c>
      <c r="N77" s="11" t="str">
        <f>INDEX(cenník!$C$2:$I$568,MATCH($L77,cenník!$B$2:$B$557,0),MATCH(N$2,cenník!$C$1:$I$1,0))</f>
        <v>ks</v>
      </c>
      <c r="O77" s="11">
        <f>O69*2</f>
        <v>0</v>
      </c>
      <c r="P77" s="36">
        <f>INDEX(cenník!$C$2:$I$568,MATCH($L77,cenník!$B$2:$B$557,0),MATCH(P$2,cenník!$C$1:$I$1,0))</f>
        <v>2.11</v>
      </c>
      <c r="Q77" s="36">
        <f t="shared" si="233"/>
        <v>0</v>
      </c>
      <c r="R77" s="37">
        <f t="shared" si="204"/>
        <v>0</v>
      </c>
      <c r="S77" s="36">
        <f t="shared" si="205"/>
        <v>2.11</v>
      </c>
      <c r="T77" s="36">
        <f t="shared" si="234"/>
        <v>0</v>
      </c>
      <c r="U77" s="36">
        <f>INDEX(cenník!$C$2:$I$568,MATCH($L77,cenník!$B$2:$B$557,0),MATCH(U$2,cenník!$C$1:$I$1,0))*O77</f>
        <v>0</v>
      </c>
      <c r="V77" s="85"/>
      <c r="W77" s="64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64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64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64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64">
        <f t="shared" si="178"/>
        <v>0</v>
      </c>
      <c r="AB77" s="64">
        <f t="shared" si="179"/>
        <v>0</v>
      </c>
      <c r="AC77" s="64"/>
      <c r="AD77" s="64"/>
      <c r="AE77" s="64"/>
      <c r="AF77" s="64"/>
      <c r="AG77" s="64"/>
      <c r="AH77" s="64"/>
      <c r="AI77" s="64"/>
      <c r="AJ77" s="64"/>
      <c r="AK77" s="64"/>
      <c r="AL77" s="64"/>
      <c r="AM77" s="64"/>
      <c r="AN77" s="64"/>
      <c r="AO77" s="64"/>
      <c r="AP77" s="64"/>
      <c r="AQ77" s="64"/>
      <c r="AR77" s="64"/>
      <c r="AS77" s="64"/>
      <c r="AT77" s="64"/>
      <c r="AU77" s="64"/>
      <c r="AV77" s="64"/>
      <c r="AW77" s="64"/>
      <c r="AX77" s="64"/>
      <c r="AY77" s="64"/>
      <c r="AZ77" s="64"/>
      <c r="BA77" s="64"/>
      <c r="BB77" s="64"/>
      <c r="BC77" s="64"/>
      <c r="BD77" s="64"/>
      <c r="BE77" s="64"/>
      <c r="BF77" s="64"/>
      <c r="BG77" s="64">
        <f t="shared" si="180"/>
        <v>1</v>
      </c>
      <c r="BH77" s="64"/>
      <c r="BI77" s="64"/>
      <c r="BJ77" s="64"/>
      <c r="BK77" s="64"/>
      <c r="BL77" s="64"/>
      <c r="BM77" s="64"/>
      <c r="BN77" s="64"/>
      <c r="BO77" s="64"/>
      <c r="BP77" s="64"/>
      <c r="BQ77" s="64"/>
      <c r="BR77" s="64"/>
      <c r="BS77" s="64"/>
      <c r="BT77" s="64"/>
      <c r="BU77" s="64"/>
      <c r="BV77" s="64"/>
      <c r="BW77" s="64"/>
      <c r="BX77" s="64"/>
      <c r="BY77" s="64"/>
      <c r="BZ77" s="64"/>
      <c r="CA77" s="64"/>
      <c r="CB77" s="64"/>
      <c r="CC77" s="64"/>
      <c r="CD77" s="64"/>
      <c r="CE77" s="64"/>
      <c r="CF77" s="64"/>
      <c r="CG77" s="64"/>
      <c r="CH77" s="64"/>
      <c r="CI77" s="64"/>
      <c r="CJ77" s="64"/>
      <c r="CK77" s="64"/>
      <c r="CL77" s="64"/>
      <c r="CM77" s="64"/>
      <c r="CN77" s="64"/>
      <c r="CO77" s="64"/>
      <c r="CP77" s="64"/>
      <c r="CQ77" s="64"/>
      <c r="CR77" s="64"/>
      <c r="CS77" s="64"/>
      <c r="CT77" s="64"/>
      <c r="CU77" s="64"/>
      <c r="CV77" s="64"/>
      <c r="CW77" s="64"/>
      <c r="CX77" s="64"/>
      <c r="CY77" s="64"/>
      <c r="CZ77" s="64"/>
      <c r="DA77" s="64"/>
      <c r="DB77" s="64"/>
      <c r="DC77" s="64"/>
      <c r="DD77" s="64"/>
      <c r="DE77" s="64"/>
      <c r="DF77" s="64"/>
      <c r="DG77" s="64"/>
      <c r="DH77" s="64"/>
      <c r="DI77" s="64"/>
      <c r="DJ77" s="64"/>
      <c r="DK77" s="64"/>
      <c r="DL77" s="64"/>
      <c r="DM77" s="64"/>
      <c r="DN77" s="64"/>
      <c r="DO77" s="64"/>
      <c r="DP77" s="64"/>
      <c r="DQ77" s="80"/>
      <c r="DR77" s="80"/>
      <c r="DS77" s="80"/>
      <c r="DT77" s="64"/>
      <c r="DU77" s="64"/>
      <c r="DV77" s="64"/>
      <c r="DW77" s="64"/>
      <c r="DX77" s="64"/>
      <c r="DY77" s="64"/>
      <c r="DZ77" s="64"/>
      <c r="EA77" s="64"/>
      <c r="EB77" s="64"/>
      <c r="EC77" s="64"/>
      <c r="ED77" s="64"/>
      <c r="EE77" s="64"/>
      <c r="EF77" s="64"/>
      <c r="EG77" s="64"/>
      <c r="EH77" s="64"/>
      <c r="EI77" s="64"/>
      <c r="EJ77" s="64"/>
      <c r="EK77" s="64"/>
      <c r="EL77" s="64"/>
      <c r="EM77" s="64"/>
      <c r="EN77" s="64"/>
      <c r="EO77" s="64"/>
      <c r="EP77" s="64"/>
      <c r="EQ77" s="64"/>
      <c r="ER77" s="64"/>
      <c r="ES77" s="64"/>
      <c r="ET77" s="64"/>
      <c r="EU77" s="64"/>
      <c r="EV77" s="64"/>
      <c r="EW77" s="64"/>
      <c r="EX77" s="64"/>
      <c r="EY77" s="64"/>
      <c r="EZ77" s="64"/>
      <c r="FA77" s="64"/>
      <c r="FB77" s="64"/>
      <c r="FC77" s="64"/>
      <c r="FD77" s="64"/>
      <c r="FE77" s="64"/>
      <c r="FF77" s="64"/>
      <c r="FG77" s="64"/>
      <c r="FH77" s="64"/>
      <c r="FI77" s="64"/>
      <c r="FJ77" s="64"/>
      <c r="FK77" s="64"/>
      <c r="FL77" s="64"/>
      <c r="FM77" s="64"/>
      <c r="FN77" s="64"/>
      <c r="FO77" s="64"/>
      <c r="FP77" s="64"/>
      <c r="FQ77" s="64"/>
      <c r="FR77" s="64"/>
      <c r="FS77" s="64"/>
      <c r="FT77" s="64"/>
      <c r="FU77" s="64"/>
      <c r="FV77" s="64"/>
      <c r="FW77" s="64"/>
      <c r="FX77" s="64"/>
      <c r="FY77" s="64"/>
      <c r="FZ77" s="64"/>
      <c r="GA77" s="64"/>
      <c r="GB77" s="64"/>
      <c r="GC77" s="64"/>
      <c r="GD77" s="64"/>
      <c r="GE77" s="64"/>
      <c r="GF77" s="64"/>
      <c r="GG77" s="64"/>
      <c r="GH77" s="64"/>
      <c r="GI77" s="64"/>
      <c r="GJ77" s="64"/>
      <c r="GK77" s="64"/>
      <c r="GL77" s="64"/>
      <c r="GM77" s="64"/>
      <c r="GN77" s="64"/>
      <c r="GO77" s="64"/>
      <c r="GP77" s="64"/>
      <c r="GQ77" s="64"/>
      <c r="GR77" s="64"/>
      <c r="GS77" s="64"/>
      <c r="GT77" s="64"/>
      <c r="GU77" s="64"/>
      <c r="GV77" s="64"/>
      <c r="GW77" s="64"/>
      <c r="GX77" s="64"/>
      <c r="GY77" s="64"/>
      <c r="GZ77" s="64"/>
      <c r="HA77" s="64"/>
      <c r="HB77" s="64"/>
      <c r="HC77" s="64"/>
      <c r="HD77" s="64"/>
      <c r="HE77" s="64"/>
      <c r="HF77" s="64"/>
      <c r="HG77" s="64"/>
      <c r="HH77" s="64"/>
    </row>
    <row r="78" spans="1:254" x14ac:dyDescent="0.25">
      <c r="A78" s="8"/>
      <c r="B78" s="5" t="s">
        <v>61</v>
      </c>
      <c r="C78" s="8"/>
      <c r="D78" s="44" t="s">
        <v>518</v>
      </c>
      <c r="E78" s="9"/>
      <c r="F78" s="9"/>
      <c r="G78" s="9"/>
      <c r="H78" s="9"/>
      <c r="I78" s="9"/>
      <c r="J78" s="9"/>
      <c r="K78" s="9"/>
      <c r="L78" s="6" t="s">
        <v>286</v>
      </c>
      <c r="M78" s="11">
        <f>INDEX(cenník!$C$2:$I$568,MATCH($L78,cenník!$B$2:$B$557,0),MATCH(M$2,cenník!$C$1:$I$1,0))</f>
        <v>867566</v>
      </c>
      <c r="N78" s="11" t="str">
        <f>INDEX(cenník!$C$2:$I$568,MATCH($L78,cenník!$B$2:$B$557,0),MATCH(N$2,cenník!$C$1:$I$1,0))</f>
        <v>ks</v>
      </c>
      <c r="O78" s="11">
        <f>SUM(X65:X80)</f>
        <v>0</v>
      </c>
      <c r="P78" s="36">
        <f>INDEX(cenník!$C$2:$I$568,MATCH($L78,cenník!$B$2:$B$557,0),MATCH(P$2,cenník!$C$1:$I$1,0))</f>
        <v>91.73</v>
      </c>
      <c r="Q78" s="36">
        <f t="shared" ref="Q78:Q92" si="239">O78*P78</f>
        <v>0</v>
      </c>
      <c r="R78" s="37">
        <f t="shared" si="204"/>
        <v>0</v>
      </c>
      <c r="S78" s="36">
        <f t="shared" si="205"/>
        <v>91.73</v>
      </c>
      <c r="T78" s="36">
        <f t="shared" ref="T78:T92" si="240">O78*S78</f>
        <v>0</v>
      </c>
      <c r="U78" s="36">
        <f>INDEX(cenník!$C$2:$I$568,MATCH($L78,cenník!$B$2:$B$557,0),MATCH(U$2,cenník!$C$1:$I$1,0))*O78</f>
        <v>0</v>
      </c>
      <c r="V78" s="85"/>
      <c r="W78" s="64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64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64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64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64">
        <f t="shared" si="178"/>
        <v>0</v>
      </c>
      <c r="AB78" s="64">
        <f t="shared" si="179"/>
        <v>0</v>
      </c>
      <c r="AC78" s="64"/>
      <c r="AD78" s="64"/>
      <c r="AE78" s="64"/>
      <c r="AF78" s="64"/>
      <c r="AG78" s="64"/>
      <c r="AH78" s="64"/>
      <c r="AI78" s="64"/>
      <c r="AJ78" s="64"/>
      <c r="AK78" s="64"/>
      <c r="AL78" s="64"/>
      <c r="AM78" s="64"/>
      <c r="AN78" s="64"/>
      <c r="AO78" s="64"/>
      <c r="AP78" s="83" t="s">
        <v>343</v>
      </c>
      <c r="AQ78" s="64"/>
      <c r="AR78" s="64"/>
      <c r="AS78" s="64"/>
      <c r="AT78" s="64"/>
      <c r="AU78" s="64"/>
      <c r="BA78" s="64"/>
      <c r="BB78" s="64"/>
      <c r="BC78" s="64"/>
      <c r="BD78" s="64"/>
      <c r="BE78" s="64"/>
      <c r="BF78" s="64"/>
      <c r="BG78" s="64">
        <f t="shared" si="180"/>
        <v>1</v>
      </c>
      <c r="BH78" s="64"/>
      <c r="BI78" s="64"/>
      <c r="BJ78" s="64"/>
      <c r="BK78" s="64"/>
      <c r="BL78" s="64"/>
      <c r="BM78" s="64"/>
      <c r="BN78" s="64"/>
      <c r="BO78" s="64"/>
      <c r="BP78" s="64"/>
      <c r="BQ78" s="64"/>
      <c r="BR78" s="64"/>
      <c r="BS78" s="64"/>
      <c r="BT78" s="64"/>
      <c r="BU78" s="64"/>
      <c r="BV78" s="64"/>
      <c r="BW78" s="64"/>
      <c r="BX78" s="64"/>
      <c r="BY78" s="64"/>
      <c r="BZ78" s="64"/>
      <c r="CA78" s="64"/>
      <c r="CB78" s="64"/>
      <c r="CC78" s="64"/>
      <c r="CD78" s="64"/>
      <c r="CE78" s="64"/>
      <c r="CF78" s="64"/>
      <c r="CG78" s="64"/>
      <c r="CH78" s="64"/>
      <c r="CI78" s="64"/>
      <c r="CJ78" s="64"/>
      <c r="CK78" s="64"/>
      <c r="CL78" s="64"/>
      <c r="CM78" s="64"/>
      <c r="CN78" s="64"/>
      <c r="CO78" s="64"/>
      <c r="CP78" s="64"/>
      <c r="CQ78" s="64"/>
      <c r="CR78" s="64"/>
      <c r="CS78" s="64"/>
      <c r="CT78" s="64"/>
      <c r="CU78" s="64"/>
      <c r="CV78" s="64"/>
      <c r="CW78" s="64"/>
      <c r="CX78" s="64"/>
      <c r="CY78" s="64"/>
      <c r="CZ78" s="64"/>
      <c r="DA78" s="64"/>
      <c r="DB78" s="64"/>
      <c r="DC78" s="64"/>
      <c r="DD78" s="64"/>
      <c r="DE78" s="64"/>
      <c r="DF78" s="64"/>
      <c r="DG78" s="64"/>
      <c r="DH78" s="64"/>
      <c r="DI78" s="64"/>
      <c r="DJ78" s="64"/>
      <c r="DK78" s="64"/>
      <c r="DL78" s="64"/>
      <c r="DM78" s="64"/>
      <c r="DN78" s="64"/>
      <c r="DO78" s="64"/>
      <c r="DP78" s="64"/>
      <c r="DQ78" s="80"/>
      <c r="DR78" s="80"/>
      <c r="DS78" s="80"/>
      <c r="DT78" s="64"/>
      <c r="DU78" s="64"/>
      <c r="DV78" s="64"/>
      <c r="DW78" s="64"/>
      <c r="DX78" s="64"/>
      <c r="DY78" s="64"/>
      <c r="DZ78" s="64"/>
      <c r="EA78" s="64"/>
      <c r="EB78" s="64"/>
      <c r="EC78" s="64"/>
      <c r="ED78" s="64"/>
      <c r="EE78" s="64"/>
      <c r="EF78" s="64"/>
      <c r="EG78" s="64"/>
      <c r="EH78" s="64"/>
      <c r="EI78" s="64"/>
      <c r="EJ78" s="64"/>
      <c r="EK78" s="64"/>
      <c r="EL78" s="64"/>
      <c r="EM78" s="64"/>
      <c r="EN78" s="64"/>
      <c r="EO78" s="64"/>
      <c r="EP78" s="64"/>
      <c r="EQ78" s="64"/>
      <c r="ER78" s="64"/>
      <c r="ES78" s="64"/>
      <c r="ET78" s="64"/>
      <c r="EU78" s="64"/>
      <c r="EV78" s="64"/>
      <c r="EW78" s="64"/>
      <c r="EX78" s="64"/>
      <c r="EY78" s="64"/>
      <c r="EZ78" s="64"/>
      <c r="FA78" s="64"/>
      <c r="FB78" s="64"/>
      <c r="FC78" s="64"/>
      <c r="FD78" s="64"/>
      <c r="FE78" s="64"/>
      <c r="FF78" s="64"/>
      <c r="FG78" s="64"/>
      <c r="FH78" s="64"/>
      <c r="FI78" s="64"/>
      <c r="FJ78" s="64"/>
      <c r="FK78" s="64"/>
      <c r="FL78" s="64"/>
      <c r="FM78" s="64"/>
      <c r="FN78" s="64"/>
      <c r="FO78" s="64"/>
      <c r="FP78" s="64"/>
      <c r="FQ78" s="64"/>
      <c r="FR78" s="64"/>
      <c r="FS78" s="64"/>
      <c r="FT78" s="64"/>
      <c r="FU78" s="64"/>
      <c r="FV78" s="64"/>
      <c r="FW78" s="64"/>
      <c r="FX78" s="64"/>
      <c r="FY78" s="64"/>
      <c r="FZ78" s="64"/>
      <c r="GA78" s="64"/>
      <c r="GB78" s="64"/>
      <c r="GC78" s="64"/>
      <c r="GD78" s="64"/>
      <c r="GE78" s="64"/>
      <c r="GF78" s="64"/>
      <c r="GG78" s="64"/>
      <c r="GH78" s="64"/>
      <c r="GI78" s="64"/>
      <c r="GJ78" s="64"/>
      <c r="GK78" s="64"/>
      <c r="GL78" s="64"/>
      <c r="GM78" s="64"/>
      <c r="GN78" s="64"/>
      <c r="GO78" s="64"/>
      <c r="GP78" s="64"/>
      <c r="GQ78" s="64"/>
      <c r="GR78" s="64"/>
      <c r="GS78" s="64"/>
      <c r="GT78" s="64"/>
      <c r="GU78" s="64"/>
      <c r="GV78" s="64"/>
      <c r="GW78" s="64"/>
      <c r="GX78" s="64"/>
      <c r="GY78" s="64"/>
      <c r="GZ78" s="64"/>
      <c r="HA78" s="64"/>
      <c r="HB78" s="64"/>
      <c r="HC78" s="64"/>
      <c r="HD78" s="64"/>
      <c r="HE78" s="64"/>
      <c r="HF78" s="64"/>
      <c r="HG78" s="64"/>
      <c r="HH78" s="64"/>
    </row>
    <row r="79" spans="1:254" ht="15.75" thickBot="1" x14ac:dyDescent="0.3">
      <c r="A79" s="8"/>
      <c r="B79" s="5" t="s">
        <v>61</v>
      </c>
      <c r="C79" s="8"/>
      <c r="D79" s="44" t="s">
        <v>519</v>
      </c>
      <c r="E79" s="9"/>
      <c r="F79" s="9"/>
      <c r="G79" s="9"/>
      <c r="H79" s="9"/>
      <c r="I79" s="9"/>
      <c r="J79" s="9"/>
      <c r="K79" s="9"/>
      <c r="L79" s="6" t="s">
        <v>240</v>
      </c>
      <c r="M79" s="11">
        <f>INDEX(cenník!$C$2:$I$568,MATCH($L79,cenník!$B$2:$B$557,0),MATCH(M$2,cenník!$C$1:$I$1,0))</f>
        <v>867644</v>
      </c>
      <c r="N79" s="11" t="str">
        <f>INDEX(cenník!$C$2:$I$568,MATCH($L79,cenník!$B$2:$B$557,0),MATCH(N$2,cenník!$C$1:$I$1,0))</f>
        <v>ks</v>
      </c>
      <c r="O79" s="11">
        <f>SUM(Y65:Y80)</f>
        <v>0</v>
      </c>
      <c r="P79" s="36">
        <f>INDEX(cenník!$C$2:$I$568,MATCH($L79,cenník!$B$2:$B$557,0),MATCH(P$2,cenník!$C$1:$I$1,0))</f>
        <v>61.15</v>
      </c>
      <c r="Q79" s="36">
        <f t="shared" si="239"/>
        <v>0</v>
      </c>
      <c r="R79" s="37">
        <f t="shared" si="204"/>
        <v>0</v>
      </c>
      <c r="S79" s="36">
        <f t="shared" si="205"/>
        <v>61.15</v>
      </c>
      <c r="T79" s="36">
        <f t="shared" si="240"/>
        <v>0</v>
      </c>
      <c r="U79" s="36">
        <f>INDEX(cenník!$C$2:$I$568,MATCH($L79,cenník!$B$2:$B$557,0),MATCH(U$2,cenník!$C$1:$I$1,0))*O79</f>
        <v>0</v>
      </c>
      <c r="V79" s="85"/>
      <c r="W79" s="64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64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64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64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64"/>
      <c r="AB79" s="64"/>
      <c r="AC79" s="64"/>
      <c r="AD79" s="64"/>
      <c r="AE79" s="64"/>
      <c r="AF79" s="64"/>
      <c r="AG79" s="64"/>
      <c r="AH79" s="64"/>
      <c r="AI79" s="64"/>
      <c r="AJ79" s="64"/>
      <c r="AK79" s="64"/>
      <c r="AL79" s="64"/>
      <c r="AM79" s="64"/>
      <c r="AN79" s="64"/>
      <c r="AO79" s="64"/>
      <c r="AP79" s="64">
        <v>25</v>
      </c>
      <c r="AQ79" s="64" t="s">
        <v>515</v>
      </c>
      <c r="AR79" s="64" t="s">
        <v>516</v>
      </c>
      <c r="AS79" s="64" t="s">
        <v>483</v>
      </c>
      <c r="AT79" s="64" t="s">
        <v>517</v>
      </c>
      <c r="AU79" s="64"/>
      <c r="BA79" s="64"/>
      <c r="BB79" s="64"/>
      <c r="BC79" s="64"/>
      <c r="BD79" s="64"/>
      <c r="BE79" s="64"/>
      <c r="BF79" s="64"/>
      <c r="BG79" s="64"/>
      <c r="BH79" s="64"/>
      <c r="BI79" s="64"/>
      <c r="BJ79" s="64"/>
      <c r="BK79" s="64"/>
      <c r="BL79" s="64"/>
      <c r="BM79" s="64"/>
      <c r="BN79" s="64"/>
      <c r="BO79" s="64"/>
      <c r="BP79" s="64"/>
      <c r="BQ79" s="64"/>
      <c r="BR79" s="64"/>
      <c r="BS79" s="64"/>
      <c r="BT79" s="64"/>
      <c r="BU79" s="64"/>
      <c r="BV79" s="64"/>
      <c r="BW79" s="64"/>
      <c r="BX79" s="64"/>
      <c r="BY79" s="64"/>
      <c r="BZ79" s="64"/>
      <c r="CA79" s="64"/>
      <c r="CB79" s="64"/>
      <c r="CC79" s="64"/>
      <c r="CD79" s="64"/>
      <c r="CE79" s="64"/>
      <c r="CF79" s="64"/>
      <c r="CG79" s="64"/>
      <c r="CH79" s="64"/>
      <c r="CI79" s="64"/>
      <c r="CJ79" s="64"/>
      <c r="CK79" s="64"/>
      <c r="CL79" s="64"/>
      <c r="CM79" s="64"/>
      <c r="CN79" s="64"/>
      <c r="CO79" s="64"/>
      <c r="CP79" s="64"/>
      <c r="CQ79" s="64"/>
      <c r="CR79" s="64"/>
      <c r="CS79" s="64"/>
      <c r="CT79" s="64"/>
      <c r="CU79" s="64"/>
      <c r="CV79" s="64"/>
      <c r="CW79" s="64"/>
      <c r="CX79" s="64"/>
      <c r="CY79" s="64"/>
      <c r="CZ79" s="64"/>
      <c r="DA79" s="64"/>
      <c r="DB79" s="64"/>
      <c r="DC79" s="64"/>
      <c r="DD79" s="64"/>
      <c r="DE79" s="64"/>
      <c r="DF79" s="64"/>
      <c r="DG79" s="64"/>
      <c r="DH79" s="64"/>
      <c r="DI79" s="64"/>
      <c r="DJ79" s="64"/>
      <c r="DK79" s="64"/>
      <c r="DL79" s="64"/>
      <c r="DM79" s="64"/>
      <c r="DN79" s="64"/>
      <c r="DO79" s="64"/>
      <c r="DP79" s="64"/>
      <c r="DQ79" s="80"/>
      <c r="DR79" s="80"/>
      <c r="DS79" s="80"/>
      <c r="DT79" s="64"/>
      <c r="DU79" s="64"/>
      <c r="DV79" s="64"/>
      <c r="DW79" s="64"/>
      <c r="DX79" s="64"/>
      <c r="DY79" s="64"/>
      <c r="DZ79" s="64"/>
      <c r="EA79" s="64"/>
      <c r="EB79" s="64"/>
      <c r="EC79" s="64"/>
      <c r="ED79" s="64"/>
      <c r="EE79" s="64"/>
      <c r="EF79" s="64"/>
      <c r="EG79" s="64"/>
      <c r="EH79" s="64"/>
      <c r="EI79" s="64"/>
      <c r="EJ79" s="64"/>
      <c r="EK79" s="64"/>
      <c r="EL79" s="64"/>
      <c r="EM79" s="64"/>
      <c r="EN79" s="64"/>
      <c r="EO79" s="64"/>
      <c r="EP79" s="64"/>
      <c r="EQ79" s="64"/>
      <c r="ER79" s="64"/>
      <c r="ES79" s="64"/>
      <c r="ET79" s="64"/>
      <c r="EU79" s="64"/>
      <c r="EV79" s="64"/>
      <c r="EW79" s="64"/>
      <c r="EX79" s="64"/>
      <c r="EY79" s="64"/>
      <c r="EZ79" s="64"/>
      <c r="FA79" s="64"/>
      <c r="FB79" s="64"/>
      <c r="FC79" s="64"/>
      <c r="FD79" s="64"/>
      <c r="FE79" s="64"/>
      <c r="FF79" s="64"/>
      <c r="FG79" s="64"/>
      <c r="FH79" s="64"/>
      <c r="FI79" s="64"/>
      <c r="FJ79" s="64"/>
      <c r="FK79" s="64"/>
      <c r="FL79" s="64"/>
      <c r="FM79" s="64"/>
      <c r="FN79" s="64"/>
      <c r="FO79" s="64"/>
      <c r="FP79" s="64"/>
      <c r="FQ79" s="64"/>
      <c r="FR79" s="64"/>
      <c r="FS79" s="64"/>
      <c r="FT79" s="64"/>
      <c r="FU79" s="64"/>
      <c r="FV79" s="64"/>
      <c r="FW79" s="64"/>
      <c r="FX79" s="64"/>
      <c r="FY79" s="64"/>
      <c r="FZ79" s="64"/>
      <c r="GA79" s="64"/>
      <c r="GB79" s="64"/>
      <c r="GC79" s="64"/>
      <c r="GD79" s="64"/>
      <c r="GE79" s="64"/>
      <c r="GF79" s="64"/>
      <c r="GG79" s="64"/>
      <c r="GH79" s="64"/>
      <c r="GI79" s="64"/>
      <c r="GJ79" s="64"/>
      <c r="GK79" s="64"/>
      <c r="GL79" s="64"/>
      <c r="GM79" s="64"/>
      <c r="GN79" s="64"/>
      <c r="GO79" s="64"/>
      <c r="GP79" s="64"/>
      <c r="GQ79" s="64"/>
      <c r="GR79" s="64"/>
      <c r="GS79" s="64"/>
      <c r="GT79" s="64"/>
      <c r="GU79" s="64"/>
      <c r="GV79" s="64"/>
      <c r="GW79" s="64"/>
      <c r="GX79" s="64"/>
      <c r="GY79" s="64"/>
      <c r="GZ79" s="64"/>
      <c r="HA79" s="64"/>
      <c r="HB79" s="64"/>
      <c r="HC79" s="64"/>
      <c r="HD79" s="64"/>
      <c r="HE79" s="64"/>
      <c r="HF79" s="64"/>
      <c r="HG79" s="64"/>
      <c r="HH79" s="64"/>
    </row>
    <row r="80" spans="1:254" x14ac:dyDescent="0.25">
      <c r="A80" s="8"/>
      <c r="B80" s="5" t="s">
        <v>61</v>
      </c>
      <c r="C80" s="8"/>
      <c r="D80" s="44" t="s">
        <v>520</v>
      </c>
      <c r="E80" s="9"/>
      <c r="F80" s="9"/>
      <c r="G80" s="9"/>
      <c r="H80" s="9"/>
      <c r="I80" s="9"/>
      <c r="J80" s="9"/>
      <c r="K80" s="9"/>
      <c r="L80" s="6" t="s">
        <v>241</v>
      </c>
      <c r="M80" s="11">
        <f>INDEX(cenník!$C$2:$I$568,MATCH($L80,cenník!$B$2:$B$557,0),MATCH(M$2,cenník!$C$1:$I$1,0))</f>
        <v>867633</v>
      </c>
      <c r="N80" s="11" t="str">
        <f>INDEX(cenník!$C$2:$I$568,MATCH($L80,cenník!$B$2:$B$557,0),MATCH(N$2,cenník!$C$1:$I$1,0))</f>
        <v>ks</v>
      </c>
      <c r="O80" s="11">
        <f>SUM(Z65:Z80)</f>
        <v>0</v>
      </c>
      <c r="P80" s="36">
        <f>INDEX(cenník!$C$2:$I$568,MATCH($L80,cenník!$B$2:$B$557,0),MATCH(P$2,cenník!$C$1:$I$1,0))</f>
        <v>45.86</v>
      </c>
      <c r="Q80" s="36">
        <f t="shared" si="239"/>
        <v>0</v>
      </c>
      <c r="R80" s="37">
        <f t="shared" si="204"/>
        <v>0</v>
      </c>
      <c r="S80" s="36">
        <f t="shared" si="205"/>
        <v>45.86</v>
      </c>
      <c r="T80" s="36">
        <f t="shared" si="240"/>
        <v>0</v>
      </c>
      <c r="U80" s="36">
        <f>INDEX(cenník!$C$2:$I$568,MATCH($L80,cenník!$B$2:$B$557,0),MATCH(U$2,cenník!$C$1:$I$1,0))*O80</f>
        <v>0</v>
      </c>
      <c r="V80" s="85"/>
      <c r="W80" s="64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64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64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64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64"/>
      <c r="AB80" s="64"/>
      <c r="AC80" s="64"/>
      <c r="AD80" s="64"/>
      <c r="AE80" s="64"/>
      <c r="AF80" s="64"/>
      <c r="AG80" s="64"/>
      <c r="AH80" s="64"/>
      <c r="AI80" s="64"/>
      <c r="AJ80" s="64"/>
      <c r="AK80" s="64"/>
      <c r="AL80" s="64"/>
      <c r="AM80" s="64"/>
      <c r="AN80" s="64"/>
      <c r="AO80" s="64"/>
      <c r="AP80" s="64" t="s">
        <v>56</v>
      </c>
      <c r="AQ80" s="64" t="s">
        <v>289</v>
      </c>
      <c r="AR80" s="64" t="s">
        <v>288</v>
      </c>
      <c r="AS80" s="64" t="s">
        <v>287</v>
      </c>
      <c r="AT80" s="64" t="s">
        <v>287</v>
      </c>
      <c r="AU80" s="64"/>
      <c r="BA80" s="64"/>
      <c r="BB80" s="64"/>
      <c r="BC80" s="64"/>
      <c r="BD80" s="64"/>
      <c r="BE80" s="64"/>
      <c r="BF80" s="64"/>
      <c r="BG80" s="64"/>
      <c r="BH80" s="64"/>
      <c r="BI80" s="64"/>
      <c r="BJ80" s="64"/>
      <c r="BK80" s="64"/>
      <c r="BL80" s="64"/>
      <c r="BM80" s="64"/>
      <c r="BN80" s="64"/>
      <c r="BO80" s="64"/>
      <c r="BP80" s="64"/>
      <c r="BQ80" s="64"/>
      <c r="BR80" s="64"/>
      <c r="BS80" s="64"/>
      <c r="BT80" s="64"/>
      <c r="BU80" s="64"/>
      <c r="BV80" s="64"/>
      <c r="BW80" s="64"/>
      <c r="BX80" s="64"/>
      <c r="BY80" s="64"/>
      <c r="BZ80" s="64"/>
      <c r="CA80" s="64"/>
      <c r="CB80" s="64"/>
      <c r="CC80" s="64"/>
      <c r="CD80" s="64"/>
      <c r="CE80" s="64"/>
      <c r="CF80" s="64"/>
      <c r="CG80" s="64"/>
      <c r="CH80" s="64"/>
      <c r="CI80" s="64"/>
      <c r="CJ80" s="64"/>
      <c r="CK80" s="64"/>
      <c r="CL80" s="64"/>
      <c r="CM80" s="64"/>
      <c r="CN80" s="64"/>
      <c r="CO80" s="64"/>
      <c r="CP80" s="64"/>
      <c r="CQ80" s="64"/>
      <c r="CR80" s="64"/>
      <c r="CS80" s="64"/>
      <c r="CT80" s="64"/>
      <c r="CU80" s="64"/>
      <c r="CV80" s="64"/>
      <c r="CW80" s="64"/>
      <c r="CX80" s="64"/>
      <c r="CY80" s="64"/>
      <c r="CZ80" s="64"/>
      <c r="DA80" s="64"/>
      <c r="DB80" s="64"/>
      <c r="DC80" s="64"/>
      <c r="DD80" s="64"/>
      <c r="DE80" s="64"/>
      <c r="DF80" s="64"/>
      <c r="DG80" s="64"/>
      <c r="DH80" s="64"/>
      <c r="DI80" s="64"/>
      <c r="DJ80" s="64"/>
      <c r="DK80" s="64"/>
      <c r="DL80" s="64"/>
      <c r="DM80" s="64"/>
      <c r="DN80" s="64"/>
      <c r="DO80" s="64"/>
      <c r="DP80" s="64"/>
      <c r="DQ80" s="80"/>
      <c r="DR80" s="80"/>
      <c r="DS80" s="80"/>
      <c r="DT80" s="64"/>
      <c r="DU80" s="64"/>
      <c r="DV80" s="64"/>
      <c r="DW80" s="64"/>
      <c r="DX80" s="64"/>
      <c r="DY80" s="64"/>
      <c r="DZ80" s="64"/>
      <c r="EA80" s="64"/>
      <c r="EB80" s="64"/>
      <c r="EC80" s="64"/>
      <c r="ED80" s="64"/>
      <c r="EE80" s="64"/>
      <c r="EF80" s="64"/>
      <c r="EG80" s="64"/>
      <c r="EH80" s="64"/>
      <c r="EI80" s="64"/>
      <c r="EJ80" s="65"/>
      <c r="EK80" s="66"/>
      <c r="EL80" s="66"/>
      <c r="EM80" s="66"/>
      <c r="EN80" s="66"/>
      <c r="EO80" s="66"/>
      <c r="EP80" s="66"/>
      <c r="EQ80" s="66"/>
      <c r="ER80" s="66"/>
      <c r="ES80" s="66"/>
      <c r="ET80" s="66"/>
      <c r="EU80" s="66"/>
      <c r="EV80" s="66"/>
      <c r="EW80" s="66"/>
      <c r="EX80" s="66"/>
      <c r="EY80" s="66"/>
      <c r="EZ80" s="66"/>
      <c r="FA80" s="66"/>
      <c r="FB80" s="66"/>
      <c r="FC80" s="66"/>
      <c r="FD80" s="66"/>
      <c r="FE80" s="66"/>
      <c r="FF80" s="66"/>
      <c r="FG80" s="66"/>
      <c r="FH80" s="66"/>
      <c r="FI80" s="66"/>
      <c r="FJ80" s="66"/>
      <c r="FK80" s="66"/>
      <c r="FL80" s="66"/>
      <c r="FM80" s="66"/>
      <c r="FN80" s="66"/>
      <c r="FO80" s="66"/>
      <c r="FP80" s="66"/>
      <c r="FQ80" s="66"/>
      <c r="FR80" s="66"/>
      <c r="FS80" s="66"/>
      <c r="FT80" s="66"/>
      <c r="FU80" s="66"/>
      <c r="FV80" s="66"/>
      <c r="FW80" s="66"/>
      <c r="FX80" s="66"/>
      <c r="FY80" s="66"/>
      <c r="FZ80" s="66"/>
      <c r="GA80" s="66"/>
      <c r="GB80" s="66"/>
      <c r="GC80" s="66"/>
      <c r="GD80" s="66"/>
      <c r="GE80" s="66"/>
      <c r="GF80" s="66"/>
      <c r="GG80" s="66"/>
      <c r="GH80" s="66"/>
      <c r="GI80" s="66"/>
      <c r="GJ80" s="66"/>
      <c r="GK80" s="66"/>
      <c r="GL80" s="66"/>
      <c r="GM80" s="66"/>
      <c r="GN80" s="66"/>
      <c r="GO80" s="66"/>
      <c r="GP80" s="66"/>
      <c r="GQ80" s="66"/>
      <c r="GR80" s="66"/>
      <c r="GS80" s="66"/>
      <c r="GT80" s="66"/>
      <c r="GU80" s="66"/>
      <c r="GV80" s="66"/>
      <c r="GW80" s="66"/>
      <c r="GX80" s="66"/>
      <c r="GY80" s="66"/>
      <c r="GZ80" s="66"/>
      <c r="HA80" s="66"/>
      <c r="HB80" s="66"/>
      <c r="HC80" s="66"/>
      <c r="HD80" s="66"/>
      <c r="HE80" s="66"/>
      <c r="HF80" s="66"/>
      <c r="HG80" s="66"/>
      <c r="HH80" s="66"/>
      <c r="HI80" s="76"/>
      <c r="HJ80" s="76"/>
      <c r="HK80" s="76"/>
      <c r="HL80" s="76"/>
      <c r="HM80" s="76"/>
      <c r="HN80" s="76"/>
      <c r="HO80" s="76"/>
      <c r="HP80" s="76"/>
      <c r="HQ80" s="76"/>
      <c r="HR80" s="76"/>
      <c r="HS80" s="76"/>
      <c r="HT80" s="76"/>
      <c r="HU80" s="76"/>
      <c r="HV80" s="76"/>
      <c r="HW80" s="76"/>
      <c r="HX80" s="76"/>
      <c r="HY80" s="76"/>
      <c r="HZ80" s="76"/>
      <c r="IA80" s="76"/>
      <c r="IB80" s="76"/>
      <c r="IC80" s="76"/>
      <c r="ID80" s="76"/>
      <c r="IE80" s="76"/>
      <c r="IF80" s="76"/>
      <c r="IG80" s="76"/>
      <c r="IH80" s="76"/>
      <c r="II80" s="76"/>
      <c r="IJ80" s="76"/>
      <c r="IK80" s="76"/>
      <c r="IL80" s="76"/>
      <c r="IM80" s="76"/>
      <c r="IN80" s="76"/>
      <c r="IO80" s="76"/>
      <c r="IP80" s="76"/>
      <c r="IQ80" s="76"/>
      <c r="IR80" s="76"/>
      <c r="IS80" s="76"/>
      <c r="IT80" s="77"/>
    </row>
    <row r="81" spans="1:254" x14ac:dyDescent="0.25">
      <c r="A81" s="8"/>
      <c r="B81" s="5" t="s">
        <v>61</v>
      </c>
      <c r="C81" s="8"/>
      <c r="D81" s="44" t="s">
        <v>521</v>
      </c>
      <c r="E81" s="9"/>
      <c r="F81" s="9"/>
      <c r="G81" s="9"/>
      <c r="H81" s="9"/>
      <c r="I81" s="9"/>
      <c r="J81" s="9"/>
      <c r="K81" s="9"/>
      <c r="L81" s="6" t="s">
        <v>364</v>
      </c>
      <c r="M81" s="11">
        <f>INDEX(cenník!$C$2:$I$568,MATCH($L81,cenník!$B$2:$B$557,0),MATCH(M$2,cenník!$C$1:$I$1,0))</f>
        <v>856105</v>
      </c>
      <c r="N81" s="11" t="str">
        <f>INDEX(cenník!$C$2:$I$568,MATCH($L81,cenník!$B$2:$B$557,0),MATCH(N$2,cenník!$C$1:$I$1,0))</f>
        <v>ks</v>
      </c>
      <c r="O81" s="11">
        <f>SUM(W65:W80)</f>
        <v>0</v>
      </c>
      <c r="P81" s="36">
        <f>INDEX(cenník!$C$2:$I$568,MATCH($L81,cenník!$B$2:$B$557,0),MATCH(P$2,cenník!$C$1:$I$1,0))</f>
        <v>7.54</v>
      </c>
      <c r="Q81" s="36">
        <f t="shared" si="239"/>
        <v>0</v>
      </c>
      <c r="R81" s="37">
        <f t="shared" si="204"/>
        <v>0</v>
      </c>
      <c r="S81" s="36">
        <f t="shared" si="205"/>
        <v>7.54</v>
      </c>
      <c r="T81" s="36">
        <f t="shared" si="240"/>
        <v>0</v>
      </c>
      <c r="U81" s="36">
        <f>INDEX(cenník!$C$2:$I$568,MATCH($L81,cenník!$B$2:$B$557,0),MATCH(U$2,cenník!$C$1:$I$1,0))*O81</f>
        <v>0</v>
      </c>
      <c r="V81" s="85"/>
      <c r="W81" s="64"/>
      <c r="X81" s="85"/>
      <c r="Y81" s="85"/>
      <c r="Z81" s="85"/>
      <c r="AA81" s="64"/>
      <c r="AB81" s="64"/>
      <c r="AC81" s="64"/>
      <c r="AD81" s="64"/>
      <c r="AE81" s="64"/>
      <c r="AF81" s="64"/>
      <c r="AG81" s="64"/>
      <c r="AH81" s="64"/>
      <c r="AI81" s="64"/>
      <c r="AJ81" s="64"/>
      <c r="AK81" s="64"/>
      <c r="AL81" s="64"/>
      <c r="AM81" s="64"/>
      <c r="AN81" s="64"/>
      <c r="AO81" s="64"/>
      <c r="AP81" s="64" t="s">
        <v>57</v>
      </c>
      <c r="AQ81" s="64" t="s">
        <v>289</v>
      </c>
      <c r="AR81" s="64" t="s">
        <v>288</v>
      </c>
      <c r="AS81" s="64" t="s">
        <v>287</v>
      </c>
      <c r="AT81" s="64" t="s">
        <v>287</v>
      </c>
      <c r="AU81" s="64"/>
      <c r="BA81" s="64"/>
      <c r="BB81" s="64"/>
      <c r="BC81" s="64"/>
      <c r="BD81" s="64"/>
      <c r="BE81" s="64"/>
      <c r="BF81" s="64"/>
      <c r="BG81" s="64"/>
      <c r="BH81" s="64"/>
      <c r="BI81" s="64"/>
      <c r="BJ81" s="64"/>
      <c r="BK81" s="64"/>
      <c r="BL81" s="64"/>
      <c r="BM81" s="64"/>
      <c r="BN81" s="64"/>
      <c r="BO81" s="64"/>
      <c r="BP81" s="64"/>
      <c r="BQ81" s="64"/>
      <c r="BR81" s="64"/>
      <c r="BS81" s="64"/>
      <c r="BT81" s="64"/>
      <c r="BU81" s="64"/>
      <c r="BV81" s="64"/>
      <c r="BW81" s="64"/>
      <c r="BX81" s="64"/>
      <c r="BY81" s="64"/>
      <c r="BZ81" s="64"/>
      <c r="CA81" s="64"/>
      <c r="CB81" s="64"/>
      <c r="CC81" s="64"/>
      <c r="CD81" s="64"/>
      <c r="CE81" s="64"/>
      <c r="CF81" s="64"/>
      <c r="CG81" s="64"/>
      <c r="CH81" s="64"/>
      <c r="CI81" s="64"/>
      <c r="CJ81" s="64"/>
      <c r="CK81" s="64"/>
      <c r="CL81" s="64"/>
      <c r="CM81" s="64"/>
      <c r="CN81" s="64"/>
      <c r="CO81" s="64"/>
      <c r="CP81" s="64"/>
      <c r="CQ81" s="64"/>
      <c r="CR81" s="64"/>
      <c r="CS81" s="64"/>
      <c r="CT81" s="64"/>
      <c r="CU81" s="64"/>
      <c r="CV81" s="64"/>
      <c r="CW81" s="64"/>
      <c r="CX81" s="64"/>
      <c r="CY81" s="64"/>
      <c r="CZ81" s="64"/>
      <c r="DA81" s="64"/>
      <c r="DB81" s="64"/>
      <c r="DC81" s="64"/>
      <c r="DD81" s="64"/>
      <c r="DE81" s="64"/>
      <c r="DF81" s="64"/>
      <c r="DG81" s="64"/>
      <c r="DH81" s="64"/>
      <c r="DI81" s="64"/>
      <c r="DJ81" s="64"/>
      <c r="DK81" s="64"/>
      <c r="DL81" s="64"/>
      <c r="DM81" s="64"/>
      <c r="DN81" s="64"/>
      <c r="DO81" s="64"/>
      <c r="DP81" s="64"/>
      <c r="DQ81" s="80"/>
      <c r="DR81" s="80"/>
      <c r="DS81" s="80"/>
      <c r="DT81" s="64"/>
      <c r="DU81" s="64"/>
      <c r="DV81" s="64"/>
      <c r="DW81" s="64"/>
      <c r="DX81" s="64"/>
      <c r="DY81" s="64"/>
      <c r="DZ81" s="64"/>
      <c r="EA81" s="64"/>
      <c r="EB81" s="64"/>
      <c r="EC81" s="64"/>
      <c r="ED81" s="64"/>
      <c r="EE81" s="64"/>
      <c r="EF81" s="64"/>
      <c r="EG81" s="64"/>
      <c r="EH81" s="64"/>
      <c r="EI81" s="64"/>
      <c r="EJ81" s="69"/>
      <c r="EK81" s="64"/>
      <c r="EL81" s="64"/>
      <c r="EM81" s="64" t="s">
        <v>354</v>
      </c>
      <c r="EN81" s="64"/>
      <c r="EO81" s="64"/>
      <c r="EP81" s="64"/>
      <c r="EQ81" s="64"/>
      <c r="ER81" s="64"/>
      <c r="ES81" s="64"/>
      <c r="ET81" s="64"/>
      <c r="EU81" s="64"/>
      <c r="EV81" s="64"/>
      <c r="EW81" s="64"/>
      <c r="EX81" s="64"/>
      <c r="EY81" s="64"/>
      <c r="EZ81" s="64"/>
      <c r="FA81" s="64"/>
      <c r="FB81" s="64"/>
      <c r="FC81" s="64"/>
      <c r="FD81" s="64"/>
      <c r="FE81" s="64"/>
      <c r="FF81" s="64"/>
      <c r="FG81" s="64"/>
      <c r="FH81" s="64"/>
      <c r="FI81" s="64"/>
      <c r="FJ81" s="64"/>
      <c r="FK81" s="64"/>
      <c r="FL81" s="64"/>
      <c r="FM81" s="64"/>
      <c r="FN81" s="64"/>
      <c r="FO81" s="64"/>
      <c r="FP81" s="64"/>
      <c r="FQ81" s="64"/>
      <c r="FR81" s="64"/>
      <c r="FS81" s="64"/>
      <c r="FT81" s="64"/>
      <c r="FU81" s="64"/>
      <c r="FV81" s="64"/>
      <c r="FW81" s="64"/>
      <c r="FX81" s="64"/>
      <c r="FY81" s="64"/>
      <c r="FZ81" s="64"/>
      <c r="GA81" s="64"/>
      <c r="GB81" s="64"/>
      <c r="GC81" s="64"/>
      <c r="GD81" s="64"/>
      <c r="GE81" s="64"/>
      <c r="GF81" s="64"/>
      <c r="GG81" s="64"/>
      <c r="GH81" s="64"/>
      <c r="GI81" s="64"/>
      <c r="GJ81" s="64"/>
      <c r="GK81" s="64"/>
      <c r="GL81" s="64"/>
      <c r="GM81" s="64"/>
      <c r="GN81" s="64"/>
      <c r="GO81" s="64"/>
      <c r="GP81" s="64"/>
      <c r="GQ81" s="64"/>
      <c r="GR81" s="64"/>
      <c r="GS81" s="64"/>
      <c r="GT81" s="64"/>
      <c r="GU81" s="64"/>
      <c r="GV81" s="64"/>
      <c r="GW81" s="64"/>
      <c r="GX81" s="64"/>
      <c r="GY81" s="64"/>
      <c r="GZ81" s="64"/>
      <c r="HA81" s="64"/>
      <c r="HB81" s="64"/>
      <c r="HC81" s="64"/>
      <c r="HD81" s="64"/>
      <c r="HE81" s="64"/>
      <c r="HF81" s="64"/>
      <c r="HG81" s="64"/>
      <c r="HH81" s="64"/>
      <c r="IT81" s="71"/>
    </row>
    <row r="82" spans="1:254" x14ac:dyDescent="0.25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>
        <f>INDEX(cenník!$C$2:$I$568,MATCH($L82,cenník!$B$2:$B$557,0),MATCH(M$2,cenník!$C$1:$I$1,0))</f>
        <v>897335</v>
      </c>
      <c r="N82" s="11" t="str">
        <f>INDEX(cenník!$C$2:$I$568,MATCH($L82,cenník!$B$2:$B$557,0),MATCH(N$2,cenník!$C$1:$I$1,0))</f>
        <v>ks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6">
        <f>INDEX(cenník!$C$2:$I$568,MATCH($L82,cenník!$B$2:$B$557,0),MATCH(P$2,cenník!$C$1:$I$1,0))</f>
        <v>0.62</v>
      </c>
      <c r="Q82" s="36">
        <f t="shared" si="239"/>
        <v>0</v>
      </c>
      <c r="R82" s="37">
        <f t="shared" si="204"/>
        <v>0</v>
      </c>
      <c r="S82" s="36">
        <f t="shared" si="205"/>
        <v>0.62</v>
      </c>
      <c r="T82" s="36">
        <f t="shared" si="240"/>
        <v>0</v>
      </c>
      <c r="U82" s="36">
        <f>INDEX(cenník!$C$2:$I$568,MATCH($L82,cenník!$B$2:$B$557,0),MATCH(U$2,cenník!$C$1:$I$1,0))*O82</f>
        <v>0</v>
      </c>
      <c r="V82" s="64"/>
      <c r="W82" s="64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85"/>
      <c r="Y82" s="85"/>
      <c r="Z82" s="85"/>
      <c r="AA82" s="64"/>
      <c r="AB82" s="64"/>
      <c r="AC82" s="64"/>
      <c r="AD82" s="64"/>
      <c r="AE82" s="64"/>
      <c r="AF82" s="64"/>
      <c r="AG82" s="64"/>
      <c r="AH82" s="64"/>
      <c r="AI82" s="64"/>
      <c r="AJ82" s="64"/>
      <c r="AK82" s="64"/>
      <c r="AL82" s="64"/>
      <c r="AM82" s="64"/>
      <c r="AN82" s="64"/>
      <c r="AO82" s="64"/>
      <c r="AP82" s="64" t="s">
        <v>67</v>
      </c>
      <c r="AQ82" s="64" t="s">
        <v>289</v>
      </c>
      <c r="AR82" s="64" t="s">
        <v>288</v>
      </c>
      <c r="AS82" s="64" t="s">
        <v>287</v>
      </c>
      <c r="AT82" s="64" t="s">
        <v>287</v>
      </c>
      <c r="AU82" s="64"/>
      <c r="BA82" s="64"/>
      <c r="BB82" s="64"/>
      <c r="BC82" s="64"/>
      <c r="BD82" s="64"/>
      <c r="BE82" s="64"/>
      <c r="BF82" s="64"/>
      <c r="BG82" s="64"/>
      <c r="BH82" s="64"/>
      <c r="BI82" s="64"/>
      <c r="BJ82" s="64"/>
      <c r="BK82" s="64"/>
      <c r="BL82" s="64"/>
      <c r="BM82" s="64"/>
      <c r="BN82" s="64"/>
      <c r="BO82" s="64"/>
      <c r="BP82" s="64"/>
      <c r="BQ82" s="64"/>
      <c r="BR82" s="64"/>
      <c r="BS82" s="64"/>
      <c r="BT82" s="64"/>
      <c r="BU82" s="64"/>
      <c r="BV82" s="64"/>
      <c r="BW82" s="64"/>
      <c r="BX82" s="64"/>
      <c r="BY82" s="64"/>
      <c r="BZ82" s="64"/>
      <c r="CA82" s="64"/>
      <c r="CB82" s="64"/>
      <c r="CC82" s="64"/>
      <c r="CD82" s="64"/>
      <c r="CE82" s="64"/>
      <c r="CF82" s="64"/>
      <c r="CG82" s="64"/>
      <c r="CH82" s="64"/>
      <c r="CI82" s="64"/>
      <c r="CJ82" s="64"/>
      <c r="CK82" s="64"/>
      <c r="CL82" s="64"/>
      <c r="CM82" s="64"/>
      <c r="CN82" s="64"/>
      <c r="CO82" s="64"/>
      <c r="CP82" s="64"/>
      <c r="CQ82" s="64"/>
      <c r="CR82" s="64"/>
      <c r="CS82" s="64"/>
      <c r="CT82" s="64"/>
      <c r="CU82" s="64"/>
      <c r="CV82" s="64"/>
      <c r="CW82" s="64"/>
      <c r="CX82" s="64"/>
      <c r="CY82" s="64"/>
      <c r="CZ82" s="64"/>
      <c r="DA82" s="64"/>
      <c r="DB82" s="64"/>
      <c r="DC82" s="64"/>
      <c r="DD82" s="64"/>
      <c r="DE82" s="64"/>
      <c r="DF82" s="64"/>
      <c r="DG82" s="64"/>
      <c r="DH82" s="64"/>
      <c r="DI82" s="64"/>
      <c r="DJ82" s="64"/>
      <c r="DK82" s="64"/>
      <c r="DL82" s="64"/>
      <c r="DM82" s="64"/>
      <c r="DN82" s="64"/>
      <c r="DO82" s="64"/>
      <c r="DP82" s="64"/>
      <c r="DQ82" s="80"/>
      <c r="DR82" s="80"/>
      <c r="DS82" s="80"/>
      <c r="DT82" s="64"/>
      <c r="DU82" s="64"/>
      <c r="DV82" s="64"/>
      <c r="DW82" s="64"/>
      <c r="DX82" s="64"/>
      <c r="DY82" s="64"/>
      <c r="DZ82" s="64"/>
      <c r="EA82" s="64"/>
      <c r="EB82" s="64"/>
      <c r="EC82" s="64"/>
      <c r="ED82" s="64"/>
      <c r="EE82" s="64"/>
      <c r="EF82" s="64"/>
      <c r="EG82" s="64"/>
      <c r="EH82" s="64"/>
      <c r="EI82" s="64"/>
      <c r="EJ82" s="69"/>
      <c r="EK82" s="64"/>
      <c r="EL82" s="64"/>
      <c r="EM82" s="64"/>
      <c r="EN82" s="64"/>
      <c r="EO82" s="64"/>
      <c r="EP82" s="64"/>
      <c r="EQ82" s="64"/>
      <c r="ER82" s="64"/>
      <c r="ES82" s="64"/>
      <c r="ET82" s="64"/>
      <c r="EU82" s="64"/>
      <c r="EV82" s="64"/>
      <c r="EW82" s="64"/>
      <c r="EX82" s="64"/>
      <c r="EY82" s="64"/>
      <c r="EZ82" s="64"/>
      <c r="FA82" s="64"/>
      <c r="FB82" s="64"/>
      <c r="FC82" s="64"/>
      <c r="FD82" s="64"/>
      <c r="FE82" s="64"/>
      <c r="FF82" s="64"/>
      <c r="FG82" s="64"/>
      <c r="FH82" s="64"/>
      <c r="FI82" s="64"/>
      <c r="FJ82" s="64"/>
      <c r="FK82" s="64"/>
      <c r="FL82" s="64"/>
      <c r="FM82" s="64"/>
      <c r="FN82" s="64"/>
      <c r="FO82" s="64"/>
      <c r="FP82" s="64"/>
      <c r="FQ82" s="64"/>
      <c r="FR82" s="64"/>
      <c r="FS82" s="64"/>
      <c r="FT82" s="64"/>
      <c r="FU82" s="64"/>
      <c r="FV82" s="64"/>
      <c r="FW82" s="64"/>
      <c r="FX82" s="64"/>
      <c r="FY82" s="64"/>
      <c r="FZ82" s="64"/>
      <c r="GA82" s="64"/>
      <c r="GB82" s="64"/>
      <c r="GC82" s="64"/>
      <c r="GD82" s="64"/>
      <c r="GE82" s="64"/>
      <c r="GF82" s="64"/>
      <c r="GG82" s="64"/>
      <c r="GH82" s="64"/>
      <c r="GI82" s="64"/>
      <c r="GJ82" s="64"/>
      <c r="GK82" s="64"/>
      <c r="GL82" s="64"/>
      <c r="GM82" s="64"/>
      <c r="GN82" s="64"/>
      <c r="GO82" s="64"/>
      <c r="GP82" s="64"/>
      <c r="GQ82" s="64"/>
      <c r="GR82" s="64"/>
      <c r="GS82" s="64"/>
      <c r="GT82" s="64"/>
      <c r="GU82" s="64"/>
      <c r="GV82" s="64"/>
      <c r="GW82" s="64"/>
      <c r="GX82" s="64"/>
      <c r="GY82" s="64"/>
      <c r="GZ82" s="64"/>
      <c r="HA82" s="64"/>
      <c r="HB82" s="64"/>
      <c r="HC82" s="64"/>
      <c r="HD82" s="64"/>
      <c r="HE82" s="64"/>
      <c r="HF82" s="64"/>
      <c r="HG82" s="64"/>
      <c r="HH82" s="64"/>
      <c r="IT82" s="71"/>
    </row>
    <row r="83" spans="1:254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>
        <f>INDEX(cenník!$C$2:$I$568,MATCH($L83,cenník!$B$2:$B$557,0),MATCH(M$2,cenník!$C$1:$I$1,0))</f>
        <v>897300</v>
      </c>
      <c r="N83" s="11" t="str">
        <f>INDEX(cenník!$C$2:$I$568,MATCH($L83,cenník!$B$2:$B$557,0),MATCH(N$2,cenník!$C$1:$I$1,0))</f>
        <v>ks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6">
        <f>INDEX(cenník!$C$2:$I$568,MATCH($L83,cenník!$B$2:$B$557,0),MATCH(P$2,cenník!$C$1:$I$1,0))</f>
        <v>0.56999999999999995</v>
      </c>
      <c r="Q83" s="36">
        <f t="shared" si="239"/>
        <v>0</v>
      </c>
      <c r="R83" s="37">
        <f t="shared" si="204"/>
        <v>0</v>
      </c>
      <c r="S83" s="36">
        <f t="shared" si="205"/>
        <v>0.56999999999999995</v>
      </c>
      <c r="T83" s="36">
        <f t="shared" si="240"/>
        <v>0</v>
      </c>
      <c r="U83" s="36">
        <f>INDEX(cenník!$C$2:$I$568,MATCH($L83,cenník!$B$2:$B$557,0),MATCH(U$2,cenník!$C$1:$I$1,0))*O83</f>
        <v>0</v>
      </c>
      <c r="V83" s="82"/>
      <c r="W83" s="85"/>
      <c r="X83" s="85"/>
      <c r="Y83" s="85"/>
      <c r="Z83" s="85"/>
      <c r="AA83" s="64"/>
      <c r="AB83" s="64"/>
      <c r="AC83" s="64"/>
      <c r="AD83" s="64"/>
      <c r="AE83" s="64"/>
      <c r="AF83" s="64"/>
      <c r="AG83" s="64"/>
      <c r="AH83" s="64"/>
      <c r="AI83" s="64"/>
      <c r="AJ83" s="64"/>
      <c r="AK83" s="64"/>
      <c r="AL83" s="64"/>
      <c r="AM83" s="64"/>
      <c r="AN83" s="64"/>
      <c r="AO83" s="64"/>
      <c r="AP83" s="64" t="s">
        <v>195</v>
      </c>
      <c r="AQ83" s="64" t="s">
        <v>289</v>
      </c>
      <c r="AR83" s="64" t="s">
        <v>288</v>
      </c>
      <c r="AS83" s="64" t="s">
        <v>287</v>
      </c>
      <c r="AT83" s="64" t="s">
        <v>287</v>
      </c>
      <c r="AU83" s="64"/>
      <c r="BA83" s="64"/>
      <c r="BB83" s="64"/>
      <c r="BC83" s="64"/>
      <c r="BD83" s="64"/>
      <c r="BE83" s="64"/>
      <c r="BF83" s="64"/>
      <c r="BG83" s="64"/>
      <c r="BH83" s="64"/>
      <c r="BI83" s="64"/>
      <c r="BJ83" s="64"/>
      <c r="BK83" s="64"/>
      <c r="BL83" s="64"/>
      <c r="BM83" s="64"/>
      <c r="BN83" s="64"/>
      <c r="BO83" s="64"/>
      <c r="BP83" s="64"/>
      <c r="BQ83" s="64"/>
      <c r="BR83" s="64"/>
      <c r="BS83" s="64"/>
      <c r="BT83" s="64"/>
      <c r="BU83" s="64"/>
      <c r="BV83" s="64"/>
      <c r="BW83" s="64"/>
      <c r="BX83" s="64"/>
      <c r="BY83" s="64"/>
      <c r="BZ83" s="64"/>
      <c r="CA83" s="64"/>
      <c r="CB83" s="64"/>
      <c r="CC83" s="64"/>
      <c r="CD83" s="64"/>
      <c r="CE83" s="64"/>
      <c r="CF83" s="64"/>
      <c r="CG83" s="64"/>
      <c r="CH83" s="64"/>
      <c r="CI83" s="64"/>
      <c r="CJ83" s="64"/>
      <c r="CK83" s="64"/>
      <c r="CL83" s="64"/>
      <c r="CM83" s="64"/>
      <c r="CN83" s="64"/>
      <c r="CO83" s="64"/>
      <c r="CP83" s="64"/>
      <c r="CQ83" s="64"/>
      <c r="CR83" s="64"/>
      <c r="CS83" s="64"/>
      <c r="CT83" s="64"/>
      <c r="CU83" s="64"/>
      <c r="CV83" s="64"/>
      <c r="CW83" s="64"/>
      <c r="CX83" s="64"/>
      <c r="CY83" s="64"/>
      <c r="CZ83" s="64"/>
      <c r="DA83" s="64"/>
      <c r="DB83" s="64"/>
      <c r="DC83" s="64"/>
      <c r="DD83" s="64"/>
      <c r="DE83" s="64"/>
      <c r="DF83" s="64"/>
      <c r="DG83" s="64"/>
      <c r="DH83" s="64"/>
      <c r="DI83" s="64"/>
      <c r="DJ83" s="64"/>
      <c r="DK83" s="64"/>
      <c r="DL83" s="64"/>
      <c r="DM83" s="64"/>
      <c r="DN83" s="64"/>
      <c r="DO83" s="64"/>
      <c r="DP83" s="64"/>
      <c r="DQ83" s="80"/>
      <c r="DR83" s="80">
        <v>0</v>
      </c>
      <c r="DS83" s="80"/>
      <c r="DT83" s="64"/>
      <c r="DU83" s="64"/>
      <c r="DV83" s="64"/>
      <c r="DW83" s="64"/>
      <c r="DX83" s="64"/>
      <c r="DY83" s="64"/>
      <c r="DZ83" s="64"/>
      <c r="EA83" s="64"/>
      <c r="EB83" s="64"/>
      <c r="EC83" s="64"/>
      <c r="ED83" s="64"/>
      <c r="EE83" s="64"/>
      <c r="EF83" s="64"/>
      <c r="EG83" s="64"/>
      <c r="EH83" s="64"/>
      <c r="EI83" s="64"/>
      <c r="EJ83" s="69"/>
      <c r="EK83" s="64"/>
      <c r="EL83" s="64"/>
      <c r="EM83" s="64"/>
      <c r="EN83" s="64"/>
      <c r="EO83" s="64"/>
      <c r="EP83" s="64"/>
      <c r="EQ83" s="64"/>
      <c r="ER83" s="64"/>
      <c r="ES83" s="64"/>
      <c r="ET83" s="64"/>
      <c r="EU83" s="64"/>
      <c r="EV83" s="64"/>
      <c r="EW83" s="64"/>
      <c r="EX83" s="64"/>
      <c r="EY83" s="64"/>
      <c r="EZ83" s="64"/>
      <c r="FA83" s="64"/>
      <c r="FB83" s="64"/>
      <c r="FC83" s="64"/>
      <c r="FD83" s="64"/>
      <c r="FE83" s="64"/>
      <c r="FF83" s="64"/>
      <c r="FG83" s="64"/>
      <c r="FH83" s="64"/>
      <c r="FI83" s="64"/>
      <c r="FJ83" s="64"/>
      <c r="FK83" s="64"/>
      <c r="FL83" s="64"/>
      <c r="FM83" s="64"/>
      <c r="FN83" s="64"/>
      <c r="FO83" s="64"/>
      <c r="FP83" s="64"/>
      <c r="FQ83" s="64"/>
      <c r="FR83" s="64"/>
      <c r="FS83" s="64"/>
      <c r="FT83" s="64"/>
      <c r="FU83" s="64"/>
      <c r="FV83" s="64"/>
      <c r="FW83" s="64"/>
      <c r="FX83" s="64"/>
      <c r="FY83" s="64"/>
      <c r="FZ83" s="64"/>
      <c r="GA83" s="64"/>
      <c r="GB83" s="64"/>
      <c r="GC83" s="64"/>
      <c r="GD83" s="64"/>
      <c r="GE83" s="64"/>
      <c r="GF83" s="64"/>
      <c r="GG83" s="64"/>
      <c r="GH83" s="64"/>
      <c r="GI83" s="64"/>
      <c r="GJ83" s="64"/>
      <c r="GK83" s="64"/>
      <c r="GL83" s="64"/>
      <c r="GM83" s="64"/>
      <c r="GN83" s="64"/>
      <c r="GO83" s="64"/>
      <c r="GP83" s="64"/>
      <c r="GQ83" s="64"/>
      <c r="GR83" s="64"/>
      <c r="GS83" s="64"/>
      <c r="GT83" s="64"/>
      <c r="GU83" s="64"/>
      <c r="GV83" s="64"/>
      <c r="GW83" s="64"/>
      <c r="GX83" s="64"/>
      <c r="GY83" s="64"/>
      <c r="GZ83" s="64"/>
      <c r="HA83" s="64"/>
      <c r="HB83" s="64"/>
      <c r="HC83" s="64"/>
      <c r="HD83" s="64"/>
      <c r="HE83" s="64"/>
      <c r="HF83" s="64"/>
      <c r="HG83" s="64"/>
      <c r="HH83" s="64"/>
      <c r="IT83" s="71"/>
    </row>
    <row r="84" spans="1:254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>
        <f>INDEX(cenník!$C$2:$I$568,MATCH($L84,cenník!$B$2:$B$557,0),MATCH(M$2,cenník!$C$1:$I$1,0))</f>
        <v>898530</v>
      </c>
      <c r="N84" s="11" t="str">
        <f>INDEX(cenník!$C$2:$I$568,MATCH($L84,cenník!$B$2:$B$557,0),MATCH(N$2,cenník!$C$1:$I$1,0))</f>
        <v>ks</v>
      </c>
      <c r="O84" s="11">
        <f>IF(L84="-------",0,SUM(O82:O83))</f>
        <v>0</v>
      </c>
      <c r="P84" s="36">
        <f>INDEX(cenník!$C$2:$I$568,MATCH($L84,cenník!$B$2:$B$557,0),MATCH(P$2,cenník!$C$1:$I$1,0))</f>
        <v>0.18</v>
      </c>
      <c r="Q84" s="36">
        <f t="shared" si="239"/>
        <v>0</v>
      </c>
      <c r="R84" s="37">
        <f t="shared" si="204"/>
        <v>0</v>
      </c>
      <c r="S84" s="36">
        <f t="shared" si="205"/>
        <v>0.18</v>
      </c>
      <c r="T84" s="36">
        <f t="shared" si="240"/>
        <v>0</v>
      </c>
      <c r="U84" s="36">
        <f>INDEX(cenník!$C$2:$I$568,MATCH($L84,cenník!$B$2:$B$557,0),MATCH(U$2,cenník!$C$1:$I$1,0))*O84</f>
        <v>0</v>
      </c>
      <c r="V84" s="82"/>
      <c r="W84" s="85"/>
      <c r="X84" s="85"/>
      <c r="Y84" s="85"/>
      <c r="Z84" s="85"/>
      <c r="AA84" s="64"/>
      <c r="AB84" s="64"/>
      <c r="AC84" s="64"/>
      <c r="AD84" s="64"/>
      <c r="AE84" s="64"/>
      <c r="AF84" s="64"/>
      <c r="AG84" s="64"/>
      <c r="AH84" s="64"/>
      <c r="AI84" s="64" t="s">
        <v>92</v>
      </c>
      <c r="AJ84" s="64"/>
      <c r="AK84" s="64"/>
      <c r="AL84" s="64"/>
      <c r="AM84" s="64"/>
      <c r="AN84" s="64"/>
      <c r="AO84" s="64"/>
      <c r="AP84" s="64" t="s">
        <v>197</v>
      </c>
      <c r="AQ84" s="64" t="s">
        <v>295</v>
      </c>
      <c r="AR84" s="64" t="s">
        <v>294</v>
      </c>
      <c r="AS84" s="64" t="s">
        <v>292</v>
      </c>
      <c r="AT84" s="64" t="s">
        <v>292</v>
      </c>
      <c r="AU84" s="64"/>
      <c r="BA84" s="64"/>
      <c r="BB84" s="64"/>
      <c r="BC84" s="64"/>
      <c r="BD84" s="64"/>
      <c r="BE84" s="64"/>
      <c r="BF84" s="64"/>
      <c r="BG84" s="64"/>
      <c r="BH84" s="64" t="s">
        <v>59</v>
      </c>
      <c r="BI84" s="64">
        <v>0</v>
      </c>
      <c r="BJ84" s="64">
        <v>6</v>
      </c>
      <c r="BK84" s="64">
        <v>8</v>
      </c>
      <c r="BL84" s="64">
        <v>10</v>
      </c>
      <c r="BM84" s="64">
        <v>12</v>
      </c>
      <c r="BN84" s="64">
        <v>14</v>
      </c>
      <c r="BO84" s="64">
        <v>16</v>
      </c>
      <c r="BP84" s="64">
        <v>18</v>
      </c>
      <c r="BQ84" s="64">
        <v>20</v>
      </c>
      <c r="BR84" s="64">
        <v>22</v>
      </c>
      <c r="BS84" s="64">
        <v>24</v>
      </c>
      <c r="BT84" s="64">
        <v>26</v>
      </c>
      <c r="BU84" s="64">
        <v>28</v>
      </c>
      <c r="BV84" s="64">
        <v>30</v>
      </c>
      <c r="BW84" s="64">
        <v>32</v>
      </c>
      <c r="BX84" s="64">
        <v>34</v>
      </c>
      <c r="BY84" s="64">
        <v>36</v>
      </c>
      <c r="BZ84" s="64">
        <v>38</v>
      </c>
      <c r="CA84" s="64">
        <v>40</v>
      </c>
      <c r="CB84" s="64">
        <v>42</v>
      </c>
      <c r="CC84" s="64">
        <v>44</v>
      </c>
      <c r="CD84" s="64">
        <v>46</v>
      </c>
      <c r="CE84" s="64">
        <v>48</v>
      </c>
      <c r="CF84" s="64">
        <v>50</v>
      </c>
      <c r="CG84" s="64"/>
      <c r="CH84" s="64"/>
      <c r="CI84" s="64"/>
      <c r="CJ84" s="64"/>
      <c r="CK84" s="64"/>
      <c r="CL84" s="64"/>
      <c r="CM84" s="64"/>
      <c r="CN84" s="64" t="s">
        <v>199</v>
      </c>
      <c r="CO84" s="64">
        <v>0</v>
      </c>
      <c r="CP84" s="64">
        <v>6</v>
      </c>
      <c r="CQ84" s="64">
        <v>8</v>
      </c>
      <c r="CR84" s="64">
        <v>10</v>
      </c>
      <c r="CS84" s="64">
        <v>12</v>
      </c>
      <c r="CT84" s="64">
        <v>14</v>
      </c>
      <c r="CU84" s="64">
        <v>16</v>
      </c>
      <c r="CV84" s="64">
        <v>18</v>
      </c>
      <c r="CW84" s="64">
        <v>20</v>
      </c>
      <c r="CX84" s="64">
        <v>22</v>
      </c>
      <c r="CY84" s="64">
        <v>24</v>
      </c>
      <c r="CZ84" s="64">
        <v>26</v>
      </c>
      <c r="DA84" s="64">
        <v>28</v>
      </c>
      <c r="DB84" s="64">
        <v>30</v>
      </c>
      <c r="DC84" s="64">
        <v>32</v>
      </c>
      <c r="DD84" s="64">
        <v>34</v>
      </c>
      <c r="DE84" s="64">
        <v>36</v>
      </c>
      <c r="DF84" s="64">
        <v>38</v>
      </c>
      <c r="DG84" s="64">
        <v>40</v>
      </c>
      <c r="DH84" s="64">
        <v>42</v>
      </c>
      <c r="DI84" s="64">
        <v>44</v>
      </c>
      <c r="DJ84" s="64">
        <v>46</v>
      </c>
      <c r="DK84" s="64">
        <v>48</v>
      </c>
      <c r="DL84" s="64">
        <v>50</v>
      </c>
      <c r="DM84" s="64"/>
      <c r="DN84" s="64"/>
      <c r="DO84" s="64"/>
      <c r="DP84" s="64"/>
      <c r="DQ84" s="80"/>
      <c r="DR84" s="80">
        <v>6</v>
      </c>
      <c r="DS84" s="80"/>
      <c r="DT84" s="64"/>
      <c r="DU84" s="64"/>
      <c r="DV84" s="64"/>
      <c r="DW84" s="64"/>
      <c r="DX84" s="64"/>
      <c r="DY84" s="64"/>
      <c r="DZ84" s="64"/>
      <c r="EA84" s="64"/>
      <c r="EB84" s="64"/>
      <c r="EC84" s="64"/>
      <c r="ED84" s="64"/>
      <c r="EE84" s="64"/>
      <c r="EF84" s="64"/>
      <c r="EG84" s="64"/>
      <c r="EH84" s="64"/>
      <c r="EI84" s="64"/>
      <c r="EJ84" s="69"/>
      <c r="EK84" s="64" t="s">
        <v>59</v>
      </c>
      <c r="EL84" s="64">
        <v>0</v>
      </c>
      <c r="EM84" s="64">
        <v>6</v>
      </c>
      <c r="EN84" s="64">
        <v>8</v>
      </c>
      <c r="EO84" s="64">
        <v>10</v>
      </c>
      <c r="EP84" s="64">
        <v>12</v>
      </c>
      <c r="EQ84" s="64">
        <v>14</v>
      </c>
      <c r="ER84" s="64">
        <v>16</v>
      </c>
      <c r="ES84" s="64">
        <v>18</v>
      </c>
      <c r="ET84" s="64">
        <v>20</v>
      </c>
      <c r="EU84" s="64">
        <v>22</v>
      </c>
      <c r="EV84" s="64">
        <v>24</v>
      </c>
      <c r="EW84" s="64">
        <v>26</v>
      </c>
      <c r="EX84" s="64">
        <v>28</v>
      </c>
      <c r="EY84" s="64">
        <v>30</v>
      </c>
      <c r="EZ84" s="64">
        <v>32</v>
      </c>
      <c r="FA84" s="64">
        <v>34</v>
      </c>
      <c r="FB84" s="64">
        <v>36</v>
      </c>
      <c r="FC84" s="64">
        <v>38</v>
      </c>
      <c r="FD84" s="64">
        <v>40</v>
      </c>
      <c r="FE84" s="64">
        <v>42</v>
      </c>
      <c r="FF84" s="64">
        <v>44</v>
      </c>
      <c r="FG84" s="64">
        <v>46</v>
      </c>
      <c r="FH84" s="64">
        <v>48</v>
      </c>
      <c r="FI84" s="64">
        <v>50</v>
      </c>
      <c r="FJ84" s="64"/>
      <c r="FK84" s="64" t="s">
        <v>199</v>
      </c>
      <c r="FL84" s="64">
        <v>0</v>
      </c>
      <c r="FM84" s="64">
        <v>6</v>
      </c>
      <c r="FN84" s="64">
        <v>8</v>
      </c>
      <c r="FO84" s="64">
        <v>10</v>
      </c>
      <c r="FP84" s="64">
        <v>12</v>
      </c>
      <c r="FQ84" s="64">
        <v>14</v>
      </c>
      <c r="FR84" s="64">
        <v>16</v>
      </c>
      <c r="FS84" s="64">
        <v>18</v>
      </c>
      <c r="FT84" s="64">
        <v>20</v>
      </c>
      <c r="FU84" s="64">
        <v>22</v>
      </c>
      <c r="FV84" s="64">
        <v>24</v>
      </c>
      <c r="FW84" s="64">
        <v>26</v>
      </c>
      <c r="FX84" s="64">
        <v>28</v>
      </c>
      <c r="FY84" s="64">
        <v>30</v>
      </c>
      <c r="FZ84" s="64">
        <v>32</v>
      </c>
      <c r="GA84" s="64">
        <v>34</v>
      </c>
      <c r="GB84" s="64">
        <v>36</v>
      </c>
      <c r="GC84" s="64">
        <v>38</v>
      </c>
      <c r="GD84" s="64">
        <v>40</v>
      </c>
      <c r="GE84" s="64">
        <v>42</v>
      </c>
      <c r="GF84" s="64">
        <v>44</v>
      </c>
      <c r="GG84" s="64">
        <v>46</v>
      </c>
      <c r="GH84" s="64">
        <v>48</v>
      </c>
      <c r="GI84" s="64">
        <v>50</v>
      </c>
      <c r="GJ84" s="64"/>
      <c r="GK84" s="64"/>
      <c r="GL84" s="64"/>
      <c r="GM84" s="64"/>
      <c r="GN84" s="64"/>
      <c r="GO84" s="64"/>
      <c r="GP84" s="64"/>
      <c r="GQ84" s="64"/>
      <c r="GR84" s="64" t="s">
        <v>329</v>
      </c>
      <c r="GS84" s="64">
        <v>0</v>
      </c>
      <c r="GT84" s="64">
        <v>6</v>
      </c>
      <c r="GU84" s="64">
        <v>8</v>
      </c>
      <c r="GV84" s="64">
        <v>10</v>
      </c>
      <c r="GW84" s="64">
        <v>12</v>
      </c>
      <c r="GX84" s="64">
        <v>14</v>
      </c>
      <c r="GY84" s="64">
        <v>16</v>
      </c>
      <c r="GZ84" s="64">
        <v>18</v>
      </c>
      <c r="HA84" s="64">
        <v>20</v>
      </c>
      <c r="HB84" s="64">
        <v>22</v>
      </c>
      <c r="HC84" s="64">
        <v>24</v>
      </c>
      <c r="HD84" s="64">
        <v>26</v>
      </c>
      <c r="HE84" s="64">
        <v>28</v>
      </c>
      <c r="HF84" s="64">
        <v>30</v>
      </c>
      <c r="HG84" s="64">
        <v>32</v>
      </c>
      <c r="HH84" s="64">
        <v>34</v>
      </c>
      <c r="HI84" s="68">
        <v>36</v>
      </c>
      <c r="HJ84" s="68">
        <v>38</v>
      </c>
      <c r="HK84" s="68">
        <v>40</v>
      </c>
      <c r="HL84" s="68">
        <v>42</v>
      </c>
      <c r="HM84" s="68">
        <v>44</v>
      </c>
      <c r="HN84" s="68">
        <v>46</v>
      </c>
      <c r="HO84" s="68">
        <v>48</v>
      </c>
      <c r="HP84" s="68">
        <v>50</v>
      </c>
      <c r="HS84" s="68" t="s">
        <v>331</v>
      </c>
      <c r="HT84" s="68">
        <v>0</v>
      </c>
      <c r="HU84" s="68">
        <v>6</v>
      </c>
      <c r="HV84" s="68">
        <v>8</v>
      </c>
      <c r="HW84" s="68">
        <v>10</v>
      </c>
      <c r="HX84" s="68">
        <v>12</v>
      </c>
      <c r="HY84" s="68">
        <v>14</v>
      </c>
      <c r="HZ84" s="68">
        <v>16</v>
      </c>
      <c r="IA84" s="68">
        <v>18</v>
      </c>
      <c r="IB84" s="68">
        <v>20</v>
      </c>
      <c r="IC84" s="68">
        <v>22</v>
      </c>
      <c r="ID84" s="68">
        <v>24</v>
      </c>
      <c r="IE84" s="68">
        <v>26</v>
      </c>
      <c r="IF84" s="68">
        <v>28</v>
      </c>
      <c r="IG84" s="68">
        <v>30</v>
      </c>
      <c r="IH84" s="68">
        <v>32</v>
      </c>
      <c r="II84" s="68">
        <v>34</v>
      </c>
      <c r="IJ84" s="68">
        <v>36</v>
      </c>
      <c r="IK84" s="68">
        <v>38</v>
      </c>
      <c r="IL84" s="68">
        <v>40</v>
      </c>
      <c r="IM84" s="68">
        <v>42</v>
      </c>
      <c r="IN84" s="68">
        <v>44</v>
      </c>
      <c r="IO84" s="68">
        <v>46</v>
      </c>
      <c r="IP84" s="68">
        <v>48</v>
      </c>
      <c r="IQ84" s="68">
        <v>50</v>
      </c>
      <c r="IT84" s="71"/>
    </row>
    <row r="85" spans="1:254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244</v>
      </c>
      <c r="M85" s="11">
        <f>INDEX(cenník!$C$2:$I$568,MATCH($L85,cenník!$B$2:$B$557,0),MATCH(M$2,cenník!$C$1:$I$1,0))</f>
        <v>166794</v>
      </c>
      <c r="N85" s="11" t="str">
        <f>INDEX(cenník!$C$2:$I$568,MATCH($L85,cenník!$B$2:$B$557,0),MATCH(N$2,cenník!$C$1:$I$1,0))</f>
        <v>100ks</v>
      </c>
      <c r="O85" s="11">
        <f>ROUNDUP(O84/100,0)</f>
        <v>0</v>
      </c>
      <c r="P85" s="36">
        <f>INDEX(cenník!$C$2:$I$568,MATCH($L85,cenník!$B$2:$B$557,0),MATCH(P$2,cenník!$C$1:$I$1,0))</f>
        <v>1.38</v>
      </c>
      <c r="Q85" s="36">
        <f t="shared" si="239"/>
        <v>0</v>
      </c>
      <c r="R85" s="37">
        <f t="shared" si="204"/>
        <v>0</v>
      </c>
      <c r="S85" s="36">
        <f t="shared" si="205"/>
        <v>1.38</v>
      </c>
      <c r="T85" s="36">
        <f t="shared" si="240"/>
        <v>0</v>
      </c>
      <c r="U85" s="36">
        <f>INDEX(cenník!$C$2:$I$568,MATCH($L85,cenník!$B$2:$B$557,0),MATCH(U$2,cenník!$C$1:$I$1,0))*O85</f>
        <v>0</v>
      </c>
      <c r="V85" s="85"/>
      <c r="W85" s="85"/>
      <c r="X85" s="85"/>
      <c r="Y85" s="85"/>
      <c r="Z85" s="85"/>
      <c r="AA85" s="64"/>
      <c r="AB85" s="64"/>
      <c r="AC85" s="64"/>
      <c r="AD85" s="64"/>
      <c r="AE85" s="64"/>
      <c r="AF85" s="64"/>
      <c r="AG85" s="64"/>
      <c r="AH85" s="64"/>
      <c r="AI85" s="64" t="s">
        <v>85</v>
      </c>
      <c r="AJ85" s="64" t="s">
        <v>86</v>
      </c>
      <c r="AK85" s="64"/>
      <c r="AL85" s="64"/>
      <c r="AM85" s="64"/>
      <c r="AN85" s="64"/>
      <c r="AO85" s="64"/>
      <c r="AP85" s="64" t="s">
        <v>196</v>
      </c>
      <c r="AQ85" s="64" t="s">
        <v>295</v>
      </c>
      <c r="AR85" s="64" t="s">
        <v>294</v>
      </c>
      <c r="AS85" s="64" t="s">
        <v>292</v>
      </c>
      <c r="AT85" s="64" t="s">
        <v>292</v>
      </c>
      <c r="AU85" s="64"/>
      <c r="BA85" s="64"/>
      <c r="BB85" s="64"/>
      <c r="BC85" s="64"/>
      <c r="BD85" s="64"/>
      <c r="BE85" s="64"/>
      <c r="BF85" s="64"/>
      <c r="BG85" s="64"/>
      <c r="BH85" s="64" t="s">
        <v>104</v>
      </c>
      <c r="BI85" s="64">
        <v>0</v>
      </c>
      <c r="BJ85" s="64">
        <v>0</v>
      </c>
      <c r="BK85" s="64">
        <v>0</v>
      </c>
      <c r="BL85" s="64">
        <v>4</v>
      </c>
      <c r="BM85" s="64">
        <v>4</v>
      </c>
      <c r="BN85" s="64">
        <v>0</v>
      </c>
      <c r="BO85" s="64">
        <v>0</v>
      </c>
      <c r="BP85" s="64">
        <v>4</v>
      </c>
      <c r="BQ85" s="64">
        <v>4</v>
      </c>
      <c r="BR85" s="64">
        <v>0</v>
      </c>
      <c r="BS85" s="64">
        <v>8</v>
      </c>
      <c r="BT85" s="64">
        <v>4</v>
      </c>
      <c r="BU85" s="64">
        <v>4</v>
      </c>
      <c r="BV85" s="64">
        <v>4</v>
      </c>
      <c r="BW85" s="64">
        <v>8</v>
      </c>
      <c r="BX85" s="64">
        <v>8</v>
      </c>
      <c r="BY85" s="64">
        <v>4</v>
      </c>
      <c r="BZ85" s="64">
        <v>12</v>
      </c>
      <c r="CA85" s="64">
        <v>8</v>
      </c>
      <c r="CB85" s="64">
        <v>8</v>
      </c>
      <c r="CC85" s="64">
        <v>12</v>
      </c>
      <c r="CD85" s="64">
        <v>12</v>
      </c>
      <c r="CE85" s="64">
        <v>8</v>
      </c>
      <c r="CF85" s="64">
        <v>16</v>
      </c>
      <c r="CG85" s="64"/>
      <c r="CH85" s="64"/>
      <c r="CI85" s="64"/>
      <c r="CJ85" s="64"/>
      <c r="CK85" s="64"/>
      <c r="CL85" s="64"/>
      <c r="CM85" s="64"/>
      <c r="CN85" s="64" t="s">
        <v>104</v>
      </c>
      <c r="CO85" s="64">
        <v>0</v>
      </c>
      <c r="CP85" s="64">
        <v>0</v>
      </c>
      <c r="CQ85" s="64">
        <v>4</v>
      </c>
      <c r="CR85" s="64">
        <v>4</v>
      </c>
      <c r="CS85" s="64">
        <v>0</v>
      </c>
      <c r="CT85" s="64">
        <v>0</v>
      </c>
      <c r="CU85" s="64">
        <v>4</v>
      </c>
      <c r="CV85" s="64">
        <v>4</v>
      </c>
      <c r="CW85" s="64">
        <v>0</v>
      </c>
      <c r="CX85" s="64">
        <v>8</v>
      </c>
      <c r="CY85" s="64">
        <v>4</v>
      </c>
      <c r="CZ85" s="64">
        <v>4</v>
      </c>
      <c r="DA85" s="64">
        <v>8</v>
      </c>
      <c r="DB85" s="64">
        <v>8</v>
      </c>
      <c r="DC85" s="64">
        <v>4</v>
      </c>
      <c r="DD85" s="64">
        <v>12</v>
      </c>
      <c r="DE85" s="64">
        <v>8</v>
      </c>
      <c r="DF85" s="64">
        <v>8</v>
      </c>
      <c r="DG85" s="64">
        <v>12</v>
      </c>
      <c r="DH85" s="64">
        <v>12</v>
      </c>
      <c r="DI85" s="64">
        <v>8</v>
      </c>
      <c r="DJ85" s="64">
        <v>16</v>
      </c>
      <c r="DK85" s="64">
        <v>12</v>
      </c>
      <c r="DL85" s="64">
        <v>12</v>
      </c>
      <c r="DM85" s="64"/>
      <c r="DN85" s="64"/>
      <c r="DO85" s="64"/>
      <c r="DP85" s="64"/>
      <c r="DQ85" s="80"/>
      <c r="DR85" s="80">
        <v>8</v>
      </c>
      <c r="DS85" s="80"/>
      <c r="DT85" s="64"/>
      <c r="DU85" s="64"/>
      <c r="DV85" s="64"/>
      <c r="DW85" s="64"/>
      <c r="DX85" s="64"/>
      <c r="DY85" s="64"/>
      <c r="DZ85" s="64"/>
      <c r="EA85" s="64"/>
      <c r="EB85" s="64"/>
      <c r="EC85" s="64"/>
      <c r="ED85" s="64"/>
      <c r="EE85" s="64"/>
      <c r="EF85" s="64"/>
      <c r="EG85" s="64"/>
      <c r="EH85" s="64"/>
      <c r="EI85" s="64"/>
      <c r="EJ85" s="69"/>
      <c r="EK85" s="68" t="s">
        <v>286</v>
      </c>
      <c r="EL85" s="64">
        <v>0</v>
      </c>
      <c r="EM85" s="64">
        <v>0</v>
      </c>
      <c r="EN85" s="64">
        <v>0</v>
      </c>
      <c r="EO85" s="64">
        <v>4</v>
      </c>
      <c r="EP85" s="64">
        <v>0</v>
      </c>
      <c r="EQ85" s="64">
        <v>0</v>
      </c>
      <c r="ER85" s="64">
        <v>0</v>
      </c>
      <c r="ES85" s="64">
        <v>0</v>
      </c>
      <c r="ET85" s="64">
        <v>0</v>
      </c>
      <c r="EU85" s="64">
        <v>0</v>
      </c>
      <c r="EV85" s="64">
        <v>0</v>
      </c>
      <c r="EW85" s="64">
        <v>0</v>
      </c>
      <c r="EX85" s="64">
        <v>0</v>
      </c>
      <c r="EY85" s="64">
        <v>0</v>
      </c>
      <c r="EZ85" s="64">
        <v>0</v>
      </c>
      <c r="FA85" s="64">
        <v>0</v>
      </c>
      <c r="FB85" s="64">
        <v>0</v>
      </c>
      <c r="FC85" s="64">
        <v>0</v>
      </c>
      <c r="FD85" s="64">
        <v>0</v>
      </c>
      <c r="FE85" s="64">
        <v>0</v>
      </c>
      <c r="FF85" s="64">
        <v>0</v>
      </c>
      <c r="FG85" s="64">
        <v>0</v>
      </c>
      <c r="FH85" s="64">
        <v>0</v>
      </c>
      <c r="FI85" s="64">
        <v>0</v>
      </c>
      <c r="FK85" s="68" t="s">
        <v>286</v>
      </c>
      <c r="FL85" s="64">
        <v>0</v>
      </c>
      <c r="FM85" s="68">
        <v>0</v>
      </c>
      <c r="FN85" s="68">
        <v>4</v>
      </c>
      <c r="FO85" s="68">
        <v>4</v>
      </c>
      <c r="FP85" s="68">
        <v>0</v>
      </c>
      <c r="FQ85" s="68">
        <v>0</v>
      </c>
      <c r="FR85" s="68">
        <v>0</v>
      </c>
      <c r="FS85" s="68">
        <v>0</v>
      </c>
      <c r="FT85" s="68">
        <v>0</v>
      </c>
      <c r="FU85" s="68">
        <v>0</v>
      </c>
      <c r="FV85" s="68">
        <v>0</v>
      </c>
      <c r="FW85" s="68">
        <v>0</v>
      </c>
      <c r="FX85" s="68">
        <v>0</v>
      </c>
      <c r="FY85" s="68">
        <v>0</v>
      </c>
      <c r="FZ85" s="68">
        <v>0</v>
      </c>
      <c r="GA85" s="68">
        <v>0</v>
      </c>
      <c r="GB85" s="68">
        <v>0</v>
      </c>
      <c r="GC85" s="68">
        <v>0</v>
      </c>
      <c r="GD85" s="68">
        <v>0</v>
      </c>
      <c r="GE85" s="68">
        <v>0</v>
      </c>
      <c r="GF85" s="68">
        <v>0</v>
      </c>
      <c r="GG85" s="68">
        <v>0</v>
      </c>
      <c r="GH85" s="68">
        <v>0</v>
      </c>
      <c r="GI85" s="68">
        <v>0</v>
      </c>
      <c r="GJ85" s="64"/>
      <c r="GK85" s="64"/>
      <c r="GL85" s="64"/>
      <c r="GM85" s="64"/>
      <c r="GN85" s="64"/>
      <c r="GO85" s="64"/>
      <c r="GP85" s="64"/>
      <c r="GQ85" s="64"/>
      <c r="GR85" s="64" t="s">
        <v>286</v>
      </c>
      <c r="GS85" s="64">
        <v>0</v>
      </c>
      <c r="GT85" s="64">
        <v>0</v>
      </c>
      <c r="GU85" s="64">
        <v>4</v>
      </c>
      <c r="GV85" s="64">
        <v>4</v>
      </c>
      <c r="GW85" s="64">
        <v>0</v>
      </c>
      <c r="GX85" s="64">
        <v>0</v>
      </c>
      <c r="GY85" s="64">
        <v>0</v>
      </c>
      <c r="GZ85" s="64">
        <v>0</v>
      </c>
      <c r="HA85" s="64">
        <v>0</v>
      </c>
      <c r="HB85" s="64">
        <v>0</v>
      </c>
      <c r="HC85" s="64">
        <v>0</v>
      </c>
      <c r="HD85" s="64">
        <v>0</v>
      </c>
      <c r="HE85" s="64">
        <v>0</v>
      </c>
      <c r="HF85" s="64">
        <v>0</v>
      </c>
      <c r="HG85" s="64">
        <v>0</v>
      </c>
      <c r="HH85" s="64">
        <v>0</v>
      </c>
      <c r="HI85" s="68">
        <v>0</v>
      </c>
      <c r="HJ85" s="68">
        <v>0</v>
      </c>
      <c r="HK85" s="68">
        <v>0</v>
      </c>
      <c r="HL85" s="68">
        <v>0</v>
      </c>
      <c r="HM85" s="68">
        <v>0</v>
      </c>
      <c r="HN85" s="68">
        <v>0</v>
      </c>
      <c r="HO85" s="68">
        <v>0</v>
      </c>
      <c r="HP85" s="68">
        <v>0</v>
      </c>
      <c r="HS85" s="68" t="s">
        <v>286</v>
      </c>
      <c r="HT85" s="68">
        <v>0</v>
      </c>
      <c r="HU85" s="68">
        <v>0</v>
      </c>
      <c r="HV85" s="68">
        <v>4</v>
      </c>
      <c r="HW85" s="68">
        <v>0</v>
      </c>
      <c r="HX85" s="68">
        <v>0</v>
      </c>
      <c r="HY85" s="68">
        <v>0</v>
      </c>
      <c r="HZ85" s="68">
        <v>0</v>
      </c>
      <c r="IA85" s="68">
        <v>0</v>
      </c>
      <c r="IB85" s="68">
        <v>0</v>
      </c>
      <c r="IC85" s="68">
        <v>0</v>
      </c>
      <c r="ID85" s="68">
        <v>0</v>
      </c>
      <c r="IE85" s="68">
        <v>0</v>
      </c>
      <c r="IF85" s="68">
        <v>0</v>
      </c>
      <c r="IG85" s="68">
        <v>0</v>
      </c>
      <c r="IH85" s="68">
        <v>0</v>
      </c>
      <c r="II85" s="68">
        <v>0</v>
      </c>
      <c r="IJ85" s="68">
        <v>0</v>
      </c>
      <c r="IK85" s="68">
        <v>0</v>
      </c>
      <c r="IL85" s="68">
        <v>0</v>
      </c>
      <c r="IM85" s="68">
        <v>0</v>
      </c>
      <c r="IN85" s="68">
        <v>0</v>
      </c>
      <c r="IO85" s="68">
        <v>0</v>
      </c>
      <c r="IP85" s="68">
        <v>0</v>
      </c>
      <c r="IQ85" s="68">
        <v>0</v>
      </c>
      <c r="IT85" s="71"/>
    </row>
    <row r="86" spans="1:254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243</v>
      </c>
      <c r="M86" s="11">
        <f>INDEX(cenník!$C$2:$I$568,MATCH($L86,cenník!$B$2:$B$557,0),MATCH(M$2,cenník!$C$1:$I$1,0))</f>
        <v>660245</v>
      </c>
      <c r="N86" s="11" t="str">
        <f>INDEX(cenník!$C$2:$I$568,MATCH($L86,cenník!$B$2:$B$557,0),MATCH(N$2,cenník!$C$1:$I$1,0))</f>
        <v>ks</v>
      </c>
      <c r="O86" s="11">
        <f>SUM(O82:O83)</f>
        <v>0</v>
      </c>
      <c r="P86" s="36">
        <f>INDEX(cenník!$C$2:$I$568,MATCH($L86,cenník!$B$2:$B$557,0),MATCH(P$2,cenník!$C$1:$I$1,0))</f>
        <v>0.55000000000000004</v>
      </c>
      <c r="Q86" s="36">
        <f t="shared" si="239"/>
        <v>0</v>
      </c>
      <c r="R86" s="37">
        <f t="shared" si="204"/>
        <v>0</v>
      </c>
      <c r="S86" s="36">
        <f t="shared" si="205"/>
        <v>0.55000000000000004</v>
      </c>
      <c r="T86" s="36">
        <f t="shared" si="240"/>
        <v>0</v>
      </c>
      <c r="U86" s="36">
        <f>INDEX(cenník!$C$2:$I$568,MATCH($L86,cenník!$B$2:$B$557,0),MATCH(U$2,cenník!$C$1:$I$1,0))*O86</f>
        <v>0</v>
      </c>
      <c r="V86" s="85"/>
      <c r="W86" s="85"/>
      <c r="X86" s="85"/>
      <c r="Y86" s="85"/>
      <c r="Z86" s="85"/>
      <c r="AA86" s="64"/>
      <c r="AB86" s="64"/>
      <c r="AC86" s="64"/>
      <c r="AD86" s="64"/>
      <c r="AE86" s="64"/>
      <c r="AF86" s="64"/>
      <c r="AG86" s="64"/>
      <c r="AH86" s="64"/>
      <c r="AI86" s="64">
        <v>50</v>
      </c>
      <c r="AJ86" s="64">
        <v>1150</v>
      </c>
      <c r="AK86" s="64"/>
      <c r="AL86" s="64"/>
      <c r="AM86" s="64"/>
      <c r="AN86" s="64"/>
      <c r="AO86" s="64"/>
      <c r="AP86" s="64" t="s">
        <v>198</v>
      </c>
      <c r="AQ86" s="64" t="s">
        <v>295</v>
      </c>
      <c r="AR86" s="64" t="s">
        <v>294</v>
      </c>
      <c r="AS86" s="64" t="s">
        <v>292</v>
      </c>
      <c r="AT86" s="64" t="s">
        <v>292</v>
      </c>
      <c r="AU86" s="64"/>
      <c r="BA86" s="64"/>
      <c r="BB86" s="64"/>
      <c r="BC86" s="64"/>
      <c r="BD86" s="64"/>
      <c r="BE86" s="64"/>
      <c r="BF86" s="64"/>
      <c r="BG86" s="64"/>
      <c r="BH86" s="64" t="s">
        <v>103</v>
      </c>
      <c r="BI86" s="64">
        <v>0</v>
      </c>
      <c r="BJ86" s="64">
        <v>0</v>
      </c>
      <c r="BK86" s="64">
        <v>4</v>
      </c>
      <c r="BL86" s="64">
        <v>0</v>
      </c>
      <c r="BM86" s="64">
        <v>0</v>
      </c>
      <c r="BN86" s="64">
        <v>4</v>
      </c>
      <c r="BO86" s="64">
        <v>8</v>
      </c>
      <c r="BP86" s="64">
        <v>0</v>
      </c>
      <c r="BQ86" s="64">
        <v>4</v>
      </c>
      <c r="BR86" s="64">
        <v>8</v>
      </c>
      <c r="BS86" s="64">
        <v>0</v>
      </c>
      <c r="BT86" s="64">
        <v>4</v>
      </c>
      <c r="BU86" s="64">
        <v>8</v>
      </c>
      <c r="BV86" s="64">
        <v>8</v>
      </c>
      <c r="BW86" s="64">
        <v>0</v>
      </c>
      <c r="BX86" s="64">
        <v>4</v>
      </c>
      <c r="BY86" s="64">
        <v>8</v>
      </c>
      <c r="BZ86" s="64">
        <v>0</v>
      </c>
      <c r="CA86" s="64">
        <v>4</v>
      </c>
      <c r="CB86" s="64">
        <v>8</v>
      </c>
      <c r="CC86" s="64">
        <v>0</v>
      </c>
      <c r="CD86" s="64">
        <v>4</v>
      </c>
      <c r="CE86" s="64">
        <v>8</v>
      </c>
      <c r="CF86" s="64">
        <v>0</v>
      </c>
      <c r="CG86" s="64"/>
      <c r="CH86" s="64"/>
      <c r="CI86" s="64"/>
      <c r="CJ86" s="64"/>
      <c r="CK86" s="64"/>
      <c r="CL86" s="64"/>
      <c r="CM86" s="64"/>
      <c r="CN86" s="64" t="s">
        <v>103</v>
      </c>
      <c r="CO86" s="64">
        <v>0</v>
      </c>
      <c r="CP86" s="64">
        <v>4</v>
      </c>
      <c r="CQ86" s="64">
        <v>0</v>
      </c>
      <c r="CR86" s="64">
        <v>0</v>
      </c>
      <c r="CS86" s="64">
        <v>4</v>
      </c>
      <c r="CT86" s="64">
        <v>8</v>
      </c>
      <c r="CU86" s="64">
        <v>0</v>
      </c>
      <c r="CV86" s="64">
        <v>4</v>
      </c>
      <c r="CW86" s="64">
        <v>8</v>
      </c>
      <c r="CX86" s="64">
        <v>0</v>
      </c>
      <c r="CY86" s="64">
        <v>4</v>
      </c>
      <c r="CZ86" s="64">
        <v>8</v>
      </c>
      <c r="DA86" s="64">
        <v>0</v>
      </c>
      <c r="DB86" s="64">
        <v>4</v>
      </c>
      <c r="DC86" s="64">
        <v>8</v>
      </c>
      <c r="DD86" s="64">
        <v>0</v>
      </c>
      <c r="DE86" s="64">
        <v>4</v>
      </c>
      <c r="DF86" s="64">
        <v>8</v>
      </c>
      <c r="DG86" s="64">
        <v>0</v>
      </c>
      <c r="DH86" s="64">
        <v>4</v>
      </c>
      <c r="DI86" s="64">
        <v>8</v>
      </c>
      <c r="DJ86" s="64">
        <v>0</v>
      </c>
      <c r="DK86" s="64">
        <v>4</v>
      </c>
      <c r="DL86" s="64">
        <v>8</v>
      </c>
      <c r="DM86" s="64"/>
      <c r="DN86" s="64"/>
      <c r="DO86" s="64"/>
      <c r="DP86" s="64"/>
      <c r="DQ86" s="80"/>
      <c r="DR86" s="80">
        <v>10</v>
      </c>
      <c r="DS86" s="80"/>
      <c r="DT86" s="64"/>
      <c r="DU86" s="64"/>
      <c r="DV86" s="64"/>
      <c r="DW86" s="64"/>
      <c r="DX86" s="64"/>
      <c r="DY86" s="64"/>
      <c r="DZ86" s="64"/>
      <c r="EA86" s="64"/>
      <c r="EB86" s="64"/>
      <c r="EC86" s="64"/>
      <c r="ED86" s="64"/>
      <c r="EE86" s="64"/>
      <c r="EF86" s="64"/>
      <c r="EG86" s="64"/>
      <c r="EH86" s="64"/>
      <c r="EI86" s="64"/>
      <c r="EJ86" s="69"/>
      <c r="EK86" s="64" t="s">
        <v>240</v>
      </c>
      <c r="EL86" s="64">
        <v>0</v>
      </c>
      <c r="EM86" s="64">
        <f t="shared" ref="EM86:FI86" si="241">BJ86</f>
        <v>0</v>
      </c>
      <c r="EN86" s="64">
        <f>BK86</f>
        <v>4</v>
      </c>
      <c r="EO86" s="64">
        <f t="shared" si="241"/>
        <v>0</v>
      </c>
      <c r="EP86" s="64">
        <f t="shared" si="241"/>
        <v>0</v>
      </c>
      <c r="EQ86" s="64">
        <f t="shared" si="241"/>
        <v>4</v>
      </c>
      <c r="ER86" s="64">
        <f t="shared" si="241"/>
        <v>8</v>
      </c>
      <c r="ES86" s="64">
        <f t="shared" si="241"/>
        <v>0</v>
      </c>
      <c r="ET86" s="64">
        <f t="shared" si="241"/>
        <v>4</v>
      </c>
      <c r="EU86" s="64">
        <f t="shared" si="241"/>
        <v>8</v>
      </c>
      <c r="EV86" s="64">
        <f t="shared" si="241"/>
        <v>0</v>
      </c>
      <c r="EW86" s="64">
        <f t="shared" si="241"/>
        <v>4</v>
      </c>
      <c r="EX86" s="64">
        <f t="shared" si="241"/>
        <v>8</v>
      </c>
      <c r="EY86" s="64">
        <f t="shared" si="241"/>
        <v>8</v>
      </c>
      <c r="EZ86" s="64">
        <f t="shared" si="241"/>
        <v>0</v>
      </c>
      <c r="FA86" s="64">
        <f t="shared" si="241"/>
        <v>4</v>
      </c>
      <c r="FB86" s="64">
        <f t="shared" si="241"/>
        <v>8</v>
      </c>
      <c r="FC86" s="64">
        <f t="shared" si="241"/>
        <v>0</v>
      </c>
      <c r="FD86" s="64">
        <f t="shared" si="241"/>
        <v>4</v>
      </c>
      <c r="FE86" s="64">
        <f t="shared" si="241"/>
        <v>8</v>
      </c>
      <c r="FF86" s="64">
        <f t="shared" si="241"/>
        <v>0</v>
      </c>
      <c r="FG86" s="64">
        <f t="shared" si="241"/>
        <v>4</v>
      </c>
      <c r="FH86" s="64">
        <f t="shared" si="241"/>
        <v>8</v>
      </c>
      <c r="FI86" s="64">
        <f t="shared" si="241"/>
        <v>0</v>
      </c>
      <c r="FJ86" s="64"/>
      <c r="FK86" s="64" t="s">
        <v>240</v>
      </c>
      <c r="FL86" s="64">
        <v>0</v>
      </c>
      <c r="FM86" s="64">
        <f>CP86</f>
        <v>4</v>
      </c>
      <c r="FN86" s="64">
        <f>CQ86</f>
        <v>0</v>
      </c>
      <c r="FO86" s="64">
        <v>0</v>
      </c>
      <c r="FP86" s="64">
        <f t="shared" ref="FP86:GI86" si="242">CS86</f>
        <v>4</v>
      </c>
      <c r="FQ86" s="64">
        <f t="shared" si="242"/>
        <v>8</v>
      </c>
      <c r="FR86" s="64">
        <f t="shared" si="242"/>
        <v>0</v>
      </c>
      <c r="FS86" s="64">
        <f t="shared" si="242"/>
        <v>4</v>
      </c>
      <c r="FT86" s="64">
        <f t="shared" si="242"/>
        <v>8</v>
      </c>
      <c r="FU86" s="64">
        <f t="shared" si="242"/>
        <v>0</v>
      </c>
      <c r="FV86" s="64">
        <f t="shared" si="242"/>
        <v>4</v>
      </c>
      <c r="FW86" s="64">
        <f t="shared" si="242"/>
        <v>8</v>
      </c>
      <c r="FX86" s="64">
        <f t="shared" si="242"/>
        <v>0</v>
      </c>
      <c r="FY86" s="64">
        <f t="shared" si="242"/>
        <v>4</v>
      </c>
      <c r="FZ86" s="64">
        <f t="shared" si="242"/>
        <v>8</v>
      </c>
      <c r="GA86" s="64">
        <f t="shared" si="242"/>
        <v>0</v>
      </c>
      <c r="GB86" s="64">
        <f t="shared" si="242"/>
        <v>4</v>
      </c>
      <c r="GC86" s="64">
        <f t="shared" si="242"/>
        <v>8</v>
      </c>
      <c r="GD86" s="64">
        <f t="shared" si="242"/>
        <v>0</v>
      </c>
      <c r="GE86" s="64">
        <f t="shared" si="242"/>
        <v>4</v>
      </c>
      <c r="GF86" s="64">
        <f t="shared" si="242"/>
        <v>8</v>
      </c>
      <c r="GG86" s="64">
        <f t="shared" si="242"/>
        <v>0</v>
      </c>
      <c r="GH86" s="64">
        <f t="shared" si="242"/>
        <v>4</v>
      </c>
      <c r="GI86" s="64">
        <f t="shared" si="242"/>
        <v>8</v>
      </c>
      <c r="GJ86" s="64"/>
      <c r="GK86" s="64"/>
      <c r="GL86" s="64"/>
      <c r="GM86" s="64"/>
      <c r="GN86" s="64"/>
      <c r="GO86" s="64"/>
      <c r="GP86" s="64"/>
      <c r="GQ86" s="64"/>
      <c r="GR86" s="64" t="s">
        <v>240</v>
      </c>
      <c r="GS86" s="64">
        <v>0</v>
      </c>
      <c r="GT86" s="64">
        <v>4</v>
      </c>
      <c r="GU86" s="64">
        <v>0</v>
      </c>
      <c r="GV86" s="64">
        <v>0</v>
      </c>
      <c r="GW86" s="64">
        <v>4</v>
      </c>
      <c r="GX86" s="64">
        <v>8</v>
      </c>
      <c r="GY86" s="64">
        <v>0</v>
      </c>
      <c r="GZ86" s="64">
        <v>8</v>
      </c>
      <c r="HA86" s="64">
        <v>12</v>
      </c>
      <c r="HB86" s="64">
        <v>4</v>
      </c>
      <c r="HC86" s="64">
        <v>8</v>
      </c>
      <c r="HD86" s="64">
        <v>12</v>
      </c>
      <c r="HE86" s="64">
        <v>16</v>
      </c>
      <c r="HF86" s="64">
        <v>8</v>
      </c>
      <c r="HG86" s="64">
        <v>12</v>
      </c>
      <c r="HH86" s="64">
        <v>16</v>
      </c>
      <c r="HI86" s="68">
        <v>12</v>
      </c>
      <c r="HJ86" s="68">
        <v>16</v>
      </c>
      <c r="HK86" s="68">
        <v>20</v>
      </c>
      <c r="HL86" s="68">
        <v>24</v>
      </c>
      <c r="HM86" s="68">
        <v>16</v>
      </c>
      <c r="HN86" s="68">
        <v>20</v>
      </c>
      <c r="HO86" s="68">
        <v>24</v>
      </c>
      <c r="HP86" s="68">
        <v>28</v>
      </c>
      <c r="HS86" s="68" t="s">
        <v>240</v>
      </c>
      <c r="HT86" s="68">
        <v>0</v>
      </c>
      <c r="HU86" s="68">
        <v>4</v>
      </c>
      <c r="HV86" s="68">
        <v>0</v>
      </c>
      <c r="HW86" s="68">
        <v>4</v>
      </c>
      <c r="HX86" s="68">
        <v>8</v>
      </c>
      <c r="HY86" s="68">
        <v>0</v>
      </c>
      <c r="HZ86" s="68">
        <v>4</v>
      </c>
      <c r="IA86" s="68">
        <v>8</v>
      </c>
      <c r="IB86" s="68">
        <v>4</v>
      </c>
      <c r="IC86" s="68">
        <v>8</v>
      </c>
      <c r="ID86" s="68">
        <v>12</v>
      </c>
      <c r="IE86" s="68">
        <v>16</v>
      </c>
      <c r="IF86" s="68">
        <v>8</v>
      </c>
      <c r="IG86" s="68">
        <v>16</v>
      </c>
      <c r="IH86" s="68">
        <v>20</v>
      </c>
      <c r="II86" s="68">
        <v>12</v>
      </c>
      <c r="IJ86" s="68">
        <v>16</v>
      </c>
      <c r="IK86" s="68">
        <v>20</v>
      </c>
      <c r="IL86" s="68">
        <v>16</v>
      </c>
      <c r="IM86" s="68">
        <v>20</v>
      </c>
      <c r="IN86" s="68">
        <v>24</v>
      </c>
      <c r="IO86" s="68">
        <v>28</v>
      </c>
      <c r="IP86" s="68">
        <v>20</v>
      </c>
      <c r="IQ86" s="68">
        <v>28</v>
      </c>
      <c r="IT86" s="71"/>
    </row>
    <row r="87" spans="1:254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371</v>
      </c>
      <c r="M87" s="11">
        <f>INDEX(cenník!$C$2:$I$568,MATCH($L87,cenník!$B$2:$B$557,0),MATCH(M$2,cenník!$C$1:$I$1,0))</f>
        <v>6510443</v>
      </c>
      <c r="N87" s="11" t="str">
        <f>INDEX(cenník!$C$2:$I$568,MATCH($L87,cenník!$B$2:$B$557,0),MATCH(N$2,cenník!$C$1:$I$1,0))</f>
        <v>100ks</v>
      </c>
      <c r="O87" s="11">
        <f>O88</f>
        <v>0</v>
      </c>
      <c r="P87" s="36">
        <f>INDEX(cenník!$C$2:$I$568,MATCH($L87,cenník!$B$2:$B$557,0),MATCH(P$2,cenník!$C$1:$I$1,0))</f>
        <v>15.05</v>
      </c>
      <c r="Q87" s="36">
        <f t="shared" ref="Q87" si="243">O87*P87</f>
        <v>0</v>
      </c>
      <c r="R87" s="37">
        <f t="shared" si="204"/>
        <v>0</v>
      </c>
      <c r="S87" s="36">
        <f t="shared" si="205"/>
        <v>15.05</v>
      </c>
      <c r="T87" s="36">
        <f t="shared" ref="T87" si="244">O87*S87</f>
        <v>0</v>
      </c>
      <c r="U87" s="36">
        <f>INDEX(cenník!$C$2:$I$568,MATCH($L87,cenník!$B$2:$B$557,0),MATCH(U$2,cenník!$C$1:$I$1,0))*O87</f>
        <v>0</v>
      </c>
      <c r="V87" s="85"/>
      <c r="W87" s="85"/>
      <c r="X87" s="85"/>
      <c r="Y87" s="85"/>
      <c r="Z87" s="64"/>
      <c r="AA87" s="64"/>
      <c r="AB87" s="64"/>
      <c r="AC87" s="64"/>
      <c r="AD87" s="64"/>
      <c r="AE87" s="64"/>
      <c r="AF87" s="64"/>
      <c r="AG87" s="64"/>
      <c r="AH87" s="64"/>
      <c r="AI87" s="64">
        <f>((AI86/2)*AJ86)+(((AI86/2)-1)*20)+100</f>
        <v>29330</v>
      </c>
      <c r="AJ87" s="64" t="s">
        <v>91</v>
      </c>
      <c r="AK87" s="64" t="s">
        <v>89</v>
      </c>
      <c r="AL87" s="64" t="s">
        <v>88</v>
      </c>
      <c r="AM87" s="64"/>
      <c r="AN87" s="64" t="s">
        <v>90</v>
      </c>
      <c r="AO87" s="64"/>
      <c r="AP87" s="64" t="s">
        <v>58</v>
      </c>
      <c r="AQ87" s="64" t="s">
        <v>295</v>
      </c>
      <c r="AR87" s="64" t="s">
        <v>294</v>
      </c>
      <c r="AS87" s="64" t="s">
        <v>292</v>
      </c>
      <c r="AT87" s="64" t="s">
        <v>292</v>
      </c>
      <c r="AU87" s="64"/>
      <c r="BA87" s="64"/>
      <c r="BB87" s="64"/>
      <c r="BC87" s="64"/>
      <c r="BD87" s="64"/>
      <c r="BE87" s="64"/>
      <c r="BF87" s="64"/>
      <c r="BG87" s="64"/>
      <c r="BH87" s="64" t="s">
        <v>16</v>
      </c>
      <c r="BI87" s="64">
        <v>0</v>
      </c>
      <c r="BJ87" s="64">
        <v>4</v>
      </c>
      <c r="BK87" s="64">
        <v>0</v>
      </c>
      <c r="BL87" s="64">
        <v>0</v>
      </c>
      <c r="BM87" s="64">
        <v>0</v>
      </c>
      <c r="BN87" s="64">
        <v>4</v>
      </c>
      <c r="BO87" s="64">
        <v>0</v>
      </c>
      <c r="BP87" s="64">
        <v>4</v>
      </c>
      <c r="BQ87" s="64">
        <v>0</v>
      </c>
      <c r="BR87" s="64">
        <v>4</v>
      </c>
      <c r="BS87" s="64">
        <v>0</v>
      </c>
      <c r="BT87" s="64">
        <v>4</v>
      </c>
      <c r="BU87" s="64">
        <v>0</v>
      </c>
      <c r="BV87" s="64">
        <v>0</v>
      </c>
      <c r="BW87" s="64">
        <v>4</v>
      </c>
      <c r="BX87" s="64">
        <v>0</v>
      </c>
      <c r="BY87" s="64">
        <v>4</v>
      </c>
      <c r="BZ87" s="64">
        <v>0</v>
      </c>
      <c r="CA87" s="64">
        <v>4</v>
      </c>
      <c r="CB87" s="64">
        <v>0</v>
      </c>
      <c r="CC87" s="64">
        <v>4</v>
      </c>
      <c r="CD87" s="64">
        <v>0</v>
      </c>
      <c r="CE87" s="64">
        <v>4</v>
      </c>
      <c r="CF87" s="64">
        <v>0</v>
      </c>
      <c r="CG87" s="64"/>
      <c r="CH87" s="64"/>
      <c r="CI87" s="64"/>
      <c r="CJ87" s="64"/>
      <c r="CK87" s="64"/>
      <c r="CL87" s="64"/>
      <c r="CM87" s="64"/>
      <c r="CN87" s="64" t="s">
        <v>16</v>
      </c>
      <c r="CO87" s="64">
        <v>0</v>
      </c>
      <c r="CP87" s="64">
        <v>0</v>
      </c>
      <c r="CQ87" s="64">
        <v>0</v>
      </c>
      <c r="CR87" s="64">
        <v>0</v>
      </c>
      <c r="CS87" s="64">
        <v>4</v>
      </c>
      <c r="CT87" s="64">
        <v>0</v>
      </c>
      <c r="CU87" s="64">
        <v>4</v>
      </c>
      <c r="CV87" s="64">
        <v>0</v>
      </c>
      <c r="CW87" s="64">
        <v>4</v>
      </c>
      <c r="CX87" s="64">
        <v>0</v>
      </c>
      <c r="CY87" s="64">
        <v>4</v>
      </c>
      <c r="CZ87" s="64">
        <v>0</v>
      </c>
      <c r="DA87" s="64">
        <v>4</v>
      </c>
      <c r="DB87" s="64">
        <v>0</v>
      </c>
      <c r="DC87" s="64">
        <v>4</v>
      </c>
      <c r="DD87" s="64">
        <v>0</v>
      </c>
      <c r="DE87" s="64">
        <v>4</v>
      </c>
      <c r="DF87" s="64">
        <v>0</v>
      </c>
      <c r="DG87" s="64">
        <v>4</v>
      </c>
      <c r="DH87" s="64">
        <v>0</v>
      </c>
      <c r="DI87" s="64">
        <v>4</v>
      </c>
      <c r="DJ87" s="64">
        <v>0</v>
      </c>
      <c r="DK87" s="64">
        <v>4</v>
      </c>
      <c r="DL87" s="64">
        <v>0</v>
      </c>
      <c r="DM87" s="64"/>
      <c r="DN87" s="64"/>
      <c r="DO87" s="64"/>
      <c r="DP87" s="64"/>
      <c r="DQ87" s="80"/>
      <c r="DR87" s="80">
        <v>12</v>
      </c>
      <c r="DS87" s="80"/>
      <c r="DT87" s="64"/>
      <c r="DU87" s="64"/>
      <c r="DV87" s="64"/>
      <c r="DW87" s="64"/>
      <c r="DX87" s="64"/>
      <c r="DY87" s="64"/>
      <c r="DZ87" s="64"/>
      <c r="EA87" s="64"/>
      <c r="EB87" s="64"/>
      <c r="EC87" s="64"/>
      <c r="ED87" s="64"/>
      <c r="EE87" s="64"/>
      <c r="EF87" s="64"/>
      <c r="EG87" s="64"/>
      <c r="EH87" s="64"/>
      <c r="EI87" s="64"/>
      <c r="EJ87" s="69"/>
      <c r="EK87" s="64" t="s">
        <v>241</v>
      </c>
      <c r="EL87" s="64">
        <v>0</v>
      </c>
      <c r="EM87" s="64">
        <f>BJ87+(BJ85*2)</f>
        <v>4</v>
      </c>
      <c r="EN87" s="64">
        <f>BK87+(BK85*2)</f>
        <v>0</v>
      </c>
      <c r="EO87" s="64">
        <v>0</v>
      </c>
      <c r="EP87" s="64">
        <f t="shared" ref="EP87:FI87" si="245">BM87+(BM85*2)</f>
        <v>8</v>
      </c>
      <c r="EQ87" s="64">
        <f t="shared" si="245"/>
        <v>4</v>
      </c>
      <c r="ER87" s="64">
        <f t="shared" si="245"/>
        <v>0</v>
      </c>
      <c r="ES87" s="64">
        <f t="shared" si="245"/>
        <v>12</v>
      </c>
      <c r="ET87" s="64">
        <f t="shared" si="245"/>
        <v>8</v>
      </c>
      <c r="EU87" s="64">
        <f t="shared" si="245"/>
        <v>4</v>
      </c>
      <c r="EV87" s="64">
        <f t="shared" si="245"/>
        <v>16</v>
      </c>
      <c r="EW87" s="64">
        <f t="shared" si="245"/>
        <v>12</v>
      </c>
      <c r="EX87" s="64">
        <f t="shared" si="245"/>
        <v>8</v>
      </c>
      <c r="EY87" s="64">
        <f t="shared" si="245"/>
        <v>8</v>
      </c>
      <c r="EZ87" s="64">
        <f t="shared" si="245"/>
        <v>20</v>
      </c>
      <c r="FA87" s="64">
        <f t="shared" si="245"/>
        <v>16</v>
      </c>
      <c r="FB87" s="64">
        <f t="shared" si="245"/>
        <v>12</v>
      </c>
      <c r="FC87" s="64">
        <f t="shared" si="245"/>
        <v>24</v>
      </c>
      <c r="FD87" s="64">
        <f t="shared" si="245"/>
        <v>20</v>
      </c>
      <c r="FE87" s="64">
        <f t="shared" si="245"/>
        <v>16</v>
      </c>
      <c r="FF87" s="64">
        <f t="shared" si="245"/>
        <v>28</v>
      </c>
      <c r="FG87" s="64">
        <f t="shared" si="245"/>
        <v>24</v>
      </c>
      <c r="FH87" s="64">
        <f t="shared" si="245"/>
        <v>20</v>
      </c>
      <c r="FI87" s="64">
        <f t="shared" si="245"/>
        <v>32</v>
      </c>
      <c r="FJ87" s="64"/>
      <c r="FK87" s="64" t="s">
        <v>241</v>
      </c>
      <c r="FL87" s="64">
        <v>0</v>
      </c>
      <c r="FM87" s="64">
        <f>CP87+(CP85*2)</f>
        <v>0</v>
      </c>
      <c r="FN87" s="64">
        <v>0</v>
      </c>
      <c r="FO87" s="64">
        <v>0</v>
      </c>
      <c r="FP87" s="64">
        <f t="shared" ref="FP87:GI87" si="246">CS87+(CS85*2)</f>
        <v>4</v>
      </c>
      <c r="FQ87" s="64">
        <f t="shared" si="246"/>
        <v>0</v>
      </c>
      <c r="FR87" s="64">
        <f t="shared" si="246"/>
        <v>12</v>
      </c>
      <c r="FS87" s="64">
        <f t="shared" si="246"/>
        <v>8</v>
      </c>
      <c r="FT87" s="64">
        <f t="shared" si="246"/>
        <v>4</v>
      </c>
      <c r="FU87" s="64">
        <f t="shared" si="246"/>
        <v>16</v>
      </c>
      <c r="FV87" s="64">
        <f t="shared" si="246"/>
        <v>12</v>
      </c>
      <c r="FW87" s="64">
        <f t="shared" si="246"/>
        <v>8</v>
      </c>
      <c r="FX87" s="64">
        <f t="shared" si="246"/>
        <v>20</v>
      </c>
      <c r="FY87" s="64">
        <f t="shared" si="246"/>
        <v>16</v>
      </c>
      <c r="FZ87" s="64">
        <f t="shared" si="246"/>
        <v>12</v>
      </c>
      <c r="GA87" s="64">
        <f t="shared" si="246"/>
        <v>24</v>
      </c>
      <c r="GB87" s="64">
        <f t="shared" si="246"/>
        <v>20</v>
      </c>
      <c r="GC87" s="64">
        <f t="shared" si="246"/>
        <v>16</v>
      </c>
      <c r="GD87" s="64">
        <f t="shared" si="246"/>
        <v>28</v>
      </c>
      <c r="GE87" s="64">
        <f t="shared" si="246"/>
        <v>24</v>
      </c>
      <c r="GF87" s="64">
        <f t="shared" si="246"/>
        <v>20</v>
      </c>
      <c r="GG87" s="64">
        <f t="shared" si="246"/>
        <v>32</v>
      </c>
      <c r="GH87" s="64">
        <f t="shared" si="246"/>
        <v>28</v>
      </c>
      <c r="GI87" s="64">
        <f t="shared" si="246"/>
        <v>24</v>
      </c>
      <c r="GJ87" s="64"/>
      <c r="GK87" s="64"/>
      <c r="GL87" s="64"/>
      <c r="GM87" s="64"/>
      <c r="GN87" s="64"/>
      <c r="GO87" s="64"/>
      <c r="GP87" s="64"/>
      <c r="GQ87" s="64"/>
      <c r="GR87" s="64" t="s">
        <v>241</v>
      </c>
      <c r="GS87" s="64">
        <v>0</v>
      </c>
      <c r="GT87" s="64">
        <v>0</v>
      </c>
      <c r="GU87" s="64">
        <v>0</v>
      </c>
      <c r="GV87" s="64">
        <v>0</v>
      </c>
      <c r="GW87" s="64">
        <v>4</v>
      </c>
      <c r="GX87" s="64">
        <v>0</v>
      </c>
      <c r="GY87" s="64">
        <v>12</v>
      </c>
      <c r="GZ87" s="64">
        <v>4</v>
      </c>
      <c r="HA87" s="64">
        <v>0</v>
      </c>
      <c r="HB87" s="64">
        <v>12</v>
      </c>
      <c r="HC87" s="64">
        <v>8</v>
      </c>
      <c r="HD87" s="64">
        <v>4</v>
      </c>
      <c r="HE87" s="64">
        <v>0</v>
      </c>
      <c r="HF87" s="64">
        <v>12</v>
      </c>
      <c r="HG87" s="64">
        <v>8</v>
      </c>
      <c r="HH87" s="64">
        <v>4</v>
      </c>
      <c r="HI87" s="68">
        <v>12</v>
      </c>
      <c r="HJ87" s="68">
        <v>8</v>
      </c>
      <c r="HK87" s="68">
        <v>4</v>
      </c>
      <c r="HL87" s="68">
        <v>0</v>
      </c>
      <c r="HM87" s="68">
        <v>12</v>
      </c>
      <c r="HN87" s="68">
        <v>8</v>
      </c>
      <c r="HO87" s="68">
        <v>4</v>
      </c>
      <c r="HP87" s="68">
        <v>0</v>
      </c>
      <c r="HS87" s="68" t="s">
        <v>241</v>
      </c>
      <c r="HT87" s="68">
        <v>0</v>
      </c>
      <c r="HU87" s="68">
        <v>0</v>
      </c>
      <c r="HV87" s="68">
        <v>0</v>
      </c>
      <c r="HW87" s="68">
        <v>4</v>
      </c>
      <c r="HX87" s="68">
        <v>0</v>
      </c>
      <c r="HY87" s="68">
        <v>12</v>
      </c>
      <c r="HZ87" s="68">
        <v>8</v>
      </c>
      <c r="IA87" s="68">
        <v>4</v>
      </c>
      <c r="IB87" s="68">
        <v>12</v>
      </c>
      <c r="IC87" s="68">
        <v>8</v>
      </c>
      <c r="ID87" s="68">
        <v>4</v>
      </c>
      <c r="IE87" s="68">
        <v>0</v>
      </c>
      <c r="IF87" s="68">
        <v>12</v>
      </c>
      <c r="IG87" s="68">
        <v>4</v>
      </c>
      <c r="IH87" s="68">
        <v>0</v>
      </c>
      <c r="II87" s="68">
        <v>12</v>
      </c>
      <c r="IJ87" s="68">
        <v>8</v>
      </c>
      <c r="IK87" s="68">
        <v>4</v>
      </c>
      <c r="IL87" s="68">
        <v>12</v>
      </c>
      <c r="IM87" s="68">
        <v>8</v>
      </c>
      <c r="IN87" s="68">
        <v>4</v>
      </c>
      <c r="IO87" s="68">
        <v>0</v>
      </c>
      <c r="IP87" s="68">
        <v>12</v>
      </c>
      <c r="IQ87" s="68">
        <v>4</v>
      </c>
      <c r="IT87" s="71"/>
    </row>
    <row r="88" spans="1:254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150</v>
      </c>
      <c r="M88" s="11">
        <f>INDEX(cenník!$C$2:$I$568,MATCH($L88,cenník!$B$2:$B$557,0),MATCH(M$2,cenník!$C$1:$I$1,0))</f>
        <v>651643</v>
      </c>
      <c r="N88" s="11" t="str">
        <f>INDEX(cenník!$C$2:$I$568,MATCH($L88,cenník!$B$2:$B$557,0),MATCH(N$2,cenník!$C$1:$I$1,0))</f>
        <v>100ks</v>
      </c>
      <c r="O88" s="11">
        <f>ROUNDUP(((O69*17)+(O76*2)+(O94*2)+(O81*4)+(O90*2)+E72+(O68*9)+(O72*12)+(O95*2))/100,0)</f>
        <v>0</v>
      </c>
      <c r="P88" s="36">
        <f>INDEX(cenník!$C$2:$I$568,MATCH($L88,cenník!$B$2:$B$557,0),MATCH(P$2,cenník!$C$1:$I$1,0))</f>
        <v>49.87</v>
      </c>
      <c r="Q88" s="36">
        <f t="shared" si="239"/>
        <v>0</v>
      </c>
      <c r="R88" s="37">
        <f t="shared" si="204"/>
        <v>0</v>
      </c>
      <c r="S88" s="36">
        <f t="shared" si="205"/>
        <v>49.87</v>
      </c>
      <c r="T88" s="36">
        <f t="shared" si="240"/>
        <v>0</v>
      </c>
      <c r="U88" s="36">
        <f>INDEX(cenník!$C$2:$I$568,MATCH($L88,cenník!$B$2:$B$557,0),MATCH(U$2,cenník!$C$1:$I$1,0))*O88</f>
        <v>0</v>
      </c>
      <c r="V88" s="85"/>
      <c r="AC88" s="64"/>
      <c r="AD88" s="64"/>
      <c r="AE88" s="64"/>
      <c r="AF88" s="64"/>
      <c r="AG88" s="64"/>
      <c r="AH88" s="64" t="s">
        <v>104</v>
      </c>
      <c r="AI88" s="64">
        <v>6600</v>
      </c>
      <c r="AJ88" s="64">
        <v>4</v>
      </c>
      <c r="AK88" s="64">
        <f>AI88*AJ88</f>
        <v>26400</v>
      </c>
      <c r="AL88" s="64">
        <v>191.1</v>
      </c>
      <c r="AM88" s="64">
        <f>AJ88*AL88</f>
        <v>764.4</v>
      </c>
      <c r="AN88" s="64">
        <f>AJ88*4</f>
        <v>16</v>
      </c>
      <c r="AO88" s="64"/>
      <c r="AP88" s="64" t="s">
        <v>71</v>
      </c>
      <c r="AQ88" s="64" t="s">
        <v>295</v>
      </c>
      <c r="AR88" s="64" t="s">
        <v>294</v>
      </c>
      <c r="AS88" s="64" t="s">
        <v>292</v>
      </c>
      <c r="AT88" s="64" t="s">
        <v>292</v>
      </c>
      <c r="AU88" s="64"/>
      <c r="BA88" s="64"/>
      <c r="BB88" s="64"/>
      <c r="BC88" s="64"/>
      <c r="BD88" s="64"/>
      <c r="BE88" s="64"/>
      <c r="BF88" s="64"/>
      <c r="BG88" s="64"/>
      <c r="BH88" s="64" t="s">
        <v>17</v>
      </c>
      <c r="BI88" s="64">
        <v>0</v>
      </c>
      <c r="BJ88" s="64">
        <v>0</v>
      </c>
      <c r="BK88" s="64">
        <v>0</v>
      </c>
      <c r="BL88" s="64">
        <v>0</v>
      </c>
      <c r="BM88" s="64">
        <v>0</v>
      </c>
      <c r="BN88" s="64">
        <v>4</v>
      </c>
      <c r="BO88" s="64">
        <v>4</v>
      </c>
      <c r="BP88" s="64">
        <v>4</v>
      </c>
      <c r="BQ88" s="64">
        <v>4</v>
      </c>
      <c r="BR88" s="64">
        <v>8</v>
      </c>
      <c r="BS88" s="64">
        <v>4</v>
      </c>
      <c r="BT88" s="64">
        <v>8</v>
      </c>
      <c r="BU88" s="64">
        <v>8</v>
      </c>
      <c r="BV88" s="64">
        <v>8</v>
      </c>
      <c r="BW88" s="64">
        <v>8</v>
      </c>
      <c r="BX88" s="64">
        <v>8</v>
      </c>
      <c r="BY88" s="64">
        <v>12</v>
      </c>
      <c r="BZ88" s="64">
        <v>8</v>
      </c>
      <c r="CA88" s="64">
        <v>12</v>
      </c>
      <c r="CB88" s="64">
        <v>12</v>
      </c>
      <c r="CC88" s="64">
        <v>12</v>
      </c>
      <c r="CD88" s="64">
        <v>12</v>
      </c>
      <c r="CE88" s="64">
        <v>16</v>
      </c>
      <c r="CF88" s="64">
        <v>12</v>
      </c>
      <c r="CG88" s="64"/>
      <c r="CH88" s="64"/>
      <c r="CI88" s="64"/>
      <c r="CJ88" s="64"/>
      <c r="CK88" s="64"/>
      <c r="CL88" s="64"/>
      <c r="CM88" s="64"/>
      <c r="CN88" s="64" t="s">
        <v>17</v>
      </c>
      <c r="CO88" s="64">
        <v>0</v>
      </c>
      <c r="CP88" s="64">
        <v>0</v>
      </c>
      <c r="CQ88" s="64">
        <v>0</v>
      </c>
      <c r="CR88" s="64">
        <v>0</v>
      </c>
      <c r="CS88" s="64">
        <v>4</v>
      </c>
      <c r="CT88" s="64">
        <v>4</v>
      </c>
      <c r="CU88" s="64">
        <v>4</v>
      </c>
      <c r="CV88" s="64">
        <v>4</v>
      </c>
      <c r="CW88" s="64">
        <v>8</v>
      </c>
      <c r="CX88" s="64">
        <v>4</v>
      </c>
      <c r="CY88" s="64">
        <v>8</v>
      </c>
      <c r="CZ88" s="64">
        <v>8</v>
      </c>
      <c r="DA88" s="64">
        <v>8</v>
      </c>
      <c r="DB88" s="64">
        <v>8</v>
      </c>
      <c r="DC88" s="64">
        <v>12</v>
      </c>
      <c r="DD88" s="64">
        <v>8</v>
      </c>
      <c r="DE88" s="64">
        <v>12</v>
      </c>
      <c r="DF88" s="64">
        <v>12</v>
      </c>
      <c r="DG88" s="64">
        <v>12</v>
      </c>
      <c r="DH88" s="64">
        <v>12</v>
      </c>
      <c r="DI88" s="64">
        <v>16</v>
      </c>
      <c r="DJ88" s="64">
        <v>12</v>
      </c>
      <c r="DK88" s="64">
        <v>16</v>
      </c>
      <c r="DL88" s="64">
        <v>16</v>
      </c>
      <c r="DM88" s="64"/>
      <c r="DN88" s="64"/>
      <c r="DO88" s="64"/>
      <c r="DP88" s="64"/>
      <c r="DQ88" s="80"/>
      <c r="DR88" s="80">
        <v>14</v>
      </c>
      <c r="DS88" s="80"/>
      <c r="DT88" s="64"/>
      <c r="DU88" s="64"/>
      <c r="DV88" s="64"/>
      <c r="DW88" s="64"/>
      <c r="DX88" s="64"/>
      <c r="DY88" s="64"/>
      <c r="DZ88" s="64"/>
      <c r="EA88" s="64"/>
      <c r="EB88" s="64"/>
      <c r="EC88" s="64"/>
      <c r="ED88" s="64"/>
      <c r="EE88" s="64"/>
      <c r="EF88" s="64"/>
      <c r="EG88" s="64"/>
      <c r="EH88" s="64"/>
      <c r="EI88" s="64"/>
      <c r="EJ88" s="69"/>
      <c r="EK88" s="72" t="s">
        <v>364</v>
      </c>
      <c r="EL88" s="64">
        <v>0</v>
      </c>
      <c r="EM88" s="64">
        <f>((SUM(EM86:EM87)/4)-1)*4</f>
        <v>0</v>
      </c>
      <c r="EN88" s="64">
        <f t="shared" ref="EN88:EX88" si="247">((SUM(EN86:EN87)/4)-1)*4</f>
        <v>0</v>
      </c>
      <c r="EO88" s="64">
        <v>0</v>
      </c>
      <c r="EP88" s="64">
        <f t="shared" si="247"/>
        <v>4</v>
      </c>
      <c r="EQ88" s="64">
        <f t="shared" si="247"/>
        <v>4</v>
      </c>
      <c r="ER88" s="64">
        <f t="shared" si="247"/>
        <v>4</v>
      </c>
      <c r="ES88" s="64">
        <f t="shared" si="247"/>
        <v>8</v>
      </c>
      <c r="ET88" s="64">
        <f t="shared" si="247"/>
        <v>8</v>
      </c>
      <c r="EU88" s="64">
        <f t="shared" si="247"/>
        <v>8</v>
      </c>
      <c r="EV88" s="64">
        <f t="shared" si="247"/>
        <v>12</v>
      </c>
      <c r="EW88" s="64">
        <f t="shared" si="247"/>
        <v>12</v>
      </c>
      <c r="EX88" s="64">
        <f t="shared" si="247"/>
        <v>12</v>
      </c>
      <c r="EY88" s="64">
        <f>((SUM(EY86:EY87)/4)-1)*4</f>
        <v>12</v>
      </c>
      <c r="EZ88" s="64">
        <f t="shared" ref="EZ88:FI88" si="248">((SUM(EZ86:EZ87)/4)-1)*4</f>
        <v>16</v>
      </c>
      <c r="FA88" s="64">
        <f t="shared" si="248"/>
        <v>16</v>
      </c>
      <c r="FB88" s="64">
        <f t="shared" si="248"/>
        <v>16</v>
      </c>
      <c r="FC88" s="64">
        <f t="shared" si="248"/>
        <v>20</v>
      </c>
      <c r="FD88" s="64">
        <f t="shared" si="248"/>
        <v>20</v>
      </c>
      <c r="FE88" s="64">
        <f t="shared" si="248"/>
        <v>20</v>
      </c>
      <c r="FF88" s="64">
        <f t="shared" si="248"/>
        <v>24</v>
      </c>
      <c r="FG88" s="64">
        <f t="shared" si="248"/>
        <v>24</v>
      </c>
      <c r="FH88" s="64">
        <f t="shared" si="248"/>
        <v>24</v>
      </c>
      <c r="FI88" s="64">
        <f t="shared" si="248"/>
        <v>28</v>
      </c>
      <c r="FJ88" s="64"/>
      <c r="FK88" s="64" t="s">
        <v>242</v>
      </c>
      <c r="FL88" s="64">
        <v>0</v>
      </c>
      <c r="FM88" s="64">
        <f>((SUM(FM86:FM87)/4)-1)*4</f>
        <v>0</v>
      </c>
      <c r="FN88" s="64">
        <v>0</v>
      </c>
      <c r="FO88" s="64">
        <v>0</v>
      </c>
      <c r="FP88" s="64">
        <f t="shared" ref="FP88:FX88" si="249">((SUM(FP86:FP87)/4)-1)*4</f>
        <v>4</v>
      </c>
      <c r="FQ88" s="64">
        <f t="shared" si="249"/>
        <v>4</v>
      </c>
      <c r="FR88" s="64">
        <f t="shared" si="249"/>
        <v>8</v>
      </c>
      <c r="FS88" s="64">
        <f t="shared" si="249"/>
        <v>8</v>
      </c>
      <c r="FT88" s="64">
        <f t="shared" si="249"/>
        <v>8</v>
      </c>
      <c r="FU88" s="64">
        <f t="shared" si="249"/>
        <v>12</v>
      </c>
      <c r="FV88" s="64">
        <f t="shared" si="249"/>
        <v>12</v>
      </c>
      <c r="FW88" s="64">
        <f t="shared" si="249"/>
        <v>12</v>
      </c>
      <c r="FX88" s="64">
        <f t="shared" si="249"/>
        <v>16</v>
      </c>
      <c r="FY88" s="64">
        <f>((SUM(FY86:FY87)/4)-1)*4</f>
        <v>16</v>
      </c>
      <c r="FZ88" s="64">
        <f t="shared" ref="FZ88:GI88" si="250">((SUM(FZ86:FZ87)/4)-1)*4</f>
        <v>16</v>
      </c>
      <c r="GA88" s="64">
        <f t="shared" si="250"/>
        <v>20</v>
      </c>
      <c r="GB88" s="64">
        <f t="shared" si="250"/>
        <v>20</v>
      </c>
      <c r="GC88" s="64">
        <f t="shared" si="250"/>
        <v>20</v>
      </c>
      <c r="GD88" s="64">
        <f t="shared" si="250"/>
        <v>24</v>
      </c>
      <c r="GE88" s="64">
        <f t="shared" si="250"/>
        <v>24</v>
      </c>
      <c r="GF88" s="64">
        <f t="shared" si="250"/>
        <v>24</v>
      </c>
      <c r="GG88" s="64">
        <f t="shared" si="250"/>
        <v>28</v>
      </c>
      <c r="GH88" s="64">
        <f t="shared" si="250"/>
        <v>28</v>
      </c>
      <c r="GI88" s="64">
        <f t="shared" si="250"/>
        <v>28</v>
      </c>
      <c r="GJ88" s="64"/>
      <c r="GK88" s="64"/>
      <c r="GL88" s="64"/>
      <c r="GM88" s="64"/>
      <c r="GN88" s="64"/>
      <c r="GO88" s="64"/>
      <c r="GP88" s="64"/>
      <c r="GQ88" s="64"/>
      <c r="GR88" s="72" t="s">
        <v>364</v>
      </c>
      <c r="GS88" s="64">
        <v>0</v>
      </c>
      <c r="GT88" s="64">
        <v>0</v>
      </c>
      <c r="GU88" s="64">
        <v>0</v>
      </c>
      <c r="GV88" s="64">
        <v>0</v>
      </c>
      <c r="GW88" s="64">
        <v>4</v>
      </c>
      <c r="GX88" s="64">
        <v>4</v>
      </c>
      <c r="GY88" s="64">
        <v>8</v>
      </c>
      <c r="GZ88" s="64">
        <v>8</v>
      </c>
      <c r="HA88" s="64">
        <v>8</v>
      </c>
      <c r="HB88" s="64">
        <v>12</v>
      </c>
      <c r="HC88" s="64">
        <v>12</v>
      </c>
      <c r="HD88" s="64">
        <v>12</v>
      </c>
      <c r="HE88" s="64">
        <v>12</v>
      </c>
      <c r="HF88" s="64">
        <v>16</v>
      </c>
      <c r="HG88" s="64">
        <v>16</v>
      </c>
      <c r="HH88" s="64">
        <v>16</v>
      </c>
      <c r="HI88" s="68">
        <v>20</v>
      </c>
      <c r="HJ88" s="68">
        <v>20</v>
      </c>
      <c r="HK88" s="68">
        <v>20</v>
      </c>
      <c r="HL88" s="68">
        <v>20</v>
      </c>
      <c r="HM88" s="68">
        <v>24</v>
      </c>
      <c r="HN88" s="68">
        <v>24</v>
      </c>
      <c r="HO88" s="68">
        <v>24</v>
      </c>
      <c r="HP88" s="68">
        <v>24</v>
      </c>
      <c r="HS88" s="68" t="s">
        <v>242</v>
      </c>
      <c r="HT88" s="68">
        <v>0</v>
      </c>
      <c r="HU88" s="68">
        <v>0</v>
      </c>
      <c r="HV88" s="68">
        <v>0</v>
      </c>
      <c r="HW88" s="68">
        <v>4</v>
      </c>
      <c r="HX88" s="68">
        <v>4</v>
      </c>
      <c r="HY88" s="68">
        <v>8</v>
      </c>
      <c r="HZ88" s="68">
        <v>8</v>
      </c>
      <c r="IA88" s="68">
        <v>8</v>
      </c>
      <c r="IB88" s="68">
        <v>12</v>
      </c>
      <c r="IC88" s="68">
        <v>12</v>
      </c>
      <c r="ID88" s="68">
        <v>12</v>
      </c>
      <c r="IE88" s="68">
        <v>12</v>
      </c>
      <c r="IF88" s="68">
        <v>16</v>
      </c>
      <c r="IG88" s="68">
        <v>16</v>
      </c>
      <c r="IH88" s="68">
        <v>16</v>
      </c>
      <c r="II88" s="68">
        <v>20</v>
      </c>
      <c r="IJ88" s="68">
        <v>20</v>
      </c>
      <c r="IK88" s="68">
        <v>20</v>
      </c>
      <c r="IL88" s="68">
        <v>24</v>
      </c>
      <c r="IM88" s="68">
        <v>24</v>
      </c>
      <c r="IN88" s="68">
        <v>24</v>
      </c>
      <c r="IO88" s="68">
        <v>24</v>
      </c>
      <c r="IP88" s="68">
        <v>28</v>
      </c>
      <c r="IQ88" s="68">
        <v>28</v>
      </c>
      <c r="IT88" s="71"/>
    </row>
    <row r="89" spans="1:254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65</v>
      </c>
      <c r="M89" s="11">
        <f>INDEX(cenník!$C$2:$I$568,MATCH($L89,cenník!$B$2:$B$557,0),MATCH(M$2,cenník!$C$1:$I$1,0))</f>
        <v>897303</v>
      </c>
      <c r="N89" s="11" t="str">
        <f>INDEX(cenník!$C$2:$I$568,MATCH($L89,cenník!$B$2:$B$557,0),MATCH(N$2,cenník!$C$1:$I$1,0))</f>
        <v>ks</v>
      </c>
      <c r="O89" s="11">
        <f>0.214285714285714*SUM(O82:O83)</f>
        <v>0</v>
      </c>
      <c r="P89" s="36">
        <f>INDEX(cenník!$C$2:$I$568,MATCH($L89,cenník!$B$2:$B$557,0),MATCH(P$2,cenník!$C$1:$I$1,0))</f>
        <v>0.83</v>
      </c>
      <c r="Q89" s="36">
        <f t="shared" si="239"/>
        <v>0</v>
      </c>
      <c r="R89" s="37">
        <f t="shared" si="204"/>
        <v>0</v>
      </c>
      <c r="S89" s="36">
        <f t="shared" si="205"/>
        <v>0.83</v>
      </c>
      <c r="T89" s="36">
        <f t="shared" si="240"/>
        <v>0</v>
      </c>
      <c r="U89" s="36">
        <f>INDEX(cenník!$C$2:$I$568,MATCH($L89,cenník!$B$2:$B$557,0),MATCH(U$2,cenník!$C$1:$I$1,0))*O89</f>
        <v>0</v>
      </c>
      <c r="V89" s="85"/>
      <c r="AC89" s="64"/>
      <c r="AD89" s="64"/>
      <c r="AE89" s="64"/>
      <c r="AF89" s="64"/>
      <c r="AG89" s="64"/>
      <c r="AH89" s="64" t="s">
        <v>103</v>
      </c>
      <c r="AI89" s="64">
        <v>4400</v>
      </c>
      <c r="AJ89" s="64">
        <v>0</v>
      </c>
      <c r="AK89" s="64">
        <f>AI89*AJ89</f>
        <v>0</v>
      </c>
      <c r="AL89" s="64">
        <v>127.4</v>
      </c>
      <c r="AM89" s="64">
        <f>AJ89*AL89</f>
        <v>0</v>
      </c>
      <c r="AN89" s="64">
        <f>AJ89*4</f>
        <v>0</v>
      </c>
      <c r="AO89" s="64"/>
      <c r="AP89" s="64" t="s">
        <v>72</v>
      </c>
      <c r="AQ89" s="64" t="s">
        <v>295</v>
      </c>
      <c r="AR89" s="64" t="s">
        <v>294</v>
      </c>
      <c r="AS89" s="64" t="s">
        <v>292</v>
      </c>
      <c r="AT89" s="64" t="s">
        <v>292</v>
      </c>
      <c r="AU89" s="64"/>
      <c r="BA89" s="64"/>
      <c r="BB89" s="64"/>
      <c r="BC89" s="64"/>
      <c r="BD89" s="64"/>
      <c r="BE89" s="64"/>
      <c r="BF89" s="64"/>
      <c r="BG89" s="64"/>
      <c r="BH89" s="64"/>
      <c r="BI89" s="64"/>
      <c r="BJ89" s="64"/>
      <c r="BK89" s="64"/>
      <c r="BL89" s="64"/>
      <c r="BM89" s="64"/>
      <c r="BN89" s="64"/>
      <c r="BO89" s="64"/>
      <c r="BP89" s="64"/>
      <c r="BQ89" s="64"/>
      <c r="BR89" s="64"/>
      <c r="BS89" s="64"/>
      <c r="BT89" s="64"/>
      <c r="BU89" s="64"/>
      <c r="BV89" s="64"/>
      <c r="BW89" s="64"/>
      <c r="BX89" s="64"/>
      <c r="BY89" s="64"/>
      <c r="BZ89" s="64"/>
      <c r="CA89" s="64"/>
      <c r="CB89" s="64"/>
      <c r="CC89" s="64"/>
      <c r="CD89" s="64"/>
      <c r="CE89" s="64"/>
      <c r="CF89" s="64"/>
      <c r="CG89" s="64"/>
      <c r="CH89" s="64"/>
      <c r="CI89" s="64"/>
      <c r="CJ89" s="64"/>
      <c r="CK89" s="64"/>
      <c r="CL89" s="64"/>
      <c r="CM89" s="64"/>
      <c r="CN89" s="64"/>
      <c r="CO89" s="64"/>
      <c r="CP89" s="64"/>
      <c r="CQ89" s="64"/>
      <c r="CR89" s="64"/>
      <c r="CS89" s="64"/>
      <c r="CT89" s="64"/>
      <c r="CU89" s="64"/>
      <c r="CV89" s="64"/>
      <c r="CW89" s="64"/>
      <c r="CX89" s="64"/>
      <c r="CY89" s="64"/>
      <c r="CZ89" s="64"/>
      <c r="DA89" s="64"/>
      <c r="DB89" s="64"/>
      <c r="DC89" s="64"/>
      <c r="DD89" s="64"/>
      <c r="DE89" s="64"/>
      <c r="DF89" s="64"/>
      <c r="DG89" s="64"/>
      <c r="DH89" s="64"/>
      <c r="DI89" s="64"/>
      <c r="DJ89" s="64"/>
      <c r="DK89" s="64"/>
      <c r="DL89" s="64"/>
      <c r="DM89" s="64"/>
      <c r="DN89" s="64"/>
      <c r="DO89" s="64"/>
      <c r="DP89" s="64"/>
      <c r="DQ89" s="80"/>
      <c r="DR89" s="80">
        <v>16</v>
      </c>
      <c r="DS89" s="80"/>
      <c r="DT89" s="64"/>
      <c r="DU89" s="64"/>
      <c r="DV89" s="64"/>
      <c r="DW89" s="64"/>
      <c r="DX89" s="64"/>
      <c r="DY89" s="64"/>
      <c r="DZ89" s="64"/>
      <c r="EA89" s="64"/>
      <c r="EB89" s="64"/>
      <c r="EC89" s="64"/>
      <c r="ED89" s="64"/>
      <c r="EE89" s="64"/>
      <c r="EF89" s="64"/>
      <c r="EG89" s="64"/>
      <c r="EH89" s="64"/>
      <c r="EI89" s="64"/>
      <c r="EJ89" s="69"/>
      <c r="EK89" s="64" t="s">
        <v>324</v>
      </c>
      <c r="EL89" s="64">
        <v>0</v>
      </c>
      <c r="EM89" s="64">
        <v>0</v>
      </c>
      <c r="EN89" s="64">
        <v>0</v>
      </c>
      <c r="EO89" s="64">
        <v>0</v>
      </c>
      <c r="EP89" s="64">
        <v>4</v>
      </c>
      <c r="EQ89" s="64">
        <v>4</v>
      </c>
      <c r="ER89" s="64">
        <v>4</v>
      </c>
      <c r="ES89" s="64">
        <v>8</v>
      </c>
      <c r="ET89" s="64">
        <v>8</v>
      </c>
      <c r="EU89" s="64">
        <v>8</v>
      </c>
      <c r="EV89" s="64">
        <v>12</v>
      </c>
      <c r="EW89" s="64">
        <v>12</v>
      </c>
      <c r="EX89" s="64">
        <v>12</v>
      </c>
      <c r="EY89" s="64">
        <v>12</v>
      </c>
      <c r="EZ89" s="64">
        <v>16</v>
      </c>
      <c r="FA89" s="64">
        <v>16</v>
      </c>
      <c r="FB89" s="64">
        <v>16</v>
      </c>
      <c r="FC89" s="64">
        <v>20</v>
      </c>
      <c r="FD89" s="64">
        <v>20</v>
      </c>
      <c r="FE89" s="64">
        <v>20</v>
      </c>
      <c r="FF89" s="64">
        <v>24</v>
      </c>
      <c r="FG89" s="64">
        <v>24</v>
      </c>
      <c r="FH89" s="64">
        <v>24</v>
      </c>
      <c r="FI89" s="64">
        <v>28</v>
      </c>
      <c r="FJ89" s="64"/>
      <c r="FK89" s="64" t="s">
        <v>324</v>
      </c>
      <c r="FL89" s="64">
        <v>0</v>
      </c>
      <c r="FM89" s="64">
        <v>0</v>
      </c>
      <c r="FN89" s="64">
        <v>0</v>
      </c>
      <c r="FO89" s="64">
        <v>0</v>
      </c>
      <c r="FP89" s="64">
        <v>4</v>
      </c>
      <c r="FQ89" s="64">
        <v>4</v>
      </c>
      <c r="FR89" s="64">
        <v>8</v>
      </c>
      <c r="FS89" s="64">
        <v>8</v>
      </c>
      <c r="FT89" s="64">
        <v>8</v>
      </c>
      <c r="FU89" s="64">
        <v>12</v>
      </c>
      <c r="FV89" s="64">
        <v>12</v>
      </c>
      <c r="FW89" s="64">
        <v>12</v>
      </c>
      <c r="FX89" s="64">
        <v>16</v>
      </c>
      <c r="FY89" s="64">
        <v>16</v>
      </c>
      <c r="FZ89" s="64">
        <v>16</v>
      </c>
      <c r="GA89" s="64">
        <v>20</v>
      </c>
      <c r="GB89" s="64">
        <v>20</v>
      </c>
      <c r="GC89" s="64">
        <v>20</v>
      </c>
      <c r="GD89" s="64">
        <v>24</v>
      </c>
      <c r="GE89" s="64">
        <v>24</v>
      </c>
      <c r="GF89" s="64">
        <v>24</v>
      </c>
      <c r="GG89" s="64">
        <v>28</v>
      </c>
      <c r="GH89" s="64">
        <v>28</v>
      </c>
      <c r="GI89" s="64">
        <v>28</v>
      </c>
      <c r="GJ89" s="64"/>
      <c r="GK89" s="64"/>
      <c r="GL89" s="64"/>
      <c r="GM89" s="64"/>
      <c r="GN89" s="64"/>
      <c r="GO89" s="64"/>
      <c r="GP89" s="64"/>
      <c r="GQ89" s="64"/>
      <c r="GR89" s="64" t="s">
        <v>324</v>
      </c>
      <c r="GS89" s="64">
        <v>0</v>
      </c>
      <c r="GT89" s="64">
        <v>0</v>
      </c>
      <c r="GU89" s="64">
        <v>0</v>
      </c>
      <c r="GV89" s="64">
        <v>0</v>
      </c>
      <c r="GW89" s="64">
        <v>4</v>
      </c>
      <c r="GX89" s="64">
        <v>4</v>
      </c>
      <c r="GY89" s="64">
        <v>8</v>
      </c>
      <c r="GZ89" s="64">
        <v>8</v>
      </c>
      <c r="HA89" s="64">
        <v>8</v>
      </c>
      <c r="HB89" s="64">
        <v>12</v>
      </c>
      <c r="HC89" s="64">
        <v>12</v>
      </c>
      <c r="HD89" s="64">
        <v>12</v>
      </c>
      <c r="HE89" s="64">
        <v>12</v>
      </c>
      <c r="HF89" s="64">
        <v>16</v>
      </c>
      <c r="HG89" s="64">
        <v>16</v>
      </c>
      <c r="HH89" s="64">
        <v>16</v>
      </c>
      <c r="HI89" s="68">
        <v>20</v>
      </c>
      <c r="HJ89" s="68">
        <v>20</v>
      </c>
      <c r="HK89" s="68">
        <v>20</v>
      </c>
      <c r="HL89" s="68">
        <v>20</v>
      </c>
      <c r="HM89" s="68">
        <v>24</v>
      </c>
      <c r="HN89" s="68">
        <v>24</v>
      </c>
      <c r="HO89" s="68">
        <v>24</v>
      </c>
      <c r="HP89" s="68">
        <v>24</v>
      </c>
      <c r="HS89" s="68" t="s">
        <v>324</v>
      </c>
      <c r="HT89" s="68">
        <v>0</v>
      </c>
      <c r="HU89" s="68">
        <v>0</v>
      </c>
      <c r="HV89" s="68">
        <v>0</v>
      </c>
      <c r="HW89" s="68">
        <v>4</v>
      </c>
      <c r="HX89" s="68">
        <v>4</v>
      </c>
      <c r="HY89" s="68">
        <v>8</v>
      </c>
      <c r="HZ89" s="68">
        <v>8</v>
      </c>
      <c r="IA89" s="68">
        <v>8</v>
      </c>
      <c r="IB89" s="68">
        <v>12</v>
      </c>
      <c r="IC89" s="68">
        <v>12</v>
      </c>
      <c r="ID89" s="68">
        <v>12</v>
      </c>
      <c r="IE89" s="68">
        <v>12</v>
      </c>
      <c r="IF89" s="68">
        <v>16</v>
      </c>
      <c r="IG89" s="68">
        <v>16</v>
      </c>
      <c r="IH89" s="68">
        <v>16</v>
      </c>
      <c r="II89" s="68">
        <v>20</v>
      </c>
      <c r="IJ89" s="68">
        <v>20</v>
      </c>
      <c r="IK89" s="68">
        <v>20</v>
      </c>
      <c r="IL89" s="68">
        <v>24</v>
      </c>
      <c r="IM89" s="68">
        <v>24</v>
      </c>
      <c r="IN89" s="68">
        <v>24</v>
      </c>
      <c r="IO89" s="68">
        <v>24</v>
      </c>
      <c r="IP89" s="68">
        <v>28</v>
      </c>
      <c r="IQ89" s="68">
        <v>28</v>
      </c>
      <c r="IT89" s="71"/>
    </row>
    <row r="90" spans="1:254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193</v>
      </c>
      <c r="M90" s="11">
        <f>INDEX(cenník!$C$2:$I$568,MATCH($L90,cenník!$B$2:$B$557,0),MATCH(M$2,cenník!$C$1:$I$1,0))</f>
        <v>858022</v>
      </c>
      <c r="N90" s="11" t="str">
        <f>INDEX(cenník!$C$2:$I$568,MATCH($L90,cenník!$B$2:$B$557,0),MATCH(N$2,cenník!$C$1:$I$1,0))</f>
        <v>ks</v>
      </c>
      <c r="O90" s="11">
        <f>2*O73</f>
        <v>0</v>
      </c>
      <c r="P90" s="36">
        <f>INDEX(cenník!$C$2:$I$568,MATCH($L90,cenník!$B$2:$B$557,0),MATCH(P$2,cenník!$C$1:$I$1,0))</f>
        <v>1.56</v>
      </c>
      <c r="Q90" s="36">
        <f t="shared" si="239"/>
        <v>0</v>
      </c>
      <c r="R90" s="37">
        <f t="shared" si="204"/>
        <v>0</v>
      </c>
      <c r="S90" s="36">
        <f t="shared" si="205"/>
        <v>1.56</v>
      </c>
      <c r="T90" s="36">
        <f t="shared" si="240"/>
        <v>0</v>
      </c>
      <c r="U90" s="36">
        <f>INDEX(cenník!$C$2:$I$568,MATCH($L90,cenník!$B$2:$B$557,0),MATCH(U$2,cenník!$C$1:$I$1,0))*O90</f>
        <v>0</v>
      </c>
      <c r="V90" s="85"/>
      <c r="AC90" s="64"/>
      <c r="AD90" s="64"/>
      <c r="AE90" s="64"/>
      <c r="AF90" s="64"/>
      <c r="AG90" s="64"/>
      <c r="AH90" s="64" t="s">
        <v>16</v>
      </c>
      <c r="AI90" s="64">
        <v>3300</v>
      </c>
      <c r="AJ90" s="64">
        <v>1</v>
      </c>
      <c r="AK90" s="64">
        <f>AI90*AJ90</f>
        <v>3300</v>
      </c>
      <c r="AL90" s="64">
        <v>95.55</v>
      </c>
      <c r="AM90" s="64">
        <f>AJ90*AL90</f>
        <v>95.55</v>
      </c>
      <c r="AN90" s="64">
        <f>AJ90*4</f>
        <v>4</v>
      </c>
      <c r="AO90" s="64"/>
      <c r="AP90" s="64" t="s">
        <v>203</v>
      </c>
      <c r="AQ90" s="64" t="s">
        <v>295</v>
      </c>
      <c r="AR90" s="64" t="s">
        <v>294</v>
      </c>
      <c r="AS90" s="64" t="s">
        <v>292</v>
      </c>
      <c r="AT90" s="64" t="s">
        <v>292</v>
      </c>
      <c r="AU90" s="64"/>
      <c r="BA90" s="64"/>
      <c r="BB90" s="64"/>
      <c r="BC90" s="64"/>
      <c r="BD90" s="64"/>
      <c r="BE90" s="64"/>
      <c r="BF90" s="64"/>
      <c r="BG90" s="64"/>
      <c r="BH90" s="64" t="s">
        <v>60</v>
      </c>
      <c r="BI90" s="64">
        <v>0</v>
      </c>
      <c r="BJ90" s="64">
        <v>6</v>
      </c>
      <c r="BK90" s="64">
        <v>8</v>
      </c>
      <c r="BL90" s="64">
        <v>10</v>
      </c>
      <c r="BM90" s="64">
        <v>12</v>
      </c>
      <c r="BN90" s="64">
        <v>14</v>
      </c>
      <c r="BO90" s="64">
        <v>16</v>
      </c>
      <c r="BP90" s="64">
        <v>18</v>
      </c>
      <c r="BQ90" s="64">
        <v>20</v>
      </c>
      <c r="BR90" s="64">
        <v>22</v>
      </c>
      <c r="BS90" s="64">
        <v>24</v>
      </c>
      <c r="BT90" s="64">
        <v>26</v>
      </c>
      <c r="BU90" s="64">
        <v>28</v>
      </c>
      <c r="BV90" s="64">
        <v>30</v>
      </c>
      <c r="BW90" s="64">
        <v>32</v>
      </c>
      <c r="BX90" s="64">
        <v>34</v>
      </c>
      <c r="BY90" s="64">
        <v>36</v>
      </c>
      <c r="BZ90" s="64">
        <v>38</v>
      </c>
      <c r="CA90" s="64">
        <v>40</v>
      </c>
      <c r="CB90" s="64">
        <v>42</v>
      </c>
      <c r="CC90" s="64">
        <v>44</v>
      </c>
      <c r="CD90" s="64">
        <v>46</v>
      </c>
      <c r="CE90" s="64">
        <v>48</v>
      </c>
      <c r="CF90" s="64">
        <v>50</v>
      </c>
      <c r="CG90" s="64"/>
      <c r="CH90" s="64"/>
      <c r="CI90" s="64"/>
      <c r="CJ90" s="64"/>
      <c r="CK90" s="64"/>
      <c r="CL90" s="64"/>
      <c r="CM90" s="64"/>
      <c r="CN90" s="64" t="s">
        <v>205</v>
      </c>
      <c r="CO90" s="64">
        <v>0</v>
      </c>
      <c r="CP90" s="64">
        <v>6</v>
      </c>
      <c r="CQ90" s="64">
        <v>8</v>
      </c>
      <c r="CR90" s="64">
        <v>10</v>
      </c>
      <c r="CS90" s="64">
        <v>12</v>
      </c>
      <c r="CT90" s="64">
        <v>14</v>
      </c>
      <c r="CU90" s="64">
        <v>16</v>
      </c>
      <c r="CV90" s="64">
        <v>18</v>
      </c>
      <c r="CW90" s="64">
        <v>20</v>
      </c>
      <c r="CX90" s="64">
        <v>22</v>
      </c>
      <c r="CY90" s="64">
        <v>24</v>
      </c>
      <c r="CZ90" s="64">
        <v>26</v>
      </c>
      <c r="DA90" s="64">
        <v>28</v>
      </c>
      <c r="DB90" s="64">
        <v>30</v>
      </c>
      <c r="DC90" s="64">
        <v>32</v>
      </c>
      <c r="DD90" s="64">
        <v>34</v>
      </c>
      <c r="DE90" s="64">
        <v>36</v>
      </c>
      <c r="DF90" s="64">
        <v>38</v>
      </c>
      <c r="DG90" s="64">
        <v>40</v>
      </c>
      <c r="DH90" s="64">
        <v>42</v>
      </c>
      <c r="DI90" s="64">
        <v>44</v>
      </c>
      <c r="DJ90" s="64">
        <v>46</v>
      </c>
      <c r="DK90" s="64">
        <v>48</v>
      </c>
      <c r="DL90" s="64">
        <v>50</v>
      </c>
      <c r="DM90" s="64"/>
      <c r="DN90" s="64"/>
      <c r="DO90" s="64"/>
      <c r="DP90" s="64"/>
      <c r="DQ90" s="80"/>
      <c r="DR90" s="80">
        <v>18</v>
      </c>
      <c r="DS90" s="80"/>
      <c r="DT90" s="64"/>
      <c r="DU90" s="64"/>
      <c r="DV90" s="64"/>
      <c r="DW90" s="64"/>
      <c r="DX90" s="64"/>
      <c r="DY90" s="64"/>
      <c r="DZ90" s="64"/>
      <c r="EA90" s="64"/>
      <c r="EB90" s="64"/>
      <c r="EC90" s="64"/>
      <c r="ED90" s="64"/>
      <c r="EE90" s="64"/>
      <c r="EF90" s="64"/>
      <c r="EG90" s="64"/>
      <c r="EH90" s="64"/>
      <c r="EI90" s="64"/>
      <c r="EJ90" s="69"/>
      <c r="GJ90" s="64"/>
      <c r="GK90" s="64"/>
      <c r="GL90" s="64"/>
      <c r="GM90" s="64"/>
      <c r="GN90" s="64"/>
      <c r="GO90" s="64"/>
      <c r="GP90" s="64"/>
      <c r="GQ90" s="64"/>
      <c r="GR90" s="64"/>
      <c r="GS90" s="64"/>
      <c r="GT90" s="64"/>
      <c r="GU90" s="64"/>
      <c r="GV90" s="64"/>
      <c r="GW90" s="64"/>
      <c r="GX90" s="64"/>
      <c r="GY90" s="64"/>
      <c r="GZ90" s="64"/>
      <c r="HA90" s="64"/>
      <c r="HB90" s="64"/>
      <c r="HC90" s="64"/>
      <c r="HD90" s="64"/>
      <c r="HE90" s="64"/>
      <c r="HF90" s="64"/>
      <c r="HG90" s="64"/>
      <c r="HH90" s="64"/>
      <c r="IT90" s="71"/>
    </row>
    <row r="91" spans="1:254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127</v>
      </c>
      <c r="M91" s="11">
        <f>INDEX(cenník!$C$2:$I$568,MATCH($L91,cenník!$B$2:$B$557,0),MATCH(M$2,cenník!$C$1:$I$1,0))</f>
        <v>890111</v>
      </c>
      <c r="N91" s="11" t="str">
        <f>INDEX(cenník!$C$2:$I$568,MATCH($L91,cenník!$B$2:$B$557,0),MATCH(N$2,cenník!$C$1:$I$1,0))</f>
        <v>100ks</v>
      </c>
      <c r="O91" s="11">
        <f>ROUNDUP((O67*4)/100,0)</f>
        <v>0</v>
      </c>
      <c r="P91" s="36">
        <f>INDEX(cenník!$C$2:$I$568,MATCH($L91,cenník!$B$2:$B$557,0),MATCH(P$2,cenník!$C$1:$I$1,0))</f>
        <v>60.37</v>
      </c>
      <c r="Q91" s="36">
        <f t="shared" si="239"/>
        <v>0</v>
      </c>
      <c r="R91" s="37">
        <f t="shared" si="204"/>
        <v>0</v>
      </c>
      <c r="S91" s="36">
        <f t="shared" si="205"/>
        <v>60.37</v>
      </c>
      <c r="T91" s="36">
        <f t="shared" si="240"/>
        <v>0</v>
      </c>
      <c r="U91" s="36">
        <f>INDEX(cenník!$C$2:$I$568,MATCH($L91,cenník!$B$2:$B$557,0),MATCH(U$2,cenník!$C$1:$I$1,0))*O91</f>
        <v>0</v>
      </c>
      <c r="V91" s="85"/>
      <c r="AC91" s="64"/>
      <c r="AD91" s="64"/>
      <c r="AE91" s="64"/>
      <c r="AF91" s="64"/>
      <c r="AG91" s="64"/>
      <c r="AH91" s="64"/>
      <c r="AI91" s="64" t="s">
        <v>125</v>
      </c>
      <c r="AJ91" s="64">
        <f>IF(SUM(AJ88:AJ90)=0,0,IF(SUM(AJ88:AJ90)=1,0,IF(SUM(AJ88:AJ90)&gt;1,(SUM(AJ88:AJ90)-1),0)))</f>
        <v>4</v>
      </c>
      <c r="AK91" s="64"/>
      <c r="AL91" s="64">
        <v>7.1</v>
      </c>
      <c r="AM91" s="64">
        <f>AJ91*AL91</f>
        <v>28.4</v>
      </c>
      <c r="AN91" s="64">
        <f>AJ91*4</f>
        <v>16</v>
      </c>
      <c r="AO91" s="64"/>
      <c r="AP91" s="64" t="s">
        <v>204</v>
      </c>
      <c r="AQ91" s="64" t="s">
        <v>295</v>
      </c>
      <c r="AR91" s="64" t="s">
        <v>294</v>
      </c>
      <c r="AS91" s="64" t="s">
        <v>292</v>
      </c>
      <c r="AT91" s="64" t="s">
        <v>292</v>
      </c>
      <c r="AU91" s="64"/>
      <c r="BA91" s="64"/>
      <c r="BB91" s="64"/>
      <c r="BC91" s="64"/>
      <c r="BD91" s="64"/>
      <c r="BE91" s="64"/>
      <c r="BF91" s="64"/>
      <c r="BG91" s="64"/>
      <c r="BH91" s="64" t="s">
        <v>104</v>
      </c>
      <c r="BI91" s="64">
        <v>0</v>
      </c>
      <c r="BJ91" s="64">
        <v>0</v>
      </c>
      <c r="BK91" s="64">
        <v>0</v>
      </c>
      <c r="BL91" s="64">
        <v>4</v>
      </c>
      <c r="BM91" s="64">
        <v>4</v>
      </c>
      <c r="BN91" s="64">
        <v>0</v>
      </c>
      <c r="BO91" s="64">
        <v>4</v>
      </c>
      <c r="BP91" s="64">
        <v>4</v>
      </c>
      <c r="BQ91" s="64">
        <v>4</v>
      </c>
      <c r="BR91" s="64">
        <v>0</v>
      </c>
      <c r="BS91" s="64">
        <v>8</v>
      </c>
      <c r="BT91" s="64">
        <v>4</v>
      </c>
      <c r="BU91" s="64">
        <v>4</v>
      </c>
      <c r="BV91" s="64">
        <v>8</v>
      </c>
      <c r="BW91" s="64">
        <v>8</v>
      </c>
      <c r="BX91" s="64">
        <v>4</v>
      </c>
      <c r="BY91" s="64">
        <v>12</v>
      </c>
      <c r="BZ91" s="64">
        <v>8</v>
      </c>
      <c r="CA91" s="64">
        <v>8</v>
      </c>
      <c r="CB91" s="64">
        <v>12</v>
      </c>
      <c r="CC91" s="64">
        <v>12</v>
      </c>
      <c r="CD91" s="64">
        <v>8</v>
      </c>
      <c r="CE91" s="64">
        <v>16</v>
      </c>
      <c r="CF91" s="64">
        <v>12</v>
      </c>
      <c r="CG91" s="64"/>
      <c r="CH91" s="64"/>
      <c r="CI91" s="64"/>
      <c r="CJ91" s="64"/>
      <c r="CK91" s="64"/>
      <c r="CL91" s="64"/>
      <c r="CM91" s="64"/>
      <c r="CN91" s="64" t="s">
        <v>104</v>
      </c>
      <c r="CO91" s="64">
        <v>0</v>
      </c>
      <c r="CP91" s="64">
        <v>0</v>
      </c>
      <c r="CQ91" s="64">
        <v>4</v>
      </c>
      <c r="CR91" s="64">
        <v>4</v>
      </c>
      <c r="CS91" s="64">
        <v>0</v>
      </c>
      <c r="CT91" s="64">
        <v>0</v>
      </c>
      <c r="CU91" s="64">
        <v>4</v>
      </c>
      <c r="CV91" s="64">
        <v>4</v>
      </c>
      <c r="CW91" s="64">
        <v>0</v>
      </c>
      <c r="CX91" s="64">
        <v>8</v>
      </c>
      <c r="CY91" s="64">
        <v>4</v>
      </c>
      <c r="CZ91" s="64">
        <v>4</v>
      </c>
      <c r="DA91" s="64">
        <v>8</v>
      </c>
      <c r="DB91" s="64">
        <v>4</v>
      </c>
      <c r="DC91" s="64">
        <v>12</v>
      </c>
      <c r="DD91" s="64">
        <v>8</v>
      </c>
      <c r="DE91" s="64">
        <v>8</v>
      </c>
      <c r="DF91" s="64">
        <v>12</v>
      </c>
      <c r="DG91" s="64">
        <v>12</v>
      </c>
      <c r="DH91" s="64">
        <v>8</v>
      </c>
      <c r="DI91" s="64">
        <v>16</v>
      </c>
      <c r="DJ91" s="64">
        <v>12</v>
      </c>
      <c r="DK91" s="64">
        <v>12</v>
      </c>
      <c r="DL91" s="64">
        <v>16</v>
      </c>
      <c r="DM91" s="64"/>
      <c r="DN91" s="64"/>
      <c r="DO91" s="64"/>
      <c r="DP91" s="64"/>
      <c r="DQ91" s="80"/>
      <c r="DR91" s="80">
        <v>20</v>
      </c>
      <c r="DS91" s="80"/>
      <c r="DT91" s="64"/>
      <c r="DU91" s="64"/>
      <c r="DV91" s="64"/>
      <c r="DW91" s="64"/>
      <c r="DX91" s="64"/>
      <c r="DY91" s="64"/>
      <c r="DZ91" s="64"/>
      <c r="EA91" s="64"/>
      <c r="EB91" s="64"/>
      <c r="EC91" s="64"/>
      <c r="ED91" s="64"/>
      <c r="EE91" s="64"/>
      <c r="EF91" s="64"/>
      <c r="EG91" s="64"/>
      <c r="EH91" s="64"/>
      <c r="EI91" s="64"/>
      <c r="EJ91" s="69"/>
      <c r="GJ91" s="64"/>
      <c r="GK91" s="64"/>
      <c r="GL91" s="64"/>
      <c r="GM91" s="64"/>
      <c r="GN91" s="64"/>
      <c r="GO91" s="64"/>
      <c r="GP91" s="64"/>
      <c r="GQ91" s="64"/>
      <c r="GR91" s="64" t="s">
        <v>330</v>
      </c>
      <c r="GS91" s="64">
        <v>0</v>
      </c>
      <c r="GT91" s="64">
        <v>6</v>
      </c>
      <c r="GU91" s="64">
        <v>8</v>
      </c>
      <c r="GV91" s="64">
        <v>10</v>
      </c>
      <c r="GW91" s="64">
        <v>12</v>
      </c>
      <c r="GX91" s="64">
        <v>14</v>
      </c>
      <c r="GY91" s="64">
        <v>16</v>
      </c>
      <c r="GZ91" s="64">
        <v>18</v>
      </c>
      <c r="HA91" s="64">
        <v>20</v>
      </c>
      <c r="HB91" s="64">
        <v>22</v>
      </c>
      <c r="HC91" s="64">
        <v>24</v>
      </c>
      <c r="HD91" s="64">
        <v>26</v>
      </c>
      <c r="HE91" s="64">
        <v>28</v>
      </c>
      <c r="HF91" s="64">
        <v>30</v>
      </c>
      <c r="HG91" s="64">
        <v>32</v>
      </c>
      <c r="HH91" s="64">
        <v>34</v>
      </c>
      <c r="HI91" s="68">
        <v>36</v>
      </c>
      <c r="HJ91" s="68">
        <v>38</v>
      </c>
      <c r="HK91" s="68">
        <v>40</v>
      </c>
      <c r="HL91" s="68">
        <v>42</v>
      </c>
      <c r="HM91" s="68">
        <v>44</v>
      </c>
      <c r="HN91" s="68">
        <v>46</v>
      </c>
      <c r="HO91" s="68">
        <v>48</v>
      </c>
      <c r="HP91" s="68">
        <v>50</v>
      </c>
      <c r="HS91" s="68" t="s">
        <v>350</v>
      </c>
      <c r="HT91" s="68">
        <v>0</v>
      </c>
      <c r="HU91" s="68">
        <v>6</v>
      </c>
      <c r="HV91" s="68">
        <v>8</v>
      </c>
      <c r="HW91" s="68">
        <v>10</v>
      </c>
      <c r="HX91" s="68">
        <v>12</v>
      </c>
      <c r="HY91" s="68">
        <v>14</v>
      </c>
      <c r="HZ91" s="68">
        <v>16</v>
      </c>
      <c r="IA91" s="68">
        <v>18</v>
      </c>
      <c r="IB91" s="68">
        <v>20</v>
      </c>
      <c r="IC91" s="68">
        <v>22</v>
      </c>
      <c r="ID91" s="68">
        <v>24</v>
      </c>
      <c r="IE91" s="68">
        <v>26</v>
      </c>
      <c r="IF91" s="68">
        <v>28</v>
      </c>
      <c r="IG91" s="68">
        <v>30</v>
      </c>
      <c r="IH91" s="68">
        <v>32</v>
      </c>
      <c r="II91" s="68">
        <v>34</v>
      </c>
      <c r="IJ91" s="68">
        <v>36</v>
      </c>
      <c r="IK91" s="68">
        <v>38</v>
      </c>
      <c r="IL91" s="68">
        <v>40</v>
      </c>
      <c r="IM91" s="68">
        <v>42</v>
      </c>
      <c r="IN91" s="68">
        <v>44</v>
      </c>
      <c r="IO91" s="68">
        <v>46</v>
      </c>
      <c r="IP91" s="68">
        <v>48</v>
      </c>
      <c r="IQ91" s="68">
        <v>50</v>
      </c>
      <c r="IT91" s="71"/>
    </row>
    <row r="92" spans="1:254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38" t="s">
        <v>336</v>
      </c>
      <c r="M92" s="11">
        <f>INDEX(cenník!$C$2:$I$568,MATCH($L92,cenník!$B$2:$B$557,0),MATCH(M$2,cenník!$C$1:$I$1,0))</f>
        <v>890504</v>
      </c>
      <c r="N92" s="11" t="str">
        <f>INDEX(cenník!$C$2:$I$568,MATCH($L92,cenník!$B$2:$B$557,0),MATCH(N$2,cenník!$C$1:$I$1,0))</f>
        <v>ks</v>
      </c>
      <c r="O92" s="11">
        <f>SUM(C66:C81)*14</f>
        <v>0</v>
      </c>
      <c r="P92" s="36">
        <f>INDEX(cenník!$C$2:$I$568,MATCH($L92,cenník!$B$2:$B$557,0),MATCH(P$2,cenník!$C$1:$I$1,0))</f>
        <v>1.59</v>
      </c>
      <c r="Q92" s="36">
        <f t="shared" si="239"/>
        <v>0</v>
      </c>
      <c r="R92" s="37">
        <f t="shared" ref="R92" si="251">$E$7</f>
        <v>0</v>
      </c>
      <c r="S92" s="36">
        <f>P92*((100-$E$7)/100)</f>
        <v>1.59</v>
      </c>
      <c r="T92" s="36">
        <f t="shared" si="240"/>
        <v>0</v>
      </c>
      <c r="U92" s="36">
        <f>INDEX(cenník!$C$2:$I$568,MATCH($L92,cenník!$B$2:$B$557,0),MATCH(U$2,cenník!$C$1:$I$1,0))*O92</f>
        <v>0</v>
      </c>
      <c r="V92" s="85"/>
      <c r="W92" s="64"/>
      <c r="X92" s="64"/>
      <c r="Y92" s="64"/>
      <c r="Z92" s="64"/>
      <c r="AA92" s="64"/>
      <c r="AB92" s="64"/>
      <c r="AC92" s="64"/>
      <c r="AD92" s="64"/>
      <c r="AE92" s="64"/>
      <c r="AF92" s="64"/>
      <c r="AG92" s="64"/>
      <c r="AH92" s="64"/>
      <c r="AI92" s="64"/>
      <c r="AJ92" s="64"/>
      <c r="AK92" s="64">
        <f>SUM(AK88:AK90)</f>
        <v>29700</v>
      </c>
      <c r="AL92" s="64"/>
      <c r="AM92" s="64">
        <f>SUM(AM88:AM91)</f>
        <v>888.34999999999991</v>
      </c>
      <c r="AN92" s="64"/>
      <c r="AO92" s="64"/>
      <c r="AP92" s="64" t="s">
        <v>232</v>
      </c>
      <c r="AQ92" s="64" t="s">
        <v>295</v>
      </c>
      <c r="AR92" s="64" t="s">
        <v>294</v>
      </c>
      <c r="AS92" s="64" t="s">
        <v>292</v>
      </c>
      <c r="AT92" s="64" t="s">
        <v>292</v>
      </c>
      <c r="AU92" s="64"/>
      <c r="BA92" s="64"/>
      <c r="BB92" s="64"/>
      <c r="BC92" s="64"/>
      <c r="BD92" s="64"/>
      <c r="BE92" s="64"/>
      <c r="BF92" s="64"/>
      <c r="BG92" s="64"/>
      <c r="BH92" s="64" t="s">
        <v>103</v>
      </c>
      <c r="BI92" s="64">
        <v>0</v>
      </c>
      <c r="BJ92" s="64">
        <v>0</v>
      </c>
      <c r="BK92" s="64">
        <v>4</v>
      </c>
      <c r="BL92" s="64">
        <v>0</v>
      </c>
      <c r="BM92" s="64">
        <v>0</v>
      </c>
      <c r="BN92" s="64">
        <v>4</v>
      </c>
      <c r="BO92" s="64">
        <v>0</v>
      </c>
      <c r="BP92" s="64">
        <v>0</v>
      </c>
      <c r="BQ92" s="64">
        <v>4</v>
      </c>
      <c r="BR92" s="64">
        <v>8</v>
      </c>
      <c r="BS92" s="64">
        <v>0</v>
      </c>
      <c r="BT92" s="64">
        <v>4</v>
      </c>
      <c r="BU92" s="64">
        <v>8</v>
      </c>
      <c r="BV92" s="64">
        <v>0</v>
      </c>
      <c r="BW92" s="64">
        <v>4</v>
      </c>
      <c r="BX92" s="64">
        <v>8</v>
      </c>
      <c r="BY92" s="64">
        <v>0</v>
      </c>
      <c r="BZ92" s="64">
        <v>4</v>
      </c>
      <c r="CA92" s="64">
        <v>8</v>
      </c>
      <c r="CB92" s="64">
        <v>0</v>
      </c>
      <c r="CC92" s="64">
        <v>4</v>
      </c>
      <c r="CD92" s="64">
        <v>8</v>
      </c>
      <c r="CE92" s="64">
        <v>0</v>
      </c>
      <c r="CF92" s="64">
        <v>4</v>
      </c>
      <c r="CG92" s="64"/>
      <c r="CH92" s="64"/>
      <c r="CI92" s="64"/>
      <c r="CJ92" s="64"/>
      <c r="CK92" s="64"/>
      <c r="CL92" s="64"/>
      <c r="CM92" s="64"/>
      <c r="CN92" s="64" t="s">
        <v>103</v>
      </c>
      <c r="CO92" s="64">
        <v>0</v>
      </c>
      <c r="CP92" s="64">
        <v>4</v>
      </c>
      <c r="CQ92" s="64">
        <v>0</v>
      </c>
      <c r="CR92" s="64">
        <v>0</v>
      </c>
      <c r="CS92" s="64">
        <v>4</v>
      </c>
      <c r="CT92" s="64">
        <v>8</v>
      </c>
      <c r="CU92" s="64">
        <v>0</v>
      </c>
      <c r="CV92" s="64">
        <v>4</v>
      </c>
      <c r="CW92" s="64">
        <v>8</v>
      </c>
      <c r="CX92" s="64">
        <v>0</v>
      </c>
      <c r="CY92" s="64">
        <v>4</v>
      </c>
      <c r="CZ92" s="64">
        <v>8</v>
      </c>
      <c r="DA92" s="64">
        <v>0</v>
      </c>
      <c r="DB92" s="64">
        <v>8</v>
      </c>
      <c r="DC92" s="64">
        <v>0</v>
      </c>
      <c r="DD92" s="64">
        <v>4</v>
      </c>
      <c r="DE92" s="64">
        <v>8</v>
      </c>
      <c r="DF92" s="64">
        <v>0</v>
      </c>
      <c r="DG92" s="64">
        <v>4</v>
      </c>
      <c r="DH92" s="64">
        <v>8</v>
      </c>
      <c r="DI92" s="64">
        <v>0</v>
      </c>
      <c r="DJ92" s="64">
        <v>4</v>
      </c>
      <c r="DK92" s="64">
        <v>8</v>
      </c>
      <c r="DL92" s="64">
        <v>0</v>
      </c>
      <c r="DM92" s="64"/>
      <c r="DN92" s="64"/>
      <c r="DO92" s="64"/>
      <c r="DP92" s="64"/>
      <c r="DQ92" s="80"/>
      <c r="DR92" s="80">
        <v>22</v>
      </c>
      <c r="DS92" s="80"/>
      <c r="DT92" s="64"/>
      <c r="DU92" s="64"/>
      <c r="DV92" s="64"/>
      <c r="DW92" s="64"/>
      <c r="DX92" s="64"/>
      <c r="DY92" s="64"/>
      <c r="DZ92" s="64"/>
      <c r="EA92" s="64"/>
      <c r="EB92" s="64"/>
      <c r="EC92" s="64"/>
      <c r="ED92" s="64"/>
      <c r="EE92" s="64"/>
      <c r="EF92" s="64"/>
      <c r="EG92" s="64"/>
      <c r="EH92" s="64"/>
      <c r="EI92" s="64"/>
      <c r="EJ92" s="69"/>
      <c r="EK92" s="64" t="s">
        <v>60</v>
      </c>
      <c r="EL92" s="64">
        <v>0</v>
      </c>
      <c r="EM92" s="64">
        <v>6</v>
      </c>
      <c r="EN92" s="64">
        <v>8</v>
      </c>
      <c r="EO92" s="64">
        <v>10</v>
      </c>
      <c r="EP92" s="64">
        <v>12</v>
      </c>
      <c r="EQ92" s="64">
        <v>14</v>
      </c>
      <c r="ER92" s="64">
        <v>16</v>
      </c>
      <c r="ES92" s="64">
        <v>18</v>
      </c>
      <c r="ET92" s="64">
        <v>20</v>
      </c>
      <c r="EU92" s="64">
        <v>22</v>
      </c>
      <c r="EV92" s="64">
        <v>24</v>
      </c>
      <c r="EW92" s="64">
        <v>26</v>
      </c>
      <c r="EX92" s="64">
        <v>28</v>
      </c>
      <c r="EY92" s="64">
        <v>30</v>
      </c>
      <c r="EZ92" s="64">
        <v>32</v>
      </c>
      <c r="FA92" s="64">
        <v>34</v>
      </c>
      <c r="FB92" s="64">
        <v>36</v>
      </c>
      <c r="FC92" s="64">
        <v>38</v>
      </c>
      <c r="FD92" s="64">
        <v>40</v>
      </c>
      <c r="FE92" s="64">
        <v>42</v>
      </c>
      <c r="FF92" s="64">
        <v>44</v>
      </c>
      <c r="FG92" s="64">
        <v>46</v>
      </c>
      <c r="FH92" s="64">
        <v>48</v>
      </c>
      <c r="FI92" s="64">
        <v>50</v>
      </c>
      <c r="FJ92" s="64"/>
      <c r="FK92" s="64" t="s">
        <v>205</v>
      </c>
      <c r="FL92" s="64">
        <v>0</v>
      </c>
      <c r="FM92" s="64">
        <v>6</v>
      </c>
      <c r="FN92" s="64">
        <v>8</v>
      </c>
      <c r="FO92" s="64">
        <v>10</v>
      </c>
      <c r="FP92" s="64">
        <v>12</v>
      </c>
      <c r="FQ92" s="64">
        <v>14</v>
      </c>
      <c r="FR92" s="64">
        <v>16</v>
      </c>
      <c r="FS92" s="64">
        <v>18</v>
      </c>
      <c r="FT92" s="64">
        <v>20</v>
      </c>
      <c r="FU92" s="64">
        <v>22</v>
      </c>
      <c r="FV92" s="64">
        <v>24</v>
      </c>
      <c r="FW92" s="64">
        <v>26</v>
      </c>
      <c r="FX92" s="64">
        <v>28</v>
      </c>
      <c r="FY92" s="64">
        <v>30</v>
      </c>
      <c r="FZ92" s="64">
        <v>32</v>
      </c>
      <c r="GA92" s="64">
        <v>34</v>
      </c>
      <c r="GB92" s="64">
        <v>36</v>
      </c>
      <c r="GC92" s="64">
        <v>38</v>
      </c>
      <c r="GD92" s="64">
        <v>40</v>
      </c>
      <c r="GE92" s="64">
        <v>42</v>
      </c>
      <c r="GF92" s="64">
        <v>44</v>
      </c>
      <c r="GG92" s="64">
        <v>46</v>
      </c>
      <c r="GH92" s="64">
        <v>48</v>
      </c>
      <c r="GI92" s="64">
        <v>50</v>
      </c>
      <c r="GJ92" s="64"/>
      <c r="GK92" s="64"/>
      <c r="GL92" s="64"/>
      <c r="GM92" s="64"/>
      <c r="GN92" s="64"/>
      <c r="GO92" s="64"/>
      <c r="GP92" s="64"/>
      <c r="GQ92" s="64"/>
      <c r="GR92" s="64" t="s">
        <v>286</v>
      </c>
      <c r="GS92" s="64">
        <v>0</v>
      </c>
      <c r="GT92" s="64">
        <v>0</v>
      </c>
      <c r="GU92" s="64">
        <v>4</v>
      </c>
      <c r="GV92" s="64">
        <v>4</v>
      </c>
      <c r="GW92" s="64">
        <v>0</v>
      </c>
      <c r="GX92" s="64">
        <v>0</v>
      </c>
      <c r="GY92" s="64">
        <v>0</v>
      </c>
      <c r="GZ92" s="64">
        <v>0</v>
      </c>
      <c r="HA92" s="64">
        <v>0</v>
      </c>
      <c r="HB92" s="64">
        <v>0</v>
      </c>
      <c r="HC92" s="64">
        <v>0</v>
      </c>
      <c r="HD92" s="64">
        <v>0</v>
      </c>
      <c r="HE92" s="64">
        <v>0</v>
      </c>
      <c r="HF92" s="64">
        <v>0</v>
      </c>
      <c r="HG92" s="64">
        <v>0</v>
      </c>
      <c r="HH92" s="64">
        <v>0</v>
      </c>
      <c r="HI92" s="68">
        <v>0</v>
      </c>
      <c r="HJ92" s="68">
        <v>0</v>
      </c>
      <c r="HK92" s="68">
        <v>0</v>
      </c>
      <c r="HL92" s="68">
        <v>0</v>
      </c>
      <c r="HM92" s="68">
        <v>0</v>
      </c>
      <c r="HN92" s="68">
        <v>0</v>
      </c>
      <c r="HO92" s="68">
        <v>0</v>
      </c>
      <c r="HP92" s="68">
        <v>0</v>
      </c>
      <c r="HS92" s="68" t="s">
        <v>286</v>
      </c>
      <c r="HT92" s="68">
        <v>0</v>
      </c>
      <c r="HU92" s="68">
        <v>0</v>
      </c>
      <c r="HV92" s="68">
        <v>4</v>
      </c>
      <c r="HW92" s="68">
        <v>0</v>
      </c>
      <c r="HX92" s="68">
        <v>0</v>
      </c>
      <c r="HY92" s="68">
        <v>0</v>
      </c>
      <c r="HZ92" s="68">
        <v>0</v>
      </c>
      <c r="IA92" s="68">
        <v>0</v>
      </c>
      <c r="IB92" s="68">
        <v>0</v>
      </c>
      <c r="IC92" s="68">
        <v>0</v>
      </c>
      <c r="ID92" s="68">
        <v>0</v>
      </c>
      <c r="IE92" s="68">
        <v>0</v>
      </c>
      <c r="IF92" s="68">
        <v>0</v>
      </c>
      <c r="IG92" s="68">
        <v>0</v>
      </c>
      <c r="IH92" s="68">
        <v>0</v>
      </c>
      <c r="II92" s="68">
        <v>0</v>
      </c>
      <c r="IJ92" s="68">
        <v>0</v>
      </c>
      <c r="IK92" s="68">
        <v>0</v>
      </c>
      <c r="IL92" s="68">
        <v>0</v>
      </c>
      <c r="IM92" s="68">
        <v>0</v>
      </c>
      <c r="IN92" s="68">
        <v>0</v>
      </c>
      <c r="IO92" s="68">
        <v>0</v>
      </c>
      <c r="IP92" s="68">
        <v>0</v>
      </c>
      <c r="IQ92" s="68">
        <v>0</v>
      </c>
      <c r="IT92" s="71"/>
    </row>
    <row r="93" spans="1:254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514</v>
      </c>
      <c r="V93" s="85"/>
      <c r="W93" s="82"/>
      <c r="X93" s="82"/>
      <c r="Y93" s="82"/>
      <c r="Z93" s="82"/>
      <c r="AA93" s="83" t="s">
        <v>124</v>
      </c>
      <c r="AB93" s="84" t="s">
        <v>126</v>
      </c>
      <c r="AC93" s="64"/>
      <c r="AD93" s="64"/>
      <c r="AE93" s="64"/>
      <c r="AF93" s="64"/>
      <c r="AG93" s="64"/>
      <c r="AH93" s="64"/>
      <c r="AI93" s="64">
        <f>(AB94-1)*3000</f>
        <v>-3000</v>
      </c>
      <c r="AJ93" s="64"/>
      <c r="AK93" s="64"/>
      <c r="AL93" s="64"/>
      <c r="AM93" s="64"/>
      <c r="AN93" s="64"/>
      <c r="AO93" s="84" t="s">
        <v>126</v>
      </c>
      <c r="AP93" s="64" t="s">
        <v>231</v>
      </c>
      <c r="AQ93" s="64" t="s">
        <v>295</v>
      </c>
      <c r="AR93" s="64" t="s">
        <v>294</v>
      </c>
      <c r="AS93" s="64" t="s">
        <v>292</v>
      </c>
      <c r="AT93" s="64" t="s">
        <v>292</v>
      </c>
      <c r="AU93" s="64"/>
      <c r="BA93" s="64"/>
      <c r="BB93" s="64"/>
      <c r="BC93" s="64"/>
      <c r="BD93" s="64"/>
      <c r="BE93" s="64"/>
      <c r="BF93" s="64"/>
      <c r="BG93" s="64"/>
      <c r="BH93" s="64" t="s">
        <v>16</v>
      </c>
      <c r="BI93" s="64">
        <v>0</v>
      </c>
      <c r="BJ93" s="64">
        <v>4</v>
      </c>
      <c r="BK93" s="64">
        <v>0</v>
      </c>
      <c r="BL93" s="64">
        <v>0</v>
      </c>
      <c r="BM93" s="64">
        <v>0</v>
      </c>
      <c r="BN93" s="64">
        <v>4</v>
      </c>
      <c r="BO93" s="64">
        <v>4</v>
      </c>
      <c r="BP93" s="64">
        <v>4</v>
      </c>
      <c r="BQ93" s="64">
        <v>0</v>
      </c>
      <c r="BR93" s="64">
        <v>4</v>
      </c>
      <c r="BS93" s="64">
        <v>0</v>
      </c>
      <c r="BT93" s="64">
        <v>4</v>
      </c>
      <c r="BU93" s="64">
        <v>0</v>
      </c>
      <c r="BV93" s="64">
        <v>4</v>
      </c>
      <c r="BW93" s="64">
        <v>0</v>
      </c>
      <c r="BX93" s="64">
        <v>4</v>
      </c>
      <c r="BY93" s="64">
        <v>0</v>
      </c>
      <c r="BZ93" s="64">
        <v>4</v>
      </c>
      <c r="CA93" s="64">
        <v>0</v>
      </c>
      <c r="CB93" s="64">
        <v>4</v>
      </c>
      <c r="CC93" s="64">
        <v>0</v>
      </c>
      <c r="CD93" s="64">
        <v>4</v>
      </c>
      <c r="CE93" s="64">
        <v>0</v>
      </c>
      <c r="CF93" s="64">
        <v>4</v>
      </c>
      <c r="CG93" s="64"/>
      <c r="CH93" s="64"/>
      <c r="CI93" s="64"/>
      <c r="CJ93" s="64"/>
      <c r="CK93" s="64"/>
      <c r="CL93" s="64"/>
      <c r="CM93" s="64"/>
      <c r="CN93" s="64" t="s">
        <v>16</v>
      </c>
      <c r="CO93" s="64">
        <v>0</v>
      </c>
      <c r="CP93" s="64">
        <v>0</v>
      </c>
      <c r="CQ93" s="64">
        <v>0</v>
      </c>
      <c r="CR93" s="64">
        <v>0</v>
      </c>
      <c r="CS93" s="64">
        <v>4</v>
      </c>
      <c r="CT93" s="64">
        <v>0</v>
      </c>
      <c r="CU93" s="64">
        <v>4</v>
      </c>
      <c r="CV93" s="64">
        <v>0</v>
      </c>
      <c r="CW93" s="64">
        <v>4</v>
      </c>
      <c r="CX93" s="64">
        <v>0</v>
      </c>
      <c r="CY93" s="64">
        <v>4</v>
      </c>
      <c r="CZ93" s="64">
        <v>0</v>
      </c>
      <c r="DA93" s="64">
        <v>4</v>
      </c>
      <c r="DB93" s="64">
        <v>4</v>
      </c>
      <c r="DC93" s="64">
        <v>0</v>
      </c>
      <c r="DD93" s="64">
        <v>4</v>
      </c>
      <c r="DE93" s="64">
        <v>0</v>
      </c>
      <c r="DF93" s="64">
        <v>4</v>
      </c>
      <c r="DG93" s="64">
        <v>0</v>
      </c>
      <c r="DH93" s="64">
        <v>4</v>
      </c>
      <c r="DI93" s="64">
        <v>0</v>
      </c>
      <c r="DJ93" s="64">
        <v>4</v>
      </c>
      <c r="DK93" s="64">
        <v>0</v>
      </c>
      <c r="DL93" s="64">
        <v>4</v>
      </c>
      <c r="DM93" s="64"/>
      <c r="DN93" s="64"/>
      <c r="DO93" s="64"/>
      <c r="DP93" s="64"/>
      <c r="DQ93" s="80"/>
      <c r="DR93" s="80">
        <v>24</v>
      </c>
      <c r="DS93" s="80"/>
      <c r="DT93" s="64"/>
      <c r="DU93" s="64"/>
      <c r="DV93" s="64"/>
      <c r="DW93" s="64"/>
      <c r="DX93" s="64"/>
      <c r="DY93" s="64"/>
      <c r="DZ93" s="64"/>
      <c r="EA93" s="64"/>
      <c r="EB93" s="64"/>
      <c r="EC93" s="64"/>
      <c r="ED93" s="64"/>
      <c r="EE93" s="64"/>
      <c r="EF93" s="64"/>
      <c r="EG93" s="64"/>
      <c r="EH93" s="64"/>
      <c r="EI93" s="64"/>
      <c r="EJ93" s="69"/>
      <c r="EK93" s="64" t="s">
        <v>286</v>
      </c>
      <c r="EL93" s="64">
        <v>0</v>
      </c>
      <c r="EM93" s="64">
        <v>0</v>
      </c>
      <c r="EN93" s="64">
        <v>0</v>
      </c>
      <c r="EO93" s="64">
        <v>4</v>
      </c>
      <c r="EP93" s="64">
        <v>0</v>
      </c>
      <c r="EQ93" s="64">
        <v>0</v>
      </c>
      <c r="ER93" s="64">
        <v>0</v>
      </c>
      <c r="ES93" s="64">
        <v>0</v>
      </c>
      <c r="ET93" s="64">
        <v>0</v>
      </c>
      <c r="EU93" s="64">
        <v>0</v>
      </c>
      <c r="EV93" s="64">
        <v>0</v>
      </c>
      <c r="EW93" s="64">
        <v>0</v>
      </c>
      <c r="EX93" s="64">
        <v>0</v>
      </c>
      <c r="EY93" s="64">
        <v>0</v>
      </c>
      <c r="EZ93" s="64">
        <v>0</v>
      </c>
      <c r="FA93" s="64">
        <v>0</v>
      </c>
      <c r="FB93" s="64">
        <v>0</v>
      </c>
      <c r="FC93" s="64">
        <v>0</v>
      </c>
      <c r="FD93" s="64">
        <v>0</v>
      </c>
      <c r="FE93" s="64">
        <v>0</v>
      </c>
      <c r="FF93" s="64">
        <v>0</v>
      </c>
      <c r="FG93" s="64">
        <v>0</v>
      </c>
      <c r="FH93" s="64">
        <v>0</v>
      </c>
      <c r="FI93" s="64">
        <v>0</v>
      </c>
      <c r="FK93" s="68" t="s">
        <v>286</v>
      </c>
      <c r="FL93" s="64">
        <v>0</v>
      </c>
      <c r="FM93" s="64">
        <v>0</v>
      </c>
      <c r="FN93" s="64">
        <v>4</v>
      </c>
      <c r="FO93" s="64">
        <v>4</v>
      </c>
      <c r="FP93" s="64">
        <v>0</v>
      </c>
      <c r="FQ93" s="64">
        <v>0</v>
      </c>
      <c r="FR93" s="64">
        <v>0</v>
      </c>
      <c r="FS93" s="64">
        <v>0</v>
      </c>
      <c r="FT93" s="64">
        <v>0</v>
      </c>
      <c r="FU93" s="64">
        <v>0</v>
      </c>
      <c r="FV93" s="64">
        <v>0</v>
      </c>
      <c r="FW93" s="64">
        <v>0</v>
      </c>
      <c r="FX93" s="64">
        <v>0</v>
      </c>
      <c r="FY93" s="64">
        <v>0</v>
      </c>
      <c r="FZ93" s="64">
        <v>0</v>
      </c>
      <c r="GA93" s="64">
        <v>0</v>
      </c>
      <c r="GB93" s="64">
        <v>0</v>
      </c>
      <c r="GC93" s="64">
        <v>0</v>
      </c>
      <c r="GD93" s="64">
        <v>0</v>
      </c>
      <c r="GE93" s="64">
        <v>0</v>
      </c>
      <c r="GF93" s="64">
        <v>0</v>
      </c>
      <c r="GG93" s="64">
        <v>0</v>
      </c>
      <c r="GH93" s="64">
        <v>0</v>
      </c>
      <c r="GI93" s="64">
        <v>0</v>
      </c>
      <c r="GJ93" s="64"/>
      <c r="GK93" s="64"/>
      <c r="GL93" s="64"/>
      <c r="GM93" s="64"/>
      <c r="GN93" s="64"/>
      <c r="GO93" s="64"/>
      <c r="GP93" s="64"/>
      <c r="GQ93" s="64"/>
      <c r="GR93" s="64" t="s">
        <v>240</v>
      </c>
      <c r="GS93" s="64">
        <v>0</v>
      </c>
      <c r="GT93" s="64">
        <v>4</v>
      </c>
      <c r="GU93" s="64">
        <v>0</v>
      </c>
      <c r="GV93" s="64">
        <v>0</v>
      </c>
      <c r="GW93" s="64">
        <v>4</v>
      </c>
      <c r="GX93" s="64">
        <v>0</v>
      </c>
      <c r="GY93" s="64">
        <v>4</v>
      </c>
      <c r="GZ93" s="64">
        <v>8</v>
      </c>
      <c r="HA93" s="64">
        <v>12</v>
      </c>
      <c r="HB93" s="64">
        <v>4</v>
      </c>
      <c r="HC93" s="64">
        <v>8</v>
      </c>
      <c r="HD93" s="64">
        <v>16</v>
      </c>
      <c r="HE93" s="64">
        <v>8</v>
      </c>
      <c r="HF93" s="64">
        <v>12</v>
      </c>
      <c r="HG93" s="64">
        <v>16</v>
      </c>
      <c r="HH93" s="64">
        <v>20</v>
      </c>
      <c r="HI93" s="68">
        <v>12</v>
      </c>
      <c r="HJ93" s="68">
        <v>20</v>
      </c>
      <c r="HK93" s="68">
        <v>24</v>
      </c>
      <c r="HL93" s="68">
        <v>16</v>
      </c>
      <c r="HM93" s="68">
        <v>20</v>
      </c>
      <c r="HN93" s="68">
        <v>24</v>
      </c>
      <c r="HO93" s="68">
        <v>28</v>
      </c>
      <c r="HP93" s="68">
        <v>20</v>
      </c>
      <c r="HS93" s="68" t="s">
        <v>240</v>
      </c>
      <c r="HT93" s="68">
        <v>0</v>
      </c>
      <c r="HU93" s="68">
        <v>4</v>
      </c>
      <c r="HV93" s="68">
        <v>0</v>
      </c>
      <c r="HW93" s="68">
        <v>4</v>
      </c>
      <c r="HX93" s="68">
        <v>8</v>
      </c>
      <c r="HY93" s="68">
        <v>0</v>
      </c>
      <c r="HZ93" s="68">
        <v>8</v>
      </c>
      <c r="IA93" s="68">
        <v>12</v>
      </c>
      <c r="IB93" s="68">
        <v>4</v>
      </c>
      <c r="IC93" s="68">
        <v>8</v>
      </c>
      <c r="ID93" s="68">
        <v>16</v>
      </c>
      <c r="IE93" s="68">
        <v>8</v>
      </c>
      <c r="IF93" s="68">
        <v>12</v>
      </c>
      <c r="IG93" s="68">
        <v>16</v>
      </c>
      <c r="IH93" s="68">
        <v>20</v>
      </c>
      <c r="II93" s="68">
        <v>16</v>
      </c>
      <c r="IJ93" s="68">
        <v>20</v>
      </c>
      <c r="IK93" s="68">
        <v>24</v>
      </c>
      <c r="IL93" s="68">
        <v>16</v>
      </c>
      <c r="IM93" s="68">
        <v>24</v>
      </c>
      <c r="IN93" s="68">
        <v>28</v>
      </c>
      <c r="IO93" s="68">
        <v>20</v>
      </c>
      <c r="IP93" s="68">
        <v>24</v>
      </c>
      <c r="IQ93" s="68">
        <v>32</v>
      </c>
      <c r="IT93" s="71"/>
    </row>
    <row r="94" spans="1:254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CWT70H50/3NMC</v>
      </c>
      <c r="M94" s="11">
        <f>INDEX(cenník!$C$2:$I$568,MATCH($L94,cenník!$B$2:$B$557,0),MATCH(M$2,cenník!$C$1:$I$1,0))</f>
        <v>867830</v>
      </c>
      <c r="N94" s="11" t="str">
        <f>INDEX(cenník!$C$2:$I$568,MATCH($L94,cenník!$B$2:$B$557,0),MATCH(N$2,cenník!$C$1:$I$1,0))</f>
        <v>ks</v>
      </c>
      <c r="O94" s="11">
        <f>E70*2</f>
        <v>0</v>
      </c>
      <c r="P94" s="36">
        <f>INDEX(cenník!$C$2:$I$568,MATCH($L94,cenník!$B$2:$B$557,0),MATCH(P$2,cenník!$C$1:$I$1,0))</f>
        <v>52.49</v>
      </c>
      <c r="Q94" s="36">
        <f>O94*P94</f>
        <v>0</v>
      </c>
      <c r="R94" s="37">
        <f>$E$71</f>
        <v>0</v>
      </c>
      <c r="S94" s="36">
        <f>P94*((100-$E$71)/100)</f>
        <v>52.49</v>
      </c>
      <c r="T94" s="36">
        <f>O94*S94</f>
        <v>0</v>
      </c>
      <c r="U94" s="36">
        <f>INDEX(cenník!$C$2:$I$568,MATCH($L94,cenník!$B$2:$B$557,0),MATCH(U$2,cenník!$C$1:$I$1,0))*O94</f>
        <v>0</v>
      </c>
      <c r="V94" s="85"/>
      <c r="W94" s="82"/>
      <c r="X94" s="82"/>
      <c r="Y94" s="82"/>
      <c r="Z94" s="82"/>
      <c r="AA94" s="64">
        <f>(VLOOKUP(AO94,$AY$5:$BA$9,3,1))*C98</f>
        <v>0</v>
      </c>
      <c r="AB94" s="64">
        <f t="shared" ref="AB94:AB109" si="252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64"/>
      <c r="AD94" s="64"/>
      <c r="AE94" s="64"/>
      <c r="AF94" s="64"/>
      <c r="AG94" s="64"/>
      <c r="AH94" s="64"/>
      <c r="AI94" s="64"/>
      <c r="AJ94" s="64"/>
      <c r="AK94" s="64"/>
      <c r="AL94" s="64"/>
      <c r="AM94" s="64"/>
      <c r="AN94" s="64"/>
      <c r="AO94" s="64">
        <f t="shared" ref="AO94:AO109" si="253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64" t="s">
        <v>351</v>
      </c>
      <c r="AQ94" s="64" t="s">
        <v>295</v>
      </c>
      <c r="AR94" s="64" t="s">
        <v>294</v>
      </c>
      <c r="AS94" s="64" t="s">
        <v>292</v>
      </c>
      <c r="AT94" s="64" t="s">
        <v>292</v>
      </c>
      <c r="AU94" s="64"/>
      <c r="AV94" s="64"/>
      <c r="AW94" s="64"/>
      <c r="AX94" s="64"/>
      <c r="AY94" s="64"/>
      <c r="AZ94" s="64"/>
      <c r="BA94" s="64"/>
      <c r="BB94" s="64"/>
      <c r="BC94" s="64"/>
      <c r="BD94" s="64"/>
      <c r="BE94" s="64"/>
      <c r="BF94" s="64"/>
      <c r="BG94" s="64"/>
      <c r="BH94" s="64" t="s">
        <v>17</v>
      </c>
      <c r="BI94" s="64">
        <v>0</v>
      </c>
      <c r="BJ94" s="64">
        <v>0</v>
      </c>
      <c r="BK94" s="64">
        <v>0</v>
      </c>
      <c r="BL94" s="64">
        <v>0</v>
      </c>
      <c r="BM94" s="64">
        <v>0</v>
      </c>
      <c r="BN94" s="64">
        <v>4</v>
      </c>
      <c r="BO94" s="64">
        <v>4</v>
      </c>
      <c r="BP94" s="64">
        <v>4</v>
      </c>
      <c r="BQ94" s="64">
        <v>4</v>
      </c>
      <c r="BR94" s="64">
        <v>8</v>
      </c>
      <c r="BS94" s="64">
        <v>4</v>
      </c>
      <c r="BT94" s="64">
        <v>8</v>
      </c>
      <c r="BU94" s="64">
        <v>8</v>
      </c>
      <c r="BV94" s="64">
        <v>8</v>
      </c>
      <c r="BW94" s="64">
        <v>8</v>
      </c>
      <c r="BX94" s="64">
        <v>12</v>
      </c>
      <c r="BY94" s="64">
        <v>8</v>
      </c>
      <c r="BZ94" s="64">
        <v>12</v>
      </c>
      <c r="CA94" s="64">
        <v>12</v>
      </c>
      <c r="CB94" s="64">
        <v>12</v>
      </c>
      <c r="CC94" s="64">
        <v>12</v>
      </c>
      <c r="CD94" s="64">
        <v>16</v>
      </c>
      <c r="CE94" s="64">
        <v>12</v>
      </c>
      <c r="CF94" s="64">
        <v>16</v>
      </c>
      <c r="CG94" s="64"/>
      <c r="CH94" s="64"/>
      <c r="CI94" s="64"/>
      <c r="CJ94" s="64"/>
      <c r="CK94" s="64"/>
      <c r="CL94" s="64"/>
      <c r="CM94" s="64"/>
      <c r="CN94" s="64" t="s">
        <v>17</v>
      </c>
      <c r="CO94" s="64">
        <v>0</v>
      </c>
      <c r="CP94" s="64">
        <v>0</v>
      </c>
      <c r="CQ94" s="64">
        <v>0</v>
      </c>
      <c r="CR94" s="64">
        <v>0</v>
      </c>
      <c r="CS94" s="64">
        <v>4</v>
      </c>
      <c r="CT94" s="64">
        <v>4</v>
      </c>
      <c r="CU94" s="64">
        <v>4</v>
      </c>
      <c r="CV94" s="64">
        <v>4</v>
      </c>
      <c r="CW94" s="64">
        <v>8</v>
      </c>
      <c r="CX94" s="64">
        <v>4</v>
      </c>
      <c r="CY94" s="64">
        <v>8</v>
      </c>
      <c r="CZ94" s="64">
        <v>8</v>
      </c>
      <c r="DA94" s="64">
        <v>8</v>
      </c>
      <c r="DB94" s="64">
        <v>12</v>
      </c>
      <c r="DC94" s="64">
        <v>8</v>
      </c>
      <c r="DD94" s="64">
        <v>12</v>
      </c>
      <c r="DE94" s="64">
        <v>12</v>
      </c>
      <c r="DF94" s="64">
        <v>12</v>
      </c>
      <c r="DG94" s="64">
        <v>12</v>
      </c>
      <c r="DH94" s="64">
        <v>16</v>
      </c>
      <c r="DI94" s="64">
        <v>12</v>
      </c>
      <c r="DJ94" s="64">
        <v>16</v>
      </c>
      <c r="DK94" s="64">
        <v>16</v>
      </c>
      <c r="DL94" s="64">
        <v>16</v>
      </c>
      <c r="DM94" s="64"/>
      <c r="DN94" s="64"/>
      <c r="DO94" s="64"/>
      <c r="DP94" s="64"/>
      <c r="DQ94" s="80"/>
      <c r="DR94" s="80">
        <v>26</v>
      </c>
      <c r="DS94" s="80"/>
      <c r="DT94" s="64"/>
      <c r="DU94" s="64"/>
      <c r="DV94" s="64"/>
      <c r="DW94" s="64"/>
      <c r="DX94" s="64"/>
      <c r="DY94" s="64"/>
      <c r="DZ94" s="64"/>
      <c r="EA94" s="64"/>
      <c r="EB94" s="64"/>
      <c r="EC94" s="64"/>
      <c r="ED94" s="64"/>
      <c r="EE94" s="64"/>
      <c r="EF94" s="64"/>
      <c r="EG94" s="64"/>
      <c r="EH94" s="64"/>
      <c r="EI94" s="64"/>
      <c r="EJ94" s="69"/>
      <c r="EK94" s="64" t="s">
        <v>240</v>
      </c>
      <c r="EL94" s="64">
        <v>0</v>
      </c>
      <c r="EM94" s="64">
        <f t="shared" ref="EM94:FI94" si="254">BJ92</f>
        <v>0</v>
      </c>
      <c r="EN94" s="64">
        <f t="shared" si="254"/>
        <v>4</v>
      </c>
      <c r="EO94" s="64">
        <f t="shared" si="254"/>
        <v>0</v>
      </c>
      <c r="EP94" s="64">
        <f t="shared" si="254"/>
        <v>0</v>
      </c>
      <c r="EQ94" s="64">
        <f t="shared" si="254"/>
        <v>4</v>
      </c>
      <c r="ER94" s="64">
        <f t="shared" si="254"/>
        <v>0</v>
      </c>
      <c r="ES94" s="64">
        <f t="shared" si="254"/>
        <v>0</v>
      </c>
      <c r="ET94" s="64">
        <f t="shared" si="254"/>
        <v>4</v>
      </c>
      <c r="EU94" s="64">
        <f t="shared" si="254"/>
        <v>8</v>
      </c>
      <c r="EV94" s="64">
        <f t="shared" si="254"/>
        <v>0</v>
      </c>
      <c r="EW94" s="64">
        <f t="shared" si="254"/>
        <v>4</v>
      </c>
      <c r="EX94" s="64">
        <f t="shared" si="254"/>
        <v>8</v>
      </c>
      <c r="EY94" s="64">
        <f t="shared" si="254"/>
        <v>0</v>
      </c>
      <c r="EZ94" s="64">
        <f t="shared" si="254"/>
        <v>4</v>
      </c>
      <c r="FA94" s="64">
        <f t="shared" si="254"/>
        <v>8</v>
      </c>
      <c r="FB94" s="64">
        <f t="shared" si="254"/>
        <v>0</v>
      </c>
      <c r="FC94" s="64">
        <f t="shared" si="254"/>
        <v>4</v>
      </c>
      <c r="FD94" s="64">
        <f t="shared" si="254"/>
        <v>8</v>
      </c>
      <c r="FE94" s="64">
        <f t="shared" si="254"/>
        <v>0</v>
      </c>
      <c r="FF94" s="64">
        <f t="shared" si="254"/>
        <v>4</v>
      </c>
      <c r="FG94" s="64">
        <f t="shared" si="254"/>
        <v>8</v>
      </c>
      <c r="FH94" s="64">
        <f t="shared" si="254"/>
        <v>0</v>
      </c>
      <c r="FI94" s="64">
        <f t="shared" si="254"/>
        <v>4</v>
      </c>
      <c r="FJ94" s="64"/>
      <c r="FK94" s="64" t="s">
        <v>240</v>
      </c>
      <c r="FL94" s="64">
        <v>0</v>
      </c>
      <c r="FM94" s="64">
        <f>CP92</f>
        <v>4</v>
      </c>
      <c r="FN94" s="64">
        <f>CQ92</f>
        <v>0</v>
      </c>
      <c r="FO94" s="64">
        <v>0</v>
      </c>
      <c r="FP94" s="64">
        <f t="shared" ref="FP94:GI94" si="255">CS92</f>
        <v>4</v>
      </c>
      <c r="FQ94" s="64">
        <f t="shared" si="255"/>
        <v>8</v>
      </c>
      <c r="FR94" s="64">
        <f t="shared" si="255"/>
        <v>0</v>
      </c>
      <c r="FS94" s="64">
        <f t="shared" si="255"/>
        <v>4</v>
      </c>
      <c r="FT94" s="64">
        <f t="shared" si="255"/>
        <v>8</v>
      </c>
      <c r="FU94" s="64">
        <f t="shared" si="255"/>
        <v>0</v>
      </c>
      <c r="FV94" s="64">
        <f t="shared" si="255"/>
        <v>4</v>
      </c>
      <c r="FW94" s="64">
        <f t="shared" si="255"/>
        <v>8</v>
      </c>
      <c r="FX94" s="64">
        <f t="shared" si="255"/>
        <v>0</v>
      </c>
      <c r="FY94" s="64">
        <f t="shared" si="255"/>
        <v>8</v>
      </c>
      <c r="FZ94" s="64">
        <f t="shared" si="255"/>
        <v>0</v>
      </c>
      <c r="GA94" s="64">
        <f t="shared" si="255"/>
        <v>4</v>
      </c>
      <c r="GB94" s="64">
        <f t="shared" si="255"/>
        <v>8</v>
      </c>
      <c r="GC94" s="64">
        <f t="shared" si="255"/>
        <v>0</v>
      </c>
      <c r="GD94" s="64">
        <f t="shared" si="255"/>
        <v>4</v>
      </c>
      <c r="GE94" s="64">
        <f t="shared" si="255"/>
        <v>8</v>
      </c>
      <c r="GF94" s="64">
        <f t="shared" si="255"/>
        <v>0</v>
      </c>
      <c r="GG94" s="64">
        <f t="shared" si="255"/>
        <v>4</v>
      </c>
      <c r="GH94" s="64">
        <f t="shared" si="255"/>
        <v>8</v>
      </c>
      <c r="GI94" s="64">
        <f t="shared" si="255"/>
        <v>0</v>
      </c>
      <c r="GJ94" s="64"/>
      <c r="GK94" s="64"/>
      <c r="GL94" s="64"/>
      <c r="GM94" s="64"/>
      <c r="GN94" s="64"/>
      <c r="GO94" s="64"/>
      <c r="GP94" s="64"/>
      <c r="GQ94" s="64"/>
      <c r="GR94" s="64" t="s">
        <v>241</v>
      </c>
      <c r="GS94" s="64">
        <v>0</v>
      </c>
      <c r="GT94" s="64">
        <v>0</v>
      </c>
      <c r="GU94" s="64">
        <v>0</v>
      </c>
      <c r="GV94" s="64">
        <v>0</v>
      </c>
      <c r="GW94" s="64">
        <v>4</v>
      </c>
      <c r="GX94" s="64">
        <v>12</v>
      </c>
      <c r="GY94" s="64">
        <v>8</v>
      </c>
      <c r="GZ94" s="64">
        <v>4</v>
      </c>
      <c r="HA94" s="64">
        <v>0</v>
      </c>
      <c r="HB94" s="64">
        <v>12</v>
      </c>
      <c r="HC94" s="64">
        <v>8</v>
      </c>
      <c r="HD94" s="64">
        <v>0</v>
      </c>
      <c r="HE94" s="64">
        <v>12</v>
      </c>
      <c r="HF94" s="64">
        <v>8</v>
      </c>
      <c r="HG94" s="64">
        <v>4</v>
      </c>
      <c r="HH94" s="64">
        <v>0</v>
      </c>
      <c r="HI94" s="68">
        <v>12</v>
      </c>
      <c r="HJ94" s="68">
        <v>4</v>
      </c>
      <c r="HK94" s="68">
        <v>0</v>
      </c>
      <c r="HL94" s="68">
        <v>12</v>
      </c>
      <c r="HM94" s="68">
        <v>8</v>
      </c>
      <c r="HN94" s="68">
        <v>4</v>
      </c>
      <c r="HO94" s="68">
        <v>0</v>
      </c>
      <c r="HP94" s="68">
        <v>12</v>
      </c>
      <c r="HS94" s="68" t="s">
        <v>241</v>
      </c>
      <c r="HT94" s="68">
        <v>0</v>
      </c>
      <c r="HU94" s="68">
        <v>0</v>
      </c>
      <c r="HV94" s="68">
        <v>0</v>
      </c>
      <c r="HW94" s="68">
        <v>4</v>
      </c>
      <c r="HX94" s="68">
        <v>0</v>
      </c>
      <c r="HY94" s="68">
        <v>12</v>
      </c>
      <c r="HZ94" s="68">
        <v>4</v>
      </c>
      <c r="IA94" s="68">
        <v>0</v>
      </c>
      <c r="IB94" s="68">
        <v>12</v>
      </c>
      <c r="IC94" s="68">
        <v>8</v>
      </c>
      <c r="ID94" s="68">
        <v>0</v>
      </c>
      <c r="IE94" s="68">
        <v>12</v>
      </c>
      <c r="IF94" s="68">
        <v>8</v>
      </c>
      <c r="IG94" s="68">
        <v>4</v>
      </c>
      <c r="IH94" s="68">
        <v>0</v>
      </c>
      <c r="II94" s="68">
        <v>8</v>
      </c>
      <c r="IJ94" s="68">
        <v>4</v>
      </c>
      <c r="IK94" s="68">
        <v>0</v>
      </c>
      <c r="IL94" s="68">
        <v>12</v>
      </c>
      <c r="IM94" s="68">
        <v>4</v>
      </c>
      <c r="IN94" s="68">
        <v>0</v>
      </c>
      <c r="IO94" s="68">
        <v>12</v>
      </c>
      <c r="IP94" s="68">
        <v>8</v>
      </c>
      <c r="IQ94" s="68">
        <v>0</v>
      </c>
      <c r="IT94" s="71"/>
    </row>
    <row r="95" spans="1:254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290</v>
      </c>
      <c r="M95" s="11">
        <f>INDEX(cenník!$C$2:$I$568,MATCH($L95,cenník!$B$2:$B$557,0),MATCH(M$2,cenník!$C$1:$I$1,0))</f>
        <v>867810</v>
      </c>
      <c r="N95" s="11" t="str">
        <f>INDEX(cenník!$C$2:$I$568,MATCH($L95,cenník!$B$2:$B$557,0),MATCH(N$2,cenník!$C$1:$I$1,0))</f>
        <v>ks</v>
      </c>
      <c r="O95" s="11">
        <f>E70*4</f>
        <v>0</v>
      </c>
      <c r="P95" s="36">
        <f>INDEX(cenník!$C$2:$I$568,MATCH($L95,cenník!$B$2:$B$557,0),MATCH(P$2,cenník!$C$1:$I$1,0))</f>
        <v>17.5</v>
      </c>
      <c r="Q95" s="36">
        <f>O95*P95</f>
        <v>0</v>
      </c>
      <c r="R95" s="37">
        <f>$E$71</f>
        <v>0</v>
      </c>
      <c r="S95" s="36">
        <f>P95*((100-$E$71)/100)</f>
        <v>17.5</v>
      </c>
      <c r="T95" s="36">
        <f>O95*S95</f>
        <v>0</v>
      </c>
      <c r="U95" s="36">
        <f>INDEX(cenník!$C$2:$I$568,MATCH($L95,cenník!$B$2:$B$557,0),MATCH(U$2,cenník!$C$1:$I$1,0))*O95</f>
        <v>0</v>
      </c>
      <c r="V95" s="85"/>
      <c r="W95" s="72" t="s">
        <v>17</v>
      </c>
      <c r="X95" s="64" t="s">
        <v>104</v>
      </c>
      <c r="Y95" s="64" t="s">
        <v>103</v>
      </c>
      <c r="Z95" s="64" t="s">
        <v>16</v>
      </c>
      <c r="AA95" s="64">
        <f>(VLOOKUP(AO95,$AY$5:$BA$9,3,1))*C99</f>
        <v>0</v>
      </c>
      <c r="AB95" s="64">
        <f t="shared" si="252"/>
        <v>0</v>
      </c>
      <c r="AC95" s="64"/>
      <c r="AD95" s="64"/>
      <c r="AE95" s="64"/>
      <c r="AF95" s="64"/>
      <c r="AG95" s="64"/>
      <c r="AI95" s="64" t="s">
        <v>515</v>
      </c>
      <c r="AJ95" s="64" t="s">
        <v>516</v>
      </c>
      <c r="AK95" s="64" t="s">
        <v>483</v>
      </c>
      <c r="AL95" s="64" t="s">
        <v>517</v>
      </c>
      <c r="AM95" s="64"/>
      <c r="AN95" s="64"/>
      <c r="AO95" s="64">
        <f t="shared" si="253"/>
        <v>1</v>
      </c>
      <c r="AP95" s="64" t="s">
        <v>352</v>
      </c>
      <c r="AQ95" s="64" t="s">
        <v>295</v>
      </c>
      <c r="AR95" s="64" t="s">
        <v>294</v>
      </c>
      <c r="AS95" s="64" t="s">
        <v>292</v>
      </c>
      <c r="AT95" s="64" t="s">
        <v>292</v>
      </c>
      <c r="AU95" s="64"/>
      <c r="AX95" s="64"/>
      <c r="AY95" s="64"/>
      <c r="AZ95" s="64"/>
      <c r="BA95" s="64"/>
      <c r="BB95" s="64"/>
      <c r="BC95" s="64"/>
      <c r="BD95" s="64"/>
      <c r="BE95" s="64"/>
      <c r="BF95" s="64"/>
      <c r="BG95" s="64"/>
      <c r="BH95" s="64"/>
      <c r="BI95" s="64"/>
      <c r="BJ95" s="64"/>
      <c r="BK95" s="64"/>
      <c r="BL95" s="64"/>
      <c r="BM95" s="64"/>
      <c r="BN95" s="64"/>
      <c r="BO95" s="64"/>
      <c r="BP95" s="64"/>
      <c r="BQ95" s="64"/>
      <c r="BR95" s="64"/>
      <c r="BS95" s="64"/>
      <c r="BT95" s="64"/>
      <c r="BU95" s="64"/>
      <c r="BV95" s="64"/>
      <c r="BW95" s="64"/>
      <c r="BX95" s="64"/>
      <c r="BY95" s="64"/>
      <c r="BZ95" s="64"/>
      <c r="CA95" s="64"/>
      <c r="CB95" s="64"/>
      <c r="CC95" s="64"/>
      <c r="CD95" s="64"/>
      <c r="CE95" s="64"/>
      <c r="CF95" s="64"/>
      <c r="CG95" s="64"/>
      <c r="CH95" s="64"/>
      <c r="CI95" s="64"/>
      <c r="CJ95" s="64"/>
      <c r="CK95" s="64"/>
      <c r="CL95" s="64"/>
      <c r="CM95" s="64"/>
      <c r="CN95" s="64"/>
      <c r="CO95" s="64"/>
      <c r="CP95" s="64"/>
      <c r="CQ95" s="64"/>
      <c r="CR95" s="64"/>
      <c r="CS95" s="64"/>
      <c r="CT95" s="64"/>
      <c r="CU95" s="64"/>
      <c r="CV95" s="64"/>
      <c r="CW95" s="64"/>
      <c r="CX95" s="64"/>
      <c r="CY95" s="64"/>
      <c r="CZ95" s="64"/>
      <c r="DA95" s="64"/>
      <c r="DB95" s="64"/>
      <c r="DC95" s="64"/>
      <c r="DD95" s="64"/>
      <c r="DE95" s="64"/>
      <c r="DF95" s="64"/>
      <c r="DG95" s="64"/>
      <c r="DH95" s="64"/>
      <c r="DI95" s="64"/>
      <c r="DJ95" s="64"/>
      <c r="DK95" s="64"/>
      <c r="DL95" s="64"/>
      <c r="DM95" s="64"/>
      <c r="DN95" s="64"/>
      <c r="DO95" s="64"/>
      <c r="DP95" s="64"/>
      <c r="DQ95" s="80"/>
      <c r="DR95" s="80">
        <v>28</v>
      </c>
      <c r="DS95" s="80"/>
      <c r="DT95" s="64"/>
      <c r="DU95" s="64"/>
      <c r="DV95" s="64"/>
      <c r="DW95" s="64"/>
      <c r="DX95" s="64"/>
      <c r="DY95" s="64"/>
      <c r="DZ95" s="64"/>
      <c r="EA95" s="64"/>
      <c r="EB95" s="64"/>
      <c r="EC95" s="64"/>
      <c r="ED95" s="64"/>
      <c r="EE95" s="64"/>
      <c r="EF95" s="64"/>
      <c r="EG95" s="64"/>
      <c r="EH95" s="64"/>
      <c r="EI95" s="64"/>
      <c r="EJ95" s="69"/>
      <c r="EK95" s="64" t="s">
        <v>241</v>
      </c>
      <c r="EL95" s="64">
        <v>0</v>
      </c>
      <c r="EM95" s="64">
        <f>BJ93+(BJ91*2)</f>
        <v>4</v>
      </c>
      <c r="EN95" s="64">
        <f>BK93+(BK91*2)</f>
        <v>0</v>
      </c>
      <c r="EO95" s="64">
        <v>0</v>
      </c>
      <c r="EP95" s="64">
        <f t="shared" ref="EP95:FI95" si="256">BM93+(BM91*2)</f>
        <v>8</v>
      </c>
      <c r="EQ95" s="64">
        <f t="shared" si="256"/>
        <v>4</v>
      </c>
      <c r="ER95" s="64">
        <f t="shared" si="256"/>
        <v>12</v>
      </c>
      <c r="ES95" s="64">
        <f t="shared" si="256"/>
        <v>12</v>
      </c>
      <c r="ET95" s="64">
        <f t="shared" si="256"/>
        <v>8</v>
      </c>
      <c r="EU95" s="64">
        <f t="shared" si="256"/>
        <v>4</v>
      </c>
      <c r="EV95" s="64">
        <f t="shared" si="256"/>
        <v>16</v>
      </c>
      <c r="EW95" s="64">
        <f t="shared" si="256"/>
        <v>12</v>
      </c>
      <c r="EX95" s="64">
        <f t="shared" si="256"/>
        <v>8</v>
      </c>
      <c r="EY95" s="64">
        <f t="shared" si="256"/>
        <v>20</v>
      </c>
      <c r="EZ95" s="64">
        <f t="shared" si="256"/>
        <v>16</v>
      </c>
      <c r="FA95" s="64">
        <f t="shared" si="256"/>
        <v>12</v>
      </c>
      <c r="FB95" s="64">
        <f t="shared" si="256"/>
        <v>24</v>
      </c>
      <c r="FC95" s="64">
        <f t="shared" si="256"/>
        <v>20</v>
      </c>
      <c r="FD95" s="64">
        <f t="shared" si="256"/>
        <v>16</v>
      </c>
      <c r="FE95" s="64">
        <f t="shared" si="256"/>
        <v>28</v>
      </c>
      <c r="FF95" s="64">
        <f t="shared" si="256"/>
        <v>24</v>
      </c>
      <c r="FG95" s="64">
        <f t="shared" si="256"/>
        <v>20</v>
      </c>
      <c r="FH95" s="64">
        <f t="shared" si="256"/>
        <v>32</v>
      </c>
      <c r="FI95" s="64">
        <f t="shared" si="256"/>
        <v>28</v>
      </c>
      <c r="FJ95" s="64"/>
      <c r="FK95" s="64" t="s">
        <v>241</v>
      </c>
      <c r="FL95" s="64">
        <v>0</v>
      </c>
      <c r="FM95" s="64">
        <f>CP93+(CP91*2)</f>
        <v>0</v>
      </c>
      <c r="FN95" s="64">
        <v>0</v>
      </c>
      <c r="FO95" s="64">
        <v>0</v>
      </c>
      <c r="FP95" s="64">
        <f t="shared" ref="FP95:GI95" si="257">CS93+(CS91*2)</f>
        <v>4</v>
      </c>
      <c r="FQ95" s="64">
        <f t="shared" si="257"/>
        <v>0</v>
      </c>
      <c r="FR95" s="64">
        <f t="shared" si="257"/>
        <v>12</v>
      </c>
      <c r="FS95" s="64">
        <f t="shared" si="257"/>
        <v>8</v>
      </c>
      <c r="FT95" s="64">
        <f t="shared" si="257"/>
        <v>4</v>
      </c>
      <c r="FU95" s="64">
        <f t="shared" si="257"/>
        <v>16</v>
      </c>
      <c r="FV95" s="64">
        <f t="shared" si="257"/>
        <v>12</v>
      </c>
      <c r="FW95" s="64">
        <f t="shared" si="257"/>
        <v>8</v>
      </c>
      <c r="FX95" s="64">
        <f t="shared" si="257"/>
        <v>20</v>
      </c>
      <c r="FY95" s="64">
        <f t="shared" si="257"/>
        <v>12</v>
      </c>
      <c r="FZ95" s="64">
        <f t="shared" si="257"/>
        <v>24</v>
      </c>
      <c r="GA95" s="64">
        <f t="shared" si="257"/>
        <v>20</v>
      </c>
      <c r="GB95" s="64">
        <f t="shared" si="257"/>
        <v>16</v>
      </c>
      <c r="GC95" s="64">
        <f t="shared" si="257"/>
        <v>28</v>
      </c>
      <c r="GD95" s="64">
        <f t="shared" si="257"/>
        <v>24</v>
      </c>
      <c r="GE95" s="64">
        <f t="shared" si="257"/>
        <v>20</v>
      </c>
      <c r="GF95" s="64">
        <f t="shared" si="257"/>
        <v>32</v>
      </c>
      <c r="GG95" s="64">
        <f t="shared" si="257"/>
        <v>28</v>
      </c>
      <c r="GH95" s="64">
        <f t="shared" si="257"/>
        <v>24</v>
      </c>
      <c r="GI95" s="64">
        <f t="shared" si="257"/>
        <v>36</v>
      </c>
      <c r="GJ95" s="64"/>
      <c r="GK95" s="64"/>
      <c r="GL95" s="64"/>
      <c r="GM95" s="64"/>
      <c r="GN95" s="64"/>
      <c r="GO95" s="64"/>
      <c r="GP95" s="64"/>
      <c r="GQ95" s="64"/>
      <c r="GR95" s="72" t="s">
        <v>364</v>
      </c>
      <c r="GS95" s="64">
        <v>0</v>
      </c>
      <c r="GT95" s="64">
        <v>0</v>
      </c>
      <c r="GU95" s="64">
        <v>0</v>
      </c>
      <c r="GV95" s="64">
        <v>0</v>
      </c>
      <c r="GW95" s="64">
        <v>4</v>
      </c>
      <c r="GX95" s="64">
        <v>8</v>
      </c>
      <c r="GY95" s="64">
        <v>8</v>
      </c>
      <c r="GZ95" s="64">
        <v>8</v>
      </c>
      <c r="HA95" s="64">
        <v>8</v>
      </c>
      <c r="HB95" s="64">
        <v>12</v>
      </c>
      <c r="HC95" s="64">
        <v>12</v>
      </c>
      <c r="HD95" s="64">
        <v>12</v>
      </c>
      <c r="HE95" s="64">
        <v>16</v>
      </c>
      <c r="HF95" s="64">
        <v>16</v>
      </c>
      <c r="HG95" s="64">
        <v>16</v>
      </c>
      <c r="HH95" s="64">
        <v>16</v>
      </c>
      <c r="HI95" s="68">
        <v>20</v>
      </c>
      <c r="HJ95" s="68">
        <v>20</v>
      </c>
      <c r="HK95" s="68">
        <v>20</v>
      </c>
      <c r="HL95" s="68">
        <v>24</v>
      </c>
      <c r="HM95" s="68">
        <v>24</v>
      </c>
      <c r="HN95" s="68">
        <v>24</v>
      </c>
      <c r="HO95" s="68">
        <v>24</v>
      </c>
      <c r="HP95" s="68">
        <v>28</v>
      </c>
      <c r="HS95" s="68" t="s">
        <v>242</v>
      </c>
      <c r="HT95" s="68">
        <v>0</v>
      </c>
      <c r="HU95" s="68">
        <v>0</v>
      </c>
      <c r="HV95" s="68">
        <v>0</v>
      </c>
      <c r="HW95" s="68">
        <v>4</v>
      </c>
      <c r="HX95" s="68">
        <v>4</v>
      </c>
      <c r="HY95" s="68">
        <v>8</v>
      </c>
      <c r="HZ95" s="68">
        <v>8</v>
      </c>
      <c r="IA95" s="68">
        <v>8</v>
      </c>
      <c r="IB95" s="68">
        <v>12</v>
      </c>
      <c r="IC95" s="68">
        <v>12</v>
      </c>
      <c r="ID95" s="68">
        <v>12</v>
      </c>
      <c r="IE95" s="68">
        <v>16</v>
      </c>
      <c r="IF95" s="68">
        <v>16</v>
      </c>
      <c r="IG95" s="68">
        <v>16</v>
      </c>
      <c r="IH95" s="68">
        <v>16</v>
      </c>
      <c r="II95" s="68">
        <v>20</v>
      </c>
      <c r="IJ95" s="68">
        <v>20</v>
      </c>
      <c r="IK95" s="68">
        <v>20</v>
      </c>
      <c r="IL95" s="68">
        <v>24</v>
      </c>
      <c r="IM95" s="68">
        <v>24</v>
      </c>
      <c r="IN95" s="68">
        <v>24</v>
      </c>
      <c r="IO95" s="68">
        <v>28</v>
      </c>
      <c r="IP95" s="68">
        <v>28</v>
      </c>
      <c r="IQ95" s="68">
        <v>28</v>
      </c>
      <c r="IT95" s="71"/>
    </row>
    <row r="96" spans="1:254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6"/>
      <c r="Q96" s="36"/>
      <c r="R96" s="36"/>
      <c r="S96" s="36"/>
      <c r="T96" s="36">
        <f>SUM(T67:T95)</f>
        <v>0</v>
      </c>
      <c r="U96" s="36">
        <f>SUM(U67:U95)</f>
        <v>0</v>
      </c>
      <c r="V96" s="85"/>
      <c r="W96" s="87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87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87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87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64">
        <f t="shared" ref="AA96:AA109" si="258">(VLOOKUP(AO96,$AY$5:$BA$9,3,1))*C100</f>
        <v>0</v>
      </c>
      <c r="AB96" s="64">
        <f t="shared" si="252"/>
        <v>0</v>
      </c>
      <c r="AC96" s="64"/>
      <c r="AD96" s="64"/>
      <c r="AE96" s="64"/>
      <c r="AF96" s="64"/>
      <c r="AG96" s="64"/>
      <c r="AH96" s="64">
        <v>25</v>
      </c>
      <c r="AI96" s="64" t="s">
        <v>490</v>
      </c>
      <c r="AJ96" s="64" t="s">
        <v>491</v>
      </c>
      <c r="AK96" s="64" t="s">
        <v>492</v>
      </c>
      <c r="AL96" s="64" t="s">
        <v>493</v>
      </c>
      <c r="AM96" s="64"/>
      <c r="AN96" s="64"/>
      <c r="AO96" s="64">
        <f t="shared" si="253"/>
        <v>1</v>
      </c>
      <c r="AP96" s="64" t="s">
        <v>386</v>
      </c>
      <c r="AQ96" s="64" t="s">
        <v>295</v>
      </c>
      <c r="AR96" s="64" t="s">
        <v>294</v>
      </c>
      <c r="AS96" s="64" t="s">
        <v>292</v>
      </c>
      <c r="AT96" s="64" t="s">
        <v>292</v>
      </c>
      <c r="AU96" s="64"/>
      <c r="BG96" s="64"/>
      <c r="BH96" s="64"/>
      <c r="BI96" s="64"/>
      <c r="BJ96" s="64"/>
      <c r="BK96" s="64"/>
      <c r="BL96" s="64"/>
      <c r="BM96" s="64"/>
      <c r="BN96" s="64"/>
      <c r="BO96" s="64"/>
      <c r="BP96" s="64"/>
      <c r="BQ96" s="64"/>
      <c r="BR96" s="64"/>
      <c r="BS96" s="64"/>
      <c r="BT96" s="64"/>
      <c r="BU96" s="64"/>
      <c r="BV96" s="64"/>
      <c r="BW96" s="64"/>
      <c r="BX96" s="64"/>
      <c r="BY96" s="64"/>
      <c r="BZ96" s="64"/>
      <c r="CA96" s="64"/>
      <c r="CB96" s="64"/>
      <c r="CC96" s="64"/>
      <c r="CD96" s="64"/>
      <c r="CE96" s="64"/>
      <c r="CF96" s="64"/>
      <c r="CG96" s="64"/>
      <c r="CH96" s="64"/>
      <c r="CI96" s="64"/>
      <c r="CJ96" s="64"/>
      <c r="CK96" s="64"/>
      <c r="CL96" s="64"/>
      <c r="CM96" s="64"/>
      <c r="CN96" s="64"/>
      <c r="CO96" s="64"/>
      <c r="CP96" s="64"/>
      <c r="CQ96" s="64"/>
      <c r="CR96" s="64"/>
      <c r="CS96" s="64"/>
      <c r="CT96" s="64"/>
      <c r="CU96" s="64"/>
      <c r="CV96" s="64"/>
      <c r="CW96" s="64"/>
      <c r="CX96" s="64"/>
      <c r="CY96" s="64"/>
      <c r="CZ96" s="64"/>
      <c r="DA96" s="64"/>
      <c r="DB96" s="64"/>
      <c r="DC96" s="64"/>
      <c r="DD96" s="64"/>
      <c r="DE96" s="64"/>
      <c r="DF96" s="64"/>
      <c r="DG96" s="64"/>
      <c r="DH96" s="64"/>
      <c r="DI96" s="64"/>
      <c r="DJ96" s="64"/>
      <c r="DK96" s="64"/>
      <c r="DL96" s="64"/>
      <c r="DM96" s="64"/>
      <c r="DN96" s="64"/>
      <c r="DO96" s="64"/>
      <c r="DP96" s="64"/>
      <c r="DQ96" s="80"/>
      <c r="DR96" s="80">
        <v>30</v>
      </c>
      <c r="DS96" s="80"/>
      <c r="DT96" s="64"/>
      <c r="DU96" s="64"/>
      <c r="DV96" s="64"/>
      <c r="DW96" s="64"/>
      <c r="DX96" s="64"/>
      <c r="DY96" s="64"/>
      <c r="DZ96" s="64"/>
      <c r="EA96" s="64"/>
      <c r="EB96" s="64"/>
      <c r="EC96" s="64"/>
      <c r="ED96" s="64"/>
      <c r="EE96" s="64"/>
      <c r="EF96" s="64"/>
      <c r="EG96" s="64"/>
      <c r="EH96" s="64"/>
      <c r="EI96" s="64"/>
      <c r="EJ96" s="69"/>
      <c r="EK96" s="72" t="s">
        <v>364</v>
      </c>
      <c r="EL96" s="64">
        <v>0</v>
      </c>
      <c r="EM96" s="64">
        <f>((SUM(EM94:EM95)/4)-1)*4</f>
        <v>0</v>
      </c>
      <c r="EN96" s="64">
        <f t="shared" ref="EN96:EX96" si="259">((SUM(EN94:EN95)/4)-1)*4</f>
        <v>0</v>
      </c>
      <c r="EO96" s="64">
        <v>0</v>
      </c>
      <c r="EP96" s="64">
        <f t="shared" si="259"/>
        <v>4</v>
      </c>
      <c r="EQ96" s="64">
        <f t="shared" si="259"/>
        <v>4</v>
      </c>
      <c r="ER96" s="64">
        <f t="shared" si="259"/>
        <v>8</v>
      </c>
      <c r="ES96" s="64">
        <f t="shared" si="259"/>
        <v>8</v>
      </c>
      <c r="ET96" s="64">
        <f t="shared" si="259"/>
        <v>8</v>
      </c>
      <c r="EU96" s="64">
        <f t="shared" si="259"/>
        <v>8</v>
      </c>
      <c r="EV96" s="64">
        <f t="shared" si="259"/>
        <v>12</v>
      </c>
      <c r="EW96" s="64">
        <f t="shared" si="259"/>
        <v>12</v>
      </c>
      <c r="EX96" s="64">
        <f t="shared" si="259"/>
        <v>12</v>
      </c>
      <c r="EY96" s="64">
        <f>((SUM(EY94:EY95)/4)-1)*4</f>
        <v>16</v>
      </c>
      <c r="EZ96" s="64">
        <f t="shared" ref="EZ96:FI96" si="260">((SUM(EZ94:EZ95)/4)-1)*4</f>
        <v>16</v>
      </c>
      <c r="FA96" s="64">
        <f t="shared" si="260"/>
        <v>16</v>
      </c>
      <c r="FB96" s="64">
        <f t="shared" si="260"/>
        <v>20</v>
      </c>
      <c r="FC96" s="64">
        <f t="shared" si="260"/>
        <v>20</v>
      </c>
      <c r="FD96" s="64">
        <f t="shared" si="260"/>
        <v>20</v>
      </c>
      <c r="FE96" s="64">
        <f t="shared" si="260"/>
        <v>24</v>
      </c>
      <c r="FF96" s="64">
        <f t="shared" si="260"/>
        <v>24</v>
      </c>
      <c r="FG96" s="64">
        <f t="shared" si="260"/>
        <v>24</v>
      </c>
      <c r="FH96" s="64">
        <f t="shared" si="260"/>
        <v>28</v>
      </c>
      <c r="FI96" s="64">
        <f t="shared" si="260"/>
        <v>28</v>
      </c>
      <c r="FJ96" s="64"/>
      <c r="FK96" s="64" t="s">
        <v>242</v>
      </c>
      <c r="FL96" s="64">
        <v>0</v>
      </c>
      <c r="FM96" s="64">
        <f>((SUM(FM94:FM95)/4)-1)*4</f>
        <v>0</v>
      </c>
      <c r="FN96" s="64">
        <v>0</v>
      </c>
      <c r="FO96" s="64">
        <v>0</v>
      </c>
      <c r="FP96" s="64">
        <f t="shared" ref="FP96:FX96" si="261">((SUM(FP94:FP95)/4)-1)*4</f>
        <v>4</v>
      </c>
      <c r="FQ96" s="64">
        <f t="shared" si="261"/>
        <v>4</v>
      </c>
      <c r="FR96" s="64">
        <f t="shared" si="261"/>
        <v>8</v>
      </c>
      <c r="FS96" s="64">
        <f t="shared" si="261"/>
        <v>8</v>
      </c>
      <c r="FT96" s="64">
        <f t="shared" si="261"/>
        <v>8</v>
      </c>
      <c r="FU96" s="64">
        <f t="shared" si="261"/>
        <v>12</v>
      </c>
      <c r="FV96" s="64">
        <f t="shared" si="261"/>
        <v>12</v>
      </c>
      <c r="FW96" s="64">
        <f t="shared" si="261"/>
        <v>12</v>
      </c>
      <c r="FX96" s="64">
        <f t="shared" si="261"/>
        <v>16</v>
      </c>
      <c r="FY96" s="64">
        <f>((SUM(FY94:FY95)/4)-1)*4</f>
        <v>16</v>
      </c>
      <c r="FZ96" s="64">
        <f t="shared" ref="FZ96:GI96" si="262">((SUM(FZ94:FZ95)/4)-1)*4</f>
        <v>20</v>
      </c>
      <c r="GA96" s="64">
        <f t="shared" si="262"/>
        <v>20</v>
      </c>
      <c r="GB96" s="64">
        <f t="shared" si="262"/>
        <v>20</v>
      </c>
      <c r="GC96" s="64">
        <f t="shared" si="262"/>
        <v>24</v>
      </c>
      <c r="GD96" s="64">
        <f t="shared" si="262"/>
        <v>24</v>
      </c>
      <c r="GE96" s="64">
        <f t="shared" si="262"/>
        <v>24</v>
      </c>
      <c r="GF96" s="64">
        <f t="shared" si="262"/>
        <v>28</v>
      </c>
      <c r="GG96" s="64">
        <f t="shared" si="262"/>
        <v>28</v>
      </c>
      <c r="GH96" s="64">
        <f t="shared" si="262"/>
        <v>28</v>
      </c>
      <c r="GI96" s="64">
        <f t="shared" si="262"/>
        <v>32</v>
      </c>
      <c r="GJ96" s="64"/>
      <c r="GK96" s="64"/>
      <c r="GL96" s="64"/>
      <c r="GM96" s="64"/>
      <c r="GN96" s="64"/>
      <c r="GO96" s="64"/>
      <c r="GP96" s="64"/>
      <c r="GQ96" s="64"/>
      <c r="GR96" s="64" t="s">
        <v>324</v>
      </c>
      <c r="GS96" s="64">
        <v>0</v>
      </c>
      <c r="GT96" s="64">
        <v>0</v>
      </c>
      <c r="GU96" s="64">
        <v>0</v>
      </c>
      <c r="GV96" s="64">
        <v>0</v>
      </c>
      <c r="GW96" s="64">
        <v>4</v>
      </c>
      <c r="GX96" s="64">
        <v>8</v>
      </c>
      <c r="GY96" s="64">
        <v>8</v>
      </c>
      <c r="GZ96" s="64">
        <v>8</v>
      </c>
      <c r="HA96" s="64">
        <v>8</v>
      </c>
      <c r="HB96" s="64">
        <v>12</v>
      </c>
      <c r="HC96" s="64">
        <v>12</v>
      </c>
      <c r="HD96" s="64">
        <v>12</v>
      </c>
      <c r="HE96" s="64">
        <v>16</v>
      </c>
      <c r="HF96" s="64">
        <v>16</v>
      </c>
      <c r="HG96" s="64">
        <v>16</v>
      </c>
      <c r="HH96" s="64">
        <v>16</v>
      </c>
      <c r="HI96" s="68">
        <v>20</v>
      </c>
      <c r="HJ96" s="68">
        <v>20</v>
      </c>
      <c r="HK96" s="68">
        <v>20</v>
      </c>
      <c r="HL96" s="68">
        <v>24</v>
      </c>
      <c r="HM96" s="68">
        <v>24</v>
      </c>
      <c r="HN96" s="68">
        <v>24</v>
      </c>
      <c r="HO96" s="68">
        <v>24</v>
      </c>
      <c r="HP96" s="68">
        <v>28</v>
      </c>
      <c r="HS96" s="68" t="s">
        <v>324</v>
      </c>
      <c r="HT96" s="68">
        <v>0</v>
      </c>
      <c r="HU96" s="68">
        <v>0</v>
      </c>
      <c r="HV96" s="68">
        <v>0</v>
      </c>
      <c r="HW96" s="68">
        <v>4</v>
      </c>
      <c r="HX96" s="68">
        <v>4</v>
      </c>
      <c r="HY96" s="68">
        <v>8</v>
      </c>
      <c r="HZ96" s="68">
        <v>8</v>
      </c>
      <c r="IA96" s="68">
        <v>8</v>
      </c>
      <c r="IB96" s="68">
        <v>12</v>
      </c>
      <c r="IC96" s="68">
        <v>12</v>
      </c>
      <c r="ID96" s="68">
        <v>12</v>
      </c>
      <c r="IE96" s="68">
        <v>16</v>
      </c>
      <c r="IF96" s="68">
        <v>16</v>
      </c>
      <c r="IG96" s="68">
        <v>16</v>
      </c>
      <c r="IH96" s="68">
        <v>16</v>
      </c>
      <c r="II96" s="68">
        <v>20</v>
      </c>
      <c r="IJ96" s="68">
        <v>20</v>
      </c>
      <c r="IK96" s="68">
        <v>20</v>
      </c>
      <c r="IL96" s="68">
        <v>24</v>
      </c>
      <c r="IM96" s="68">
        <v>24</v>
      </c>
      <c r="IN96" s="68">
        <v>24</v>
      </c>
      <c r="IO96" s="68">
        <v>28</v>
      </c>
      <c r="IP96" s="68">
        <v>28</v>
      </c>
      <c r="IQ96" s="68">
        <v>28</v>
      </c>
      <c r="IT96" s="71"/>
    </row>
    <row r="97" spans="1:254" ht="39" x14ac:dyDescent="0.25">
      <c r="A97" s="3" t="s">
        <v>554</v>
      </c>
      <c r="B97" s="3"/>
      <c r="C97" s="3" t="s">
        <v>555</v>
      </c>
      <c r="D97" s="9"/>
      <c r="E97" s="9"/>
      <c r="F97" s="9"/>
      <c r="G97" s="9"/>
      <c r="H97" s="9"/>
      <c r="I97" s="9"/>
      <c r="J97" s="9"/>
      <c r="K97" s="9"/>
      <c r="L97" s="221" t="str">
        <f>INDEX((AI96:AL97),MATCH(E106,AH96:AH97,0),MATCH(E101,AI95:AL95,0))</f>
        <v>KONŠTRUKCIA W-V2G2-30°</v>
      </c>
      <c r="M97" s="221"/>
      <c r="N97" s="221"/>
      <c r="O97" s="221"/>
      <c r="P97" s="221"/>
      <c r="Q97" s="221"/>
      <c r="R97" s="221"/>
      <c r="S97" s="221"/>
      <c r="T97" s="221"/>
      <c r="U97" s="221"/>
      <c r="V97" s="85"/>
      <c r="W97" s="87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87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87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87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64">
        <f>(VLOOKUP(AO97,$AY$5:$BA$9,3,1))*C101</f>
        <v>0</v>
      </c>
      <c r="AB97" s="64">
        <f t="shared" si="252"/>
        <v>0</v>
      </c>
      <c r="AD97" s="64"/>
      <c r="AE97" s="64"/>
      <c r="AF97" s="64"/>
      <c r="AG97" s="64"/>
      <c r="AH97" s="64">
        <v>30</v>
      </c>
      <c r="AI97" s="64" t="s">
        <v>494</v>
      </c>
      <c r="AJ97" s="64" t="s">
        <v>495</v>
      </c>
      <c r="AK97" s="64" t="s">
        <v>496</v>
      </c>
      <c r="AL97" s="64" t="s">
        <v>497</v>
      </c>
      <c r="AM97" s="64"/>
      <c r="AN97" s="64"/>
      <c r="AO97" s="64">
        <f t="shared" si="253"/>
        <v>1</v>
      </c>
      <c r="AP97" s="64" t="s">
        <v>387</v>
      </c>
      <c r="AQ97" s="64" t="s">
        <v>295</v>
      </c>
      <c r="AS97" s="64" t="s">
        <v>292</v>
      </c>
      <c r="AT97" s="64" t="s">
        <v>292</v>
      </c>
      <c r="AU97" s="64"/>
      <c r="BG97" s="64"/>
      <c r="BH97" s="64"/>
      <c r="BI97" s="64"/>
      <c r="BJ97" s="64"/>
      <c r="BK97" s="64"/>
      <c r="BL97" s="64"/>
      <c r="BM97" s="64"/>
      <c r="BN97" s="64"/>
      <c r="BO97" s="64"/>
      <c r="BP97" s="64"/>
      <c r="BQ97" s="64"/>
      <c r="BR97" s="64"/>
      <c r="BS97" s="64"/>
      <c r="BT97" s="64"/>
      <c r="BU97" s="64"/>
      <c r="BV97" s="64"/>
      <c r="BW97" s="64"/>
      <c r="BX97" s="64"/>
      <c r="BY97" s="64"/>
      <c r="BZ97" s="64"/>
      <c r="CA97" s="64"/>
      <c r="CB97" s="64"/>
      <c r="CC97" s="64"/>
      <c r="CD97" s="64"/>
      <c r="CE97" s="64"/>
      <c r="CF97" s="64"/>
      <c r="CG97" s="64"/>
      <c r="CH97" s="64"/>
      <c r="CI97" s="64"/>
      <c r="CJ97" s="64"/>
      <c r="CK97" s="64"/>
      <c r="CL97" s="64"/>
      <c r="CM97" s="64"/>
      <c r="CN97" s="64"/>
      <c r="CO97" s="64"/>
      <c r="CP97" s="64"/>
      <c r="CQ97" s="64"/>
      <c r="CR97" s="64"/>
      <c r="CS97" s="64"/>
      <c r="CT97" s="64"/>
      <c r="CU97" s="64"/>
      <c r="CV97" s="64"/>
      <c r="CW97" s="64"/>
      <c r="CX97" s="64"/>
      <c r="CY97" s="64"/>
      <c r="CZ97" s="64"/>
      <c r="DA97" s="64"/>
      <c r="DB97" s="64"/>
      <c r="DC97" s="64"/>
      <c r="DD97" s="64"/>
      <c r="DE97" s="64"/>
      <c r="DF97" s="64"/>
      <c r="DG97" s="64"/>
      <c r="DH97" s="64"/>
      <c r="DI97" s="64"/>
      <c r="DJ97" s="64"/>
      <c r="DK97" s="64"/>
      <c r="DL97" s="64"/>
      <c r="DM97" s="64"/>
      <c r="DN97" s="64"/>
      <c r="DO97" s="64"/>
      <c r="DP97" s="64"/>
      <c r="DQ97" s="80"/>
      <c r="DR97" s="80">
        <v>32</v>
      </c>
      <c r="DS97" s="80"/>
      <c r="DT97" s="64"/>
      <c r="DU97" s="64"/>
      <c r="DV97" s="64"/>
      <c r="DW97" s="64"/>
      <c r="DX97" s="64"/>
      <c r="DY97" s="64"/>
      <c r="DZ97" s="64"/>
      <c r="EA97" s="64"/>
      <c r="EB97" s="64"/>
      <c r="EC97" s="64"/>
      <c r="ED97" s="64"/>
      <c r="EE97" s="64"/>
      <c r="EF97" s="64"/>
      <c r="EG97" s="64"/>
      <c r="EH97" s="64"/>
      <c r="EI97" s="64"/>
      <c r="EJ97" s="69"/>
      <c r="EK97" s="64" t="s">
        <v>324</v>
      </c>
      <c r="EL97" s="64">
        <v>0</v>
      </c>
      <c r="EM97" s="64">
        <v>0</v>
      </c>
      <c r="EN97" s="64">
        <v>0</v>
      </c>
      <c r="EO97" s="64">
        <v>0</v>
      </c>
      <c r="EP97" s="64">
        <v>4</v>
      </c>
      <c r="EQ97" s="64">
        <v>4</v>
      </c>
      <c r="ER97" s="64">
        <v>8</v>
      </c>
      <c r="ES97" s="64">
        <v>8</v>
      </c>
      <c r="ET97" s="64">
        <v>8</v>
      </c>
      <c r="EU97" s="64">
        <v>8</v>
      </c>
      <c r="EV97" s="64">
        <v>12</v>
      </c>
      <c r="EW97" s="64">
        <v>12</v>
      </c>
      <c r="EX97" s="64">
        <v>12</v>
      </c>
      <c r="EY97" s="64">
        <v>16</v>
      </c>
      <c r="EZ97" s="64">
        <v>16</v>
      </c>
      <c r="FA97" s="64">
        <v>16</v>
      </c>
      <c r="FB97" s="64">
        <v>20</v>
      </c>
      <c r="FC97" s="64">
        <v>20</v>
      </c>
      <c r="FD97" s="64">
        <v>20</v>
      </c>
      <c r="FE97" s="64">
        <v>24</v>
      </c>
      <c r="FF97" s="64">
        <v>24</v>
      </c>
      <c r="FG97" s="64">
        <v>24</v>
      </c>
      <c r="FH97" s="64">
        <v>28</v>
      </c>
      <c r="FI97" s="64">
        <v>28</v>
      </c>
      <c r="FJ97" s="64"/>
      <c r="FK97" s="64" t="s">
        <v>324</v>
      </c>
      <c r="FL97" s="64">
        <v>0</v>
      </c>
      <c r="FM97" s="64">
        <v>0</v>
      </c>
      <c r="FN97" s="64">
        <v>0</v>
      </c>
      <c r="FO97" s="64">
        <v>0</v>
      </c>
      <c r="FP97" s="64">
        <v>4</v>
      </c>
      <c r="FQ97" s="64">
        <v>4</v>
      </c>
      <c r="FR97" s="64">
        <v>8</v>
      </c>
      <c r="FS97" s="64">
        <v>8</v>
      </c>
      <c r="FT97" s="64">
        <v>8</v>
      </c>
      <c r="FU97" s="64">
        <v>12</v>
      </c>
      <c r="FV97" s="64">
        <v>12</v>
      </c>
      <c r="FW97" s="64">
        <v>12</v>
      </c>
      <c r="FX97" s="64">
        <v>16</v>
      </c>
      <c r="FY97" s="64">
        <v>16</v>
      </c>
      <c r="FZ97" s="64">
        <v>20</v>
      </c>
      <c r="GA97" s="64">
        <v>20</v>
      </c>
      <c r="GB97" s="64">
        <v>20</v>
      </c>
      <c r="GC97" s="64">
        <v>24</v>
      </c>
      <c r="GD97" s="64">
        <v>24</v>
      </c>
      <c r="GE97" s="64">
        <v>24</v>
      </c>
      <c r="GF97" s="64">
        <v>28</v>
      </c>
      <c r="GG97" s="64">
        <v>28</v>
      </c>
      <c r="GH97" s="64">
        <v>28</v>
      </c>
      <c r="GI97" s="64">
        <v>32</v>
      </c>
      <c r="GJ97" s="64"/>
      <c r="GK97" s="64"/>
      <c r="GL97" s="64"/>
      <c r="GM97" s="64"/>
      <c r="GN97" s="64"/>
      <c r="GO97" s="64"/>
      <c r="GP97" s="64"/>
      <c r="GQ97" s="64"/>
      <c r="GR97" s="64"/>
      <c r="GS97" s="64"/>
      <c r="GT97" s="64"/>
      <c r="GU97" s="64"/>
      <c r="GV97" s="64"/>
      <c r="GW97" s="64"/>
      <c r="GX97" s="64"/>
      <c r="GY97" s="64"/>
      <c r="GZ97" s="64"/>
      <c r="HA97" s="64"/>
      <c r="HB97" s="64"/>
      <c r="HC97" s="64"/>
      <c r="HD97" s="64"/>
      <c r="HE97" s="64"/>
      <c r="HF97" s="64"/>
      <c r="HG97" s="64"/>
      <c r="HH97" s="64"/>
      <c r="IT97" s="71"/>
    </row>
    <row r="98" spans="1:254" x14ac:dyDescent="0.25">
      <c r="A98" s="8"/>
      <c r="B98" s="5" t="s">
        <v>61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53</v>
      </c>
      <c r="M98" s="5" t="s">
        <v>559</v>
      </c>
      <c r="N98" s="5" t="s">
        <v>436</v>
      </c>
      <c r="O98" s="5" t="s">
        <v>442</v>
      </c>
      <c r="P98" s="5" t="s">
        <v>443</v>
      </c>
      <c r="Q98" s="5" t="s">
        <v>444</v>
      </c>
      <c r="R98" s="5" t="s">
        <v>445</v>
      </c>
      <c r="S98" s="5" t="s">
        <v>446</v>
      </c>
      <c r="T98" s="5" t="s">
        <v>447</v>
      </c>
      <c r="U98" s="5" t="s">
        <v>438</v>
      </c>
      <c r="V98" s="85"/>
      <c r="W98" s="87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87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87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87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64">
        <f t="shared" si="258"/>
        <v>0</v>
      </c>
      <c r="AB98" s="64">
        <f t="shared" si="252"/>
        <v>0</v>
      </c>
      <c r="AD98" s="64"/>
      <c r="AE98" s="64"/>
      <c r="AF98" s="64"/>
      <c r="AG98" s="64"/>
      <c r="AH98" s="64"/>
      <c r="AI98" s="64"/>
      <c r="AJ98" s="64"/>
      <c r="AK98" s="64"/>
      <c r="AL98" s="64"/>
      <c r="AM98" s="64"/>
      <c r="AN98" s="64"/>
      <c r="AO98" s="64">
        <f t="shared" si="253"/>
        <v>1</v>
      </c>
      <c r="AU98" s="64"/>
      <c r="BG98" s="64"/>
      <c r="BH98" s="64"/>
      <c r="BI98" s="64"/>
      <c r="BJ98" s="64"/>
      <c r="BK98" s="64"/>
      <c r="BL98" s="64"/>
      <c r="BM98" s="64"/>
      <c r="BN98" s="64"/>
      <c r="BO98" s="64"/>
      <c r="BP98" s="64"/>
      <c r="BQ98" s="64"/>
      <c r="BR98" s="64"/>
      <c r="BS98" s="64"/>
      <c r="BT98" s="64"/>
      <c r="BU98" s="64"/>
      <c r="BV98" s="64"/>
      <c r="BW98" s="64"/>
      <c r="BX98" s="64"/>
      <c r="BY98" s="64"/>
      <c r="BZ98" s="64"/>
      <c r="CA98" s="64"/>
      <c r="CB98" s="64"/>
      <c r="CC98" s="64"/>
      <c r="CD98" s="64"/>
      <c r="CE98" s="64"/>
      <c r="CF98" s="64"/>
      <c r="CG98" s="64"/>
      <c r="CH98" s="64"/>
      <c r="CI98" s="64"/>
      <c r="CJ98" s="64"/>
      <c r="CK98" s="64"/>
      <c r="CL98" s="64"/>
      <c r="CM98" s="64"/>
      <c r="CN98" s="64"/>
      <c r="CO98" s="64"/>
      <c r="CP98" s="64"/>
      <c r="CQ98" s="64"/>
      <c r="CR98" s="64"/>
      <c r="CS98" s="64"/>
      <c r="CT98" s="64"/>
      <c r="CU98" s="64"/>
      <c r="CV98" s="64"/>
      <c r="CW98" s="64"/>
      <c r="CX98" s="64"/>
      <c r="CY98" s="64"/>
      <c r="CZ98" s="64"/>
      <c r="DA98" s="64"/>
      <c r="DB98" s="64"/>
      <c r="DC98" s="64"/>
      <c r="DD98" s="64"/>
      <c r="DE98" s="64"/>
      <c r="DF98" s="64"/>
      <c r="DG98" s="64"/>
      <c r="DH98" s="64"/>
      <c r="DI98" s="64"/>
      <c r="DJ98" s="64"/>
      <c r="DK98" s="64"/>
      <c r="DL98" s="64"/>
      <c r="DM98" s="64"/>
      <c r="DN98" s="64"/>
      <c r="DO98" s="64"/>
      <c r="DP98" s="64"/>
      <c r="DQ98" s="80"/>
      <c r="DR98" s="80">
        <v>34</v>
      </c>
      <c r="DS98" s="80"/>
      <c r="DT98" s="64"/>
      <c r="DU98" s="64"/>
      <c r="DV98" s="64"/>
      <c r="DW98" s="64"/>
      <c r="DX98" s="64"/>
      <c r="DY98" s="64"/>
      <c r="DZ98" s="64"/>
      <c r="EA98" s="64"/>
      <c r="EB98" s="64"/>
      <c r="EC98" s="64"/>
      <c r="ED98" s="64"/>
      <c r="EE98" s="64"/>
      <c r="EF98" s="64"/>
      <c r="EG98" s="64"/>
      <c r="EH98" s="64"/>
      <c r="EI98" s="64"/>
      <c r="EJ98" s="69"/>
      <c r="EK98" s="64"/>
      <c r="EL98" s="64"/>
      <c r="EM98" s="64"/>
      <c r="EN98" s="64"/>
      <c r="EO98" s="64"/>
      <c r="EP98" s="64"/>
      <c r="EQ98" s="64"/>
      <c r="ER98" s="64"/>
      <c r="ES98" s="64"/>
      <c r="ET98" s="64"/>
      <c r="EU98" s="64"/>
      <c r="EV98" s="64"/>
      <c r="EW98" s="64"/>
      <c r="EX98" s="64"/>
      <c r="EY98" s="64"/>
      <c r="EZ98" s="64"/>
      <c r="FA98" s="64"/>
      <c r="FB98" s="64"/>
      <c r="FC98" s="64"/>
      <c r="FD98" s="64"/>
      <c r="FE98" s="64"/>
      <c r="FF98" s="64"/>
      <c r="FG98" s="64"/>
      <c r="FH98" s="64"/>
      <c r="FI98" s="64"/>
      <c r="FJ98" s="64"/>
      <c r="FK98" s="64"/>
      <c r="FL98" s="64"/>
      <c r="FM98" s="64"/>
      <c r="FN98" s="64"/>
      <c r="FO98" s="64"/>
      <c r="FP98" s="64"/>
      <c r="FQ98" s="64"/>
      <c r="FR98" s="64"/>
      <c r="FS98" s="64"/>
      <c r="FT98" s="64"/>
      <c r="FU98" s="64"/>
      <c r="FV98" s="64"/>
      <c r="FW98" s="64"/>
      <c r="FX98" s="64"/>
      <c r="FY98" s="64"/>
      <c r="FZ98" s="64"/>
      <c r="GA98" s="64"/>
      <c r="GB98" s="64"/>
      <c r="GC98" s="64"/>
      <c r="GD98" s="64"/>
      <c r="GE98" s="64"/>
      <c r="GF98" s="64"/>
      <c r="GG98" s="64"/>
      <c r="GH98" s="64"/>
      <c r="GI98" s="64"/>
      <c r="GJ98" s="64"/>
      <c r="GK98" s="64"/>
      <c r="GL98" s="64"/>
      <c r="GM98" s="64"/>
      <c r="GN98" s="64"/>
      <c r="GO98" s="64"/>
      <c r="GP98" s="64"/>
      <c r="GQ98" s="64"/>
      <c r="GR98" s="64"/>
      <c r="GS98" s="64"/>
      <c r="GT98" s="64"/>
      <c r="GU98" s="64"/>
      <c r="GV98" s="64"/>
      <c r="GW98" s="64"/>
      <c r="GX98" s="64"/>
      <c r="GY98" s="64"/>
      <c r="GZ98" s="64"/>
      <c r="HA98" s="64"/>
      <c r="HB98" s="64"/>
      <c r="HC98" s="64"/>
      <c r="HD98" s="64"/>
      <c r="HE98" s="64"/>
      <c r="HF98" s="64"/>
      <c r="HG98" s="64"/>
      <c r="HH98" s="64"/>
      <c r="HS98" s="68" t="s">
        <v>355</v>
      </c>
      <c r="HT98" s="68">
        <v>0</v>
      </c>
      <c r="HU98" s="68">
        <v>6</v>
      </c>
      <c r="HV98" s="68">
        <v>8</v>
      </c>
      <c r="HW98" s="68">
        <v>10</v>
      </c>
      <c r="HX98" s="68">
        <v>12</v>
      </c>
      <c r="HY98" s="68">
        <v>14</v>
      </c>
      <c r="HZ98" s="68">
        <v>16</v>
      </c>
      <c r="IA98" s="68">
        <v>18</v>
      </c>
      <c r="IB98" s="68">
        <v>20</v>
      </c>
      <c r="IC98" s="68">
        <v>22</v>
      </c>
      <c r="ID98" s="68">
        <v>24</v>
      </c>
      <c r="IE98" s="68">
        <v>26</v>
      </c>
      <c r="IF98" s="68">
        <v>28</v>
      </c>
      <c r="IG98" s="68">
        <v>30</v>
      </c>
      <c r="IH98" s="68">
        <v>32</v>
      </c>
      <c r="II98" s="68">
        <v>34</v>
      </c>
      <c r="IJ98" s="68">
        <v>36</v>
      </c>
      <c r="IK98" s="68">
        <v>38</v>
      </c>
      <c r="IL98" s="68">
        <v>40</v>
      </c>
      <c r="IM98" s="68">
        <v>42</v>
      </c>
      <c r="IN98" s="68">
        <v>44</v>
      </c>
      <c r="IO98" s="68">
        <v>46</v>
      </c>
      <c r="IP98" s="68">
        <v>48</v>
      </c>
      <c r="IQ98" s="68">
        <v>50</v>
      </c>
      <c r="IT98" s="71"/>
    </row>
    <row r="99" spans="1:254" x14ac:dyDescent="0.25">
      <c r="A99" s="8"/>
      <c r="B99" s="5" t="s">
        <v>61</v>
      </c>
      <c r="C99" s="8"/>
      <c r="D99" s="6" t="s">
        <v>452</v>
      </c>
      <c r="E99" s="8" t="s">
        <v>387</v>
      </c>
      <c r="F99" s="5" t="s">
        <v>61</v>
      </c>
      <c r="G99" s="8" t="s">
        <v>205</v>
      </c>
      <c r="H99" s="5" t="s">
        <v>61</v>
      </c>
      <c r="I99" s="8">
        <v>35</v>
      </c>
      <c r="J99" s="5" t="s">
        <v>62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str">
        <f>INDEX(cenník!$C$2:$I$568,MATCH($L99,cenník!$B$2:$B$557,0),MATCH(M$2,cenník!$C$1:$I$1,0))</f>
        <v>-------</v>
      </c>
      <c r="N99" s="11">
        <f>INDEX(cenník!$C$2:$I$568,MATCH($L99,cenník!$B$2:$B$557,0),MATCH(N$2,cenník!$C$1:$I$1,0))</f>
        <v>0</v>
      </c>
      <c r="O99" s="11">
        <f>IF(L99="-------",0,SUM(O101:O102))</f>
        <v>0</v>
      </c>
      <c r="P99" s="36">
        <f>INDEX(cenník!$C$2:$I$568,MATCH($L99,cenník!$B$2:$B$557,0),MATCH(P$2,cenník!$C$1:$I$1,0))</f>
        <v>0</v>
      </c>
      <c r="Q99" s="36">
        <f>O99*P99</f>
        <v>0</v>
      </c>
      <c r="R99" s="37">
        <f t="shared" ref="R99:R124" si="263">$E$103</f>
        <v>0</v>
      </c>
      <c r="S99" s="36">
        <f t="shared" ref="S99:S124" si="264">P99*((100-$E$103)/100)</f>
        <v>0</v>
      </c>
      <c r="T99" s="36">
        <f>O99*S99</f>
        <v>0</v>
      </c>
      <c r="U99" s="36">
        <f>INDEX(cenník!$C$2:$I$568,MATCH($L99,cenník!$B$2:$B$557,0),MATCH(U$2,cenník!$C$1:$I$1,0))*O99</f>
        <v>0</v>
      </c>
      <c r="V99" s="85"/>
      <c r="W99" s="87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87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87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87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64">
        <f t="shared" si="258"/>
        <v>0</v>
      </c>
      <c r="AB99" s="64">
        <f t="shared" si="252"/>
        <v>0</v>
      </c>
      <c r="AC99" s="64"/>
      <c r="AD99" s="64"/>
      <c r="AE99" s="64"/>
      <c r="AF99" s="64"/>
      <c r="AG99" s="64"/>
      <c r="AH99" s="64"/>
      <c r="AI99" s="64"/>
      <c r="AJ99" s="64"/>
      <c r="AK99" s="64"/>
      <c r="AL99" s="64"/>
      <c r="AM99" s="64"/>
      <c r="AN99" s="64"/>
      <c r="AO99" s="64">
        <f t="shared" si="253"/>
        <v>1</v>
      </c>
      <c r="AP99" s="83" t="s">
        <v>344</v>
      </c>
      <c r="AQ99" s="64"/>
      <c r="AR99" s="64"/>
      <c r="AS99" s="64"/>
      <c r="AT99" s="64"/>
      <c r="AU99" s="64"/>
      <c r="AV99" s="83" t="s">
        <v>397</v>
      </c>
      <c r="BG99" s="64"/>
      <c r="BH99" s="64"/>
      <c r="BI99" s="64"/>
      <c r="BJ99" s="64"/>
      <c r="BK99" s="64"/>
      <c r="BL99" s="64"/>
      <c r="BM99" s="64"/>
      <c r="BN99" s="64"/>
      <c r="BO99" s="64"/>
      <c r="BP99" s="64"/>
      <c r="BQ99" s="64"/>
      <c r="BR99" s="64"/>
      <c r="BS99" s="64"/>
      <c r="BT99" s="64"/>
      <c r="BU99" s="64"/>
      <c r="BV99" s="64"/>
      <c r="BW99" s="64"/>
      <c r="BX99" s="64"/>
      <c r="BY99" s="64"/>
      <c r="BZ99" s="64"/>
      <c r="CA99" s="64"/>
      <c r="CB99" s="64"/>
      <c r="CC99" s="64"/>
      <c r="CD99" s="64"/>
      <c r="CE99" s="64"/>
      <c r="CF99" s="64"/>
      <c r="CG99" s="64"/>
      <c r="CH99" s="64"/>
      <c r="CI99" s="64"/>
      <c r="CJ99" s="64"/>
      <c r="CK99" s="64"/>
      <c r="CL99" s="64"/>
      <c r="CM99" s="64"/>
      <c r="CN99" s="64"/>
      <c r="CO99" s="64"/>
      <c r="CP99" s="64"/>
      <c r="CQ99" s="64"/>
      <c r="CR99" s="64"/>
      <c r="CS99" s="64"/>
      <c r="CT99" s="64"/>
      <c r="CU99" s="64"/>
      <c r="CV99" s="64"/>
      <c r="CW99" s="64"/>
      <c r="CX99" s="64"/>
      <c r="CY99" s="64"/>
      <c r="CZ99" s="64"/>
      <c r="DA99" s="64"/>
      <c r="DB99" s="64"/>
      <c r="DC99" s="64"/>
      <c r="DD99" s="64"/>
      <c r="DE99" s="64"/>
      <c r="DF99" s="64"/>
      <c r="DG99" s="64"/>
      <c r="DH99" s="64"/>
      <c r="DI99" s="64"/>
      <c r="DJ99" s="64"/>
      <c r="DK99" s="64"/>
      <c r="DL99" s="64"/>
      <c r="DM99" s="64"/>
      <c r="DN99" s="64"/>
      <c r="DO99" s="64"/>
      <c r="DP99" s="64"/>
      <c r="DQ99" s="80"/>
      <c r="DR99" s="80">
        <v>36</v>
      </c>
      <c r="DS99" s="80"/>
      <c r="DT99" s="64"/>
      <c r="DU99" s="64"/>
      <c r="DV99" s="64"/>
      <c r="DW99" s="64"/>
      <c r="DX99" s="64"/>
      <c r="DY99" s="64"/>
      <c r="DZ99" s="64"/>
      <c r="EA99" s="64"/>
      <c r="EB99" s="64"/>
      <c r="EC99" s="64"/>
      <c r="ED99" s="64"/>
      <c r="EE99" s="64"/>
      <c r="EF99" s="64"/>
      <c r="EG99" s="64"/>
      <c r="EH99" s="64"/>
      <c r="EI99" s="64"/>
      <c r="EJ99" s="69"/>
      <c r="EK99" s="64"/>
      <c r="EL99" s="64"/>
      <c r="EM99" s="64"/>
      <c r="EN99" s="64"/>
      <c r="EO99" s="64"/>
      <c r="EP99" s="64"/>
      <c r="EQ99" s="64"/>
      <c r="ER99" s="64"/>
      <c r="ES99" s="64"/>
      <c r="ET99" s="64"/>
      <c r="EU99" s="64"/>
      <c r="EV99" s="64"/>
      <c r="EW99" s="64"/>
      <c r="EX99" s="64"/>
      <c r="EY99" s="64"/>
      <c r="EZ99" s="64"/>
      <c r="FA99" s="64"/>
      <c r="FB99" s="64"/>
      <c r="FC99" s="64"/>
      <c r="FD99" s="64"/>
      <c r="FE99" s="64"/>
      <c r="FF99" s="64"/>
      <c r="FG99" s="64"/>
      <c r="FH99" s="64"/>
      <c r="FI99" s="64"/>
      <c r="FJ99" s="64"/>
      <c r="FK99" s="64"/>
      <c r="FL99" s="64"/>
      <c r="FM99" s="64"/>
      <c r="FN99" s="64"/>
      <c r="FO99" s="64"/>
      <c r="FP99" s="64"/>
      <c r="FQ99" s="64"/>
      <c r="FR99" s="64"/>
      <c r="FS99" s="64"/>
      <c r="FT99" s="64"/>
      <c r="FU99" s="64"/>
      <c r="FV99" s="64"/>
      <c r="FW99" s="64"/>
      <c r="FX99" s="64"/>
      <c r="FY99" s="64"/>
      <c r="FZ99" s="64"/>
      <c r="GA99" s="64"/>
      <c r="GB99" s="64"/>
      <c r="GC99" s="64"/>
      <c r="GD99" s="64"/>
      <c r="GE99" s="64"/>
      <c r="GF99" s="64"/>
      <c r="GG99" s="64"/>
      <c r="GH99" s="64"/>
      <c r="GI99" s="64"/>
      <c r="GJ99" s="64"/>
      <c r="GK99" s="64"/>
      <c r="GL99" s="64"/>
      <c r="GM99" s="64"/>
      <c r="GN99" s="64"/>
      <c r="GO99" s="64"/>
      <c r="GP99" s="64"/>
      <c r="GQ99" s="64"/>
      <c r="GR99" s="64"/>
      <c r="GS99" s="64"/>
      <c r="GT99" s="64"/>
      <c r="GU99" s="64"/>
      <c r="GV99" s="64"/>
      <c r="GW99" s="64"/>
      <c r="GX99" s="64"/>
      <c r="GY99" s="64"/>
      <c r="GZ99" s="64"/>
      <c r="HA99" s="64"/>
      <c r="HB99" s="64"/>
      <c r="HC99" s="64"/>
      <c r="HD99" s="64"/>
      <c r="HE99" s="64"/>
      <c r="HF99" s="64"/>
      <c r="HG99" s="64"/>
      <c r="HH99" s="64"/>
      <c r="HS99" s="68" t="s">
        <v>286</v>
      </c>
      <c r="HT99" s="68">
        <v>0</v>
      </c>
      <c r="HU99" s="68">
        <v>0</v>
      </c>
      <c r="HV99" s="68">
        <v>4</v>
      </c>
      <c r="HW99" s="68">
        <v>0</v>
      </c>
      <c r="HX99" s="68">
        <v>0</v>
      </c>
      <c r="HY99" s="68">
        <v>0</v>
      </c>
      <c r="HZ99" s="68">
        <v>0</v>
      </c>
      <c r="IA99" s="68">
        <v>0</v>
      </c>
      <c r="IB99" s="68">
        <v>0</v>
      </c>
      <c r="IC99" s="68">
        <v>0</v>
      </c>
      <c r="ID99" s="68">
        <v>0</v>
      </c>
      <c r="IE99" s="68">
        <v>0</v>
      </c>
      <c r="IF99" s="68">
        <v>0</v>
      </c>
      <c r="IG99" s="68">
        <v>0</v>
      </c>
      <c r="IH99" s="68">
        <v>0</v>
      </c>
      <c r="II99" s="68">
        <v>0</v>
      </c>
      <c r="IJ99" s="68">
        <v>0</v>
      </c>
      <c r="IK99" s="68">
        <v>0</v>
      </c>
      <c r="IL99" s="68">
        <v>0</v>
      </c>
      <c r="IM99" s="68">
        <v>0</v>
      </c>
      <c r="IN99" s="68">
        <v>0</v>
      </c>
      <c r="IO99" s="68">
        <v>0</v>
      </c>
      <c r="IP99" s="68">
        <v>0</v>
      </c>
      <c r="IQ99" s="68">
        <v>0</v>
      </c>
      <c r="IT99" s="71"/>
    </row>
    <row r="100" spans="1:254" x14ac:dyDescent="0.25">
      <c r="A100" s="8"/>
      <c r="B100" s="5" t="s">
        <v>61</v>
      </c>
      <c r="C100" s="8"/>
      <c r="D100" s="6" t="s">
        <v>456</v>
      </c>
      <c r="E100" s="8" t="s">
        <v>466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str">
        <f>INDEX(cenník!$C$2:$I$568,MATCH($L100,cenník!$B$2:$B$557,0),MATCH(M$2,cenník!$C$1:$I$1,0))</f>
        <v>-------</v>
      </c>
      <c r="N100" s="11">
        <f>INDEX(cenník!$C$2:$I$568,MATCH($L100,cenník!$B$2:$B$557,0),MATCH(N$2,cenník!$C$1:$I$1,0))</f>
        <v>0</v>
      </c>
      <c r="O100" s="11">
        <f>IF(E101=AC7,SUM(O101:O102),IF(E101=AC8,SUM(O101:O102),IF(E101=AC5,0,IF(E101=AC6,0,0))))</f>
        <v>0</v>
      </c>
      <c r="P100" s="36">
        <f>INDEX(cenník!$C$2:$I$568,MATCH($L100,cenník!$B$2:$B$557,0),MATCH(P$2,cenník!$C$1:$I$1,0))</f>
        <v>0</v>
      </c>
      <c r="Q100" s="36">
        <f t="shared" ref="Q100:Q102" si="265">O100*P100</f>
        <v>0</v>
      </c>
      <c r="R100" s="37">
        <f t="shared" si="263"/>
        <v>0</v>
      </c>
      <c r="S100" s="36">
        <f t="shared" si="264"/>
        <v>0</v>
      </c>
      <c r="T100" s="36">
        <f>O100*S100</f>
        <v>0</v>
      </c>
      <c r="U100" s="36">
        <f>INDEX(cenník!$C$2:$I$568,MATCH($L100,cenník!$B$2:$B$557,0),MATCH(U$2,cenník!$C$1:$I$1,0))*O100</f>
        <v>0</v>
      </c>
      <c r="V100" s="85"/>
      <c r="W100" s="87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87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87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87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64">
        <f t="shared" si="258"/>
        <v>0</v>
      </c>
      <c r="AB100" s="64">
        <f t="shared" si="252"/>
        <v>0</v>
      </c>
      <c r="AC100" s="64"/>
      <c r="AD100" s="64"/>
      <c r="AE100" s="64"/>
      <c r="AF100" s="64"/>
      <c r="AG100" s="64"/>
      <c r="AH100" s="64"/>
      <c r="AI100" s="64"/>
      <c r="AJ100" s="64"/>
      <c r="AK100" s="64"/>
      <c r="AL100" s="64"/>
      <c r="AM100" s="64"/>
      <c r="AN100" s="64"/>
      <c r="AO100" s="64">
        <f t="shared" si="253"/>
        <v>1</v>
      </c>
      <c r="AP100" s="64">
        <v>30</v>
      </c>
      <c r="AQ100" s="64" t="s">
        <v>515</v>
      </c>
      <c r="AR100" s="64" t="s">
        <v>516</v>
      </c>
      <c r="AS100" s="64" t="s">
        <v>483</v>
      </c>
      <c r="AT100" s="64" t="s">
        <v>517</v>
      </c>
      <c r="AU100" s="64"/>
      <c r="AV100" s="64">
        <v>30</v>
      </c>
      <c r="AW100" s="64" t="s">
        <v>515</v>
      </c>
      <c r="AX100" s="64" t="s">
        <v>516</v>
      </c>
      <c r="AY100" s="64" t="s">
        <v>483</v>
      </c>
      <c r="AZ100" s="64" t="s">
        <v>517</v>
      </c>
      <c r="BG100" s="64"/>
      <c r="BH100" s="64"/>
      <c r="BI100" s="64"/>
      <c r="BJ100" s="64"/>
      <c r="BK100" s="64"/>
      <c r="BL100" s="64"/>
      <c r="BM100" s="64"/>
      <c r="BN100" s="64"/>
      <c r="BO100" s="64"/>
      <c r="BP100" s="64"/>
      <c r="BQ100" s="64"/>
      <c r="BR100" s="64"/>
      <c r="BS100" s="64"/>
      <c r="BT100" s="64"/>
      <c r="BU100" s="64"/>
      <c r="BV100" s="64"/>
      <c r="BW100" s="64"/>
      <c r="BX100" s="64"/>
      <c r="BY100" s="64"/>
      <c r="BZ100" s="64"/>
      <c r="CA100" s="64"/>
      <c r="CB100" s="64"/>
      <c r="CC100" s="64"/>
      <c r="CD100" s="64"/>
      <c r="CE100" s="64"/>
      <c r="CF100" s="64"/>
      <c r="CG100" s="64"/>
      <c r="CH100" s="64"/>
      <c r="CI100" s="64"/>
      <c r="CJ100" s="64"/>
      <c r="CK100" s="64"/>
      <c r="CL100" s="64"/>
      <c r="CM100" s="64"/>
      <c r="CN100" s="64"/>
      <c r="CO100" s="64"/>
      <c r="CP100" s="64"/>
      <c r="CQ100" s="64"/>
      <c r="CR100" s="64"/>
      <c r="CS100" s="64"/>
      <c r="CT100" s="64"/>
      <c r="CU100" s="64"/>
      <c r="CV100" s="64"/>
      <c r="CW100" s="64"/>
      <c r="CX100" s="64"/>
      <c r="CY100" s="64"/>
      <c r="CZ100" s="64"/>
      <c r="DA100" s="64"/>
      <c r="DB100" s="64"/>
      <c r="DC100" s="64"/>
      <c r="DD100" s="64"/>
      <c r="DE100" s="64"/>
      <c r="DF100" s="64"/>
      <c r="DG100" s="64"/>
      <c r="DH100" s="64"/>
      <c r="DI100" s="64"/>
      <c r="DJ100" s="64"/>
      <c r="DK100" s="64"/>
      <c r="DL100" s="64"/>
      <c r="DM100" s="64"/>
      <c r="DN100" s="64"/>
      <c r="DO100" s="64"/>
      <c r="DP100" s="64"/>
      <c r="DQ100" s="80"/>
      <c r="DR100" s="80">
        <v>38</v>
      </c>
      <c r="DS100" s="80"/>
      <c r="DT100" s="64"/>
      <c r="DU100" s="64"/>
      <c r="DV100" s="64"/>
      <c r="DW100" s="64"/>
      <c r="DX100" s="64"/>
      <c r="DY100" s="64"/>
      <c r="DZ100" s="64"/>
      <c r="EA100" s="64"/>
      <c r="EB100" s="64"/>
      <c r="EC100" s="64"/>
      <c r="ED100" s="64"/>
      <c r="EE100" s="64"/>
      <c r="EF100" s="64"/>
      <c r="EG100" s="64"/>
      <c r="EH100" s="64"/>
      <c r="EI100" s="64"/>
      <c r="EJ100" s="69"/>
      <c r="EK100" s="64"/>
      <c r="EL100" s="64"/>
      <c r="EM100" s="64"/>
      <c r="EN100" s="64"/>
      <c r="EO100" s="64"/>
      <c r="EP100" s="64"/>
      <c r="EQ100" s="64"/>
      <c r="ER100" s="64"/>
      <c r="ES100" s="64"/>
      <c r="ET100" s="64"/>
      <c r="EU100" s="64"/>
      <c r="EV100" s="64"/>
      <c r="EW100" s="64"/>
      <c r="EX100" s="64"/>
      <c r="EY100" s="64"/>
      <c r="EZ100" s="64"/>
      <c r="FA100" s="64"/>
      <c r="FB100" s="64"/>
      <c r="FC100" s="64"/>
      <c r="FD100" s="64"/>
      <c r="FE100" s="64"/>
      <c r="FF100" s="64"/>
      <c r="FG100" s="64"/>
      <c r="FH100" s="64"/>
      <c r="FI100" s="64"/>
      <c r="FJ100" s="64"/>
      <c r="FK100" s="64"/>
      <c r="FL100" s="64"/>
      <c r="FM100" s="64"/>
      <c r="FN100" s="64"/>
      <c r="FO100" s="64"/>
      <c r="FP100" s="64"/>
      <c r="FQ100" s="64"/>
      <c r="FR100" s="64"/>
      <c r="FS100" s="64"/>
      <c r="FT100" s="64"/>
      <c r="FU100" s="64"/>
      <c r="FV100" s="64"/>
      <c r="FW100" s="64"/>
      <c r="FX100" s="64"/>
      <c r="FY100" s="64"/>
      <c r="FZ100" s="64"/>
      <c r="GA100" s="64"/>
      <c r="GB100" s="64"/>
      <c r="GC100" s="64"/>
      <c r="GD100" s="64"/>
      <c r="GE100" s="64"/>
      <c r="GF100" s="64"/>
      <c r="GG100" s="64"/>
      <c r="GH100" s="64"/>
      <c r="GI100" s="64"/>
      <c r="GJ100" s="64"/>
      <c r="GK100" s="64"/>
      <c r="GL100" s="64"/>
      <c r="GM100" s="64"/>
      <c r="GN100" s="64"/>
      <c r="GO100" s="64"/>
      <c r="GP100" s="64"/>
      <c r="GQ100" s="64"/>
      <c r="GR100" s="64"/>
      <c r="GS100" s="64"/>
      <c r="GT100" s="64"/>
      <c r="GU100" s="64"/>
      <c r="GV100" s="64"/>
      <c r="GW100" s="64"/>
      <c r="GX100" s="64"/>
      <c r="GY100" s="64"/>
      <c r="GZ100" s="64"/>
      <c r="HA100" s="64"/>
      <c r="HB100" s="64"/>
      <c r="HC100" s="64"/>
      <c r="HD100" s="64"/>
      <c r="HE100" s="64"/>
      <c r="HF100" s="64"/>
      <c r="HG100" s="64"/>
      <c r="HH100" s="64"/>
      <c r="HS100" s="68" t="s">
        <v>240</v>
      </c>
      <c r="HT100" s="68">
        <v>0</v>
      </c>
      <c r="HU100" s="68">
        <v>4</v>
      </c>
      <c r="HV100" s="68">
        <v>0</v>
      </c>
      <c r="HW100" s="68">
        <v>4</v>
      </c>
      <c r="HX100" s="68">
        <v>8</v>
      </c>
      <c r="HY100" s="68">
        <v>4</v>
      </c>
      <c r="HZ100" s="68">
        <v>8</v>
      </c>
      <c r="IA100" s="68">
        <v>12</v>
      </c>
      <c r="IB100" s="68">
        <v>4</v>
      </c>
      <c r="IC100" s="68">
        <v>12</v>
      </c>
      <c r="ID100" s="68">
        <v>16</v>
      </c>
      <c r="IE100" s="68">
        <v>8</v>
      </c>
      <c r="IF100" s="68">
        <v>16</v>
      </c>
      <c r="IG100" s="68">
        <v>20</v>
      </c>
      <c r="IH100" s="68">
        <v>12</v>
      </c>
      <c r="II100" s="68">
        <v>20</v>
      </c>
      <c r="IJ100" s="68">
        <v>24</v>
      </c>
      <c r="IK100" s="68">
        <v>16</v>
      </c>
      <c r="IL100" s="68">
        <v>20</v>
      </c>
      <c r="IM100" s="68">
        <v>28</v>
      </c>
      <c r="IN100" s="68">
        <v>20</v>
      </c>
      <c r="IO100" s="68">
        <v>24</v>
      </c>
      <c r="IP100" s="68">
        <v>32</v>
      </c>
      <c r="IQ100" s="68">
        <v>24</v>
      </c>
      <c r="IT100" s="71"/>
    </row>
    <row r="101" spans="1:254" x14ac:dyDescent="0.25">
      <c r="A101" s="8"/>
      <c r="B101" s="5" t="s">
        <v>61</v>
      </c>
      <c r="C101" s="8"/>
      <c r="D101" s="6" t="s">
        <v>475</v>
      </c>
      <c r="E101" s="8" t="s">
        <v>515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>
        <f>INDEX(cenník!$C$2:$I$568,MATCH($L101,cenník!$B$2:$B$557,0),MATCH(M$2,cenník!$C$1:$I$1,0))</f>
        <v>864530</v>
      </c>
      <c r="N101" s="11" t="str">
        <f>INDEX(cenník!$C$2:$I$568,MATCH($L101,cenník!$B$2:$B$557,0),MATCH(N$2,cenník!$C$1:$I$1,0))</f>
        <v>ks</v>
      </c>
      <c r="O101" s="11">
        <f>SUM(AB94:AB109)</f>
        <v>0</v>
      </c>
      <c r="P101" s="36">
        <f>INDEX(cenník!$C$2:$I$568,MATCH($L101,cenník!$B$2:$B$557,0),MATCH(P$2,cenník!$C$1:$I$1,0))</f>
        <v>47.19</v>
      </c>
      <c r="Q101" s="36">
        <f t="shared" si="265"/>
        <v>0</v>
      </c>
      <c r="R101" s="37">
        <f t="shared" si="263"/>
        <v>0</v>
      </c>
      <c r="S101" s="36">
        <f t="shared" si="264"/>
        <v>47.19</v>
      </c>
      <c r="T101" s="36">
        <f t="shared" ref="T101:T102" si="266">O101*S101</f>
        <v>0</v>
      </c>
      <c r="U101" s="36">
        <f>INDEX(cenník!$C$2:$I$568,MATCH($L101,cenník!$B$2:$B$557,0),MATCH(U$2,cenník!$C$1:$I$1,0))*O101</f>
        <v>0</v>
      </c>
      <c r="V101" s="85"/>
      <c r="W101" s="87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87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87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87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64">
        <f t="shared" si="258"/>
        <v>0</v>
      </c>
      <c r="AB101" s="64">
        <f t="shared" si="252"/>
        <v>0</v>
      </c>
      <c r="AC101" s="64"/>
      <c r="AD101" s="64"/>
      <c r="AE101" s="64"/>
      <c r="AF101" s="64"/>
      <c r="AG101" s="64"/>
      <c r="AH101" s="64"/>
      <c r="AI101" s="83" t="s">
        <v>187</v>
      </c>
      <c r="AJ101" s="64"/>
      <c r="AK101" s="64"/>
      <c r="AL101" s="64"/>
      <c r="AM101" s="64"/>
      <c r="AN101" s="64"/>
      <c r="AO101" s="64">
        <f t="shared" si="253"/>
        <v>1</v>
      </c>
      <c r="AP101" s="64" t="s">
        <v>56</v>
      </c>
      <c r="AQ101" s="64" t="s">
        <v>289</v>
      </c>
      <c r="AR101" s="64" t="s">
        <v>288</v>
      </c>
      <c r="AS101" s="64" t="s">
        <v>287</v>
      </c>
      <c r="AT101" s="64" t="s">
        <v>287</v>
      </c>
      <c r="AU101" s="64"/>
      <c r="AV101" s="64" t="s">
        <v>56</v>
      </c>
      <c r="AW101" s="64" t="s">
        <v>84</v>
      </c>
      <c r="AX101" s="64" t="s">
        <v>84</v>
      </c>
      <c r="AY101" s="64" t="s">
        <v>84</v>
      </c>
      <c r="AZ101" s="64" t="s">
        <v>84</v>
      </c>
      <c r="BA101" s="64"/>
      <c r="BB101" s="64"/>
      <c r="BC101" s="64"/>
      <c r="BD101" s="64"/>
      <c r="BE101" s="64"/>
      <c r="BF101" s="64"/>
      <c r="BG101" s="64"/>
      <c r="BH101" s="64"/>
      <c r="BI101" s="64"/>
      <c r="BJ101" s="64"/>
      <c r="BK101" s="64"/>
      <c r="BL101" s="64"/>
      <c r="BM101" s="64"/>
      <c r="BN101" s="64"/>
      <c r="BO101" s="64"/>
      <c r="BP101" s="64"/>
      <c r="BQ101" s="64"/>
      <c r="BR101" s="64"/>
      <c r="BS101" s="64"/>
      <c r="BT101" s="64"/>
      <c r="BU101" s="64"/>
      <c r="BV101" s="64"/>
      <c r="BW101" s="64"/>
      <c r="BX101" s="64"/>
      <c r="BY101" s="64"/>
      <c r="BZ101" s="64"/>
      <c r="CA101" s="64"/>
      <c r="CB101" s="64"/>
      <c r="CC101" s="64"/>
      <c r="CD101" s="64"/>
      <c r="CE101" s="64"/>
      <c r="CF101" s="64"/>
      <c r="CG101" s="64"/>
      <c r="CH101" s="64"/>
      <c r="CI101" s="64"/>
      <c r="CJ101" s="64"/>
      <c r="CK101" s="64"/>
      <c r="CL101" s="64"/>
      <c r="CM101" s="64"/>
      <c r="CN101" s="64"/>
      <c r="CO101" s="64"/>
      <c r="CP101" s="64"/>
      <c r="CQ101" s="64"/>
      <c r="CR101" s="64"/>
      <c r="CS101" s="64"/>
      <c r="CT101" s="64"/>
      <c r="CU101" s="64"/>
      <c r="CV101" s="64"/>
      <c r="CW101" s="64"/>
      <c r="CX101" s="64"/>
      <c r="CY101" s="64"/>
      <c r="CZ101" s="64"/>
      <c r="DA101" s="64"/>
      <c r="DB101" s="64"/>
      <c r="DC101" s="64"/>
      <c r="DD101" s="64"/>
      <c r="DE101" s="64"/>
      <c r="DF101" s="64"/>
      <c r="DG101" s="64"/>
      <c r="DH101" s="64"/>
      <c r="DI101" s="64"/>
      <c r="DJ101" s="64"/>
      <c r="DK101" s="64"/>
      <c r="DL101" s="64"/>
      <c r="DM101" s="64"/>
      <c r="DN101" s="64"/>
      <c r="DO101" s="64"/>
      <c r="DP101" s="64"/>
      <c r="DQ101" s="80"/>
      <c r="DR101" s="80">
        <v>40</v>
      </c>
      <c r="DS101" s="80"/>
      <c r="DT101" s="64"/>
      <c r="DU101" s="64"/>
      <c r="DV101" s="64"/>
      <c r="DW101" s="64"/>
      <c r="DX101" s="64"/>
      <c r="DY101" s="64"/>
      <c r="DZ101" s="64"/>
      <c r="EA101" s="64"/>
      <c r="EB101" s="64"/>
      <c r="EC101" s="64"/>
      <c r="ED101" s="64"/>
      <c r="EE101" s="64"/>
      <c r="EF101" s="64"/>
      <c r="EG101" s="64"/>
      <c r="EH101" s="64"/>
      <c r="EI101" s="64"/>
      <c r="EJ101" s="69"/>
      <c r="EK101" s="64"/>
      <c r="EL101" s="64"/>
      <c r="EM101" s="64"/>
      <c r="EN101" s="64"/>
      <c r="EO101" s="64"/>
      <c r="EP101" s="64"/>
      <c r="EQ101" s="64"/>
      <c r="ER101" s="64"/>
      <c r="ES101" s="64"/>
      <c r="ET101" s="64"/>
      <c r="EU101" s="64"/>
      <c r="EV101" s="64"/>
      <c r="EW101" s="64"/>
      <c r="EX101" s="64"/>
      <c r="EY101" s="64"/>
      <c r="EZ101" s="64"/>
      <c r="FA101" s="64"/>
      <c r="FB101" s="64"/>
      <c r="FC101" s="64"/>
      <c r="FD101" s="64"/>
      <c r="FE101" s="64"/>
      <c r="FF101" s="64"/>
      <c r="FG101" s="64"/>
      <c r="FH101" s="64"/>
      <c r="FI101" s="64"/>
      <c r="FJ101" s="64"/>
      <c r="FK101" s="64"/>
      <c r="FL101" s="64"/>
      <c r="FM101" s="64"/>
      <c r="FN101" s="64"/>
      <c r="FO101" s="64"/>
      <c r="FP101" s="64"/>
      <c r="FQ101" s="64"/>
      <c r="FR101" s="64"/>
      <c r="FS101" s="64"/>
      <c r="FT101" s="64"/>
      <c r="FU101" s="64"/>
      <c r="FV101" s="64"/>
      <c r="FW101" s="64"/>
      <c r="FX101" s="64"/>
      <c r="FY101" s="64"/>
      <c r="FZ101" s="64"/>
      <c r="GA101" s="64"/>
      <c r="GB101" s="64"/>
      <c r="GC101" s="64"/>
      <c r="GD101" s="64"/>
      <c r="GE101" s="64"/>
      <c r="GF101" s="64"/>
      <c r="GG101" s="64"/>
      <c r="GH101" s="64"/>
      <c r="GI101" s="64"/>
      <c r="GJ101" s="64"/>
      <c r="GK101" s="64"/>
      <c r="GL101" s="64"/>
      <c r="GM101" s="64"/>
      <c r="GN101" s="64"/>
      <c r="GO101" s="64"/>
      <c r="GP101" s="64"/>
      <c r="GQ101" s="64"/>
      <c r="GR101" s="64"/>
      <c r="GS101" s="64"/>
      <c r="GT101" s="64"/>
      <c r="GU101" s="64"/>
      <c r="GV101" s="64"/>
      <c r="GW101" s="64"/>
      <c r="GX101" s="64"/>
      <c r="GY101" s="64"/>
      <c r="GZ101" s="64"/>
      <c r="HA101" s="64"/>
      <c r="HB101" s="64"/>
      <c r="HC101" s="64"/>
      <c r="HD101" s="64"/>
      <c r="HE101" s="64"/>
      <c r="HF101" s="64"/>
      <c r="HG101" s="64"/>
      <c r="HH101" s="64"/>
      <c r="HS101" s="68" t="s">
        <v>241</v>
      </c>
      <c r="HT101" s="68">
        <v>0</v>
      </c>
      <c r="HU101" s="68">
        <v>0</v>
      </c>
      <c r="HV101" s="68">
        <v>0</v>
      </c>
      <c r="HW101" s="68">
        <v>4</v>
      </c>
      <c r="HX101" s="68">
        <v>0</v>
      </c>
      <c r="HY101" s="68">
        <v>8</v>
      </c>
      <c r="HZ101" s="68">
        <v>4</v>
      </c>
      <c r="IA101" s="68">
        <v>0</v>
      </c>
      <c r="IB101" s="68">
        <v>12</v>
      </c>
      <c r="IC101" s="68">
        <v>4</v>
      </c>
      <c r="ID101" s="68">
        <v>0</v>
      </c>
      <c r="IE101" s="68">
        <v>12</v>
      </c>
      <c r="IF101" s="68">
        <v>4</v>
      </c>
      <c r="IG101" s="68">
        <v>0</v>
      </c>
      <c r="IH101" s="68">
        <v>12</v>
      </c>
      <c r="II101" s="68">
        <v>4</v>
      </c>
      <c r="IJ101" s="68">
        <v>0</v>
      </c>
      <c r="IK101" s="68">
        <v>12</v>
      </c>
      <c r="IL101" s="68">
        <v>8</v>
      </c>
      <c r="IM101" s="68">
        <v>0</v>
      </c>
      <c r="IN101" s="68">
        <v>12</v>
      </c>
      <c r="IO101" s="68">
        <v>8</v>
      </c>
      <c r="IP101" s="68">
        <v>0</v>
      </c>
      <c r="IQ101" s="68">
        <v>12</v>
      </c>
      <c r="IT101" s="71"/>
    </row>
    <row r="102" spans="1:254" x14ac:dyDescent="0.25">
      <c r="A102" s="8"/>
      <c r="B102" s="5" t="s">
        <v>61</v>
      </c>
      <c r="C102" s="8"/>
      <c r="D102" s="6" t="s">
        <v>488</v>
      </c>
      <c r="E102" s="8">
        <v>0</v>
      </c>
      <c r="F102" s="5"/>
      <c r="G102" s="5"/>
      <c r="H102" s="5"/>
      <c r="I102" s="5"/>
      <c r="J102" s="5" t="s">
        <v>461</v>
      </c>
      <c r="K102" s="9"/>
      <c r="L102" s="6" t="str">
        <f>INDEX((AQ80:AT97,AQ101:AT118),MATCH(E99,AP80:AP97,0),MATCH(E101,AQ79:AT79,0),MATCH(E106,DS6:DS7,0))</f>
        <v>CWT70H50/2,4NMC</v>
      </c>
      <c r="M102" s="11">
        <f>INDEX(cenník!$C$2:$I$568,MATCH($L102,cenník!$B$2:$B$557,0),MATCH(M$2,cenník!$C$1:$I$1,0))</f>
        <v>867824</v>
      </c>
      <c r="N102" s="11" t="str">
        <f>INDEX(cenník!$C$2:$I$568,MATCH($L102,cenník!$B$2:$B$557,0),MATCH(N$2,cenník!$C$1:$I$1,0))</f>
        <v>ks</v>
      </c>
      <c r="O102" s="11">
        <f>O101</f>
        <v>0</v>
      </c>
      <c r="P102" s="36">
        <f>INDEX(cenník!$C$2:$I$568,MATCH($L102,cenník!$B$2:$B$557,0),MATCH(P$2,cenník!$C$1:$I$1,0))</f>
        <v>41.99</v>
      </c>
      <c r="Q102" s="36">
        <f t="shared" si="265"/>
        <v>0</v>
      </c>
      <c r="R102" s="37">
        <f t="shared" si="263"/>
        <v>0</v>
      </c>
      <c r="S102" s="36">
        <f t="shared" si="264"/>
        <v>41.99</v>
      </c>
      <c r="T102" s="36">
        <f t="shared" si="266"/>
        <v>0</v>
      </c>
      <c r="U102" s="36">
        <f>INDEX(cenník!$C$2:$I$568,MATCH($L102,cenník!$B$2:$B$557,0),MATCH(U$2,cenník!$C$1:$I$1,0))*O102</f>
        <v>0</v>
      </c>
      <c r="V102" s="85"/>
      <c r="W102" s="87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87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87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87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64">
        <f t="shared" si="258"/>
        <v>0</v>
      </c>
      <c r="AB102" s="64">
        <f t="shared" si="252"/>
        <v>0</v>
      </c>
      <c r="AC102" s="64"/>
      <c r="AD102" s="64"/>
      <c r="AE102" s="64"/>
      <c r="AF102" s="64"/>
      <c r="AG102" s="64"/>
      <c r="AH102" s="64"/>
      <c r="AI102" s="64" t="s">
        <v>333</v>
      </c>
      <c r="AJ102" s="64">
        <v>1</v>
      </c>
      <c r="AK102" s="64">
        <v>2</v>
      </c>
      <c r="AL102" s="64">
        <v>3</v>
      </c>
      <c r="AM102" s="64">
        <v>4</v>
      </c>
      <c r="AN102" s="64">
        <v>5</v>
      </c>
      <c r="AO102" s="64">
        <f t="shared" si="253"/>
        <v>1</v>
      </c>
      <c r="AP102" s="64" t="s">
        <v>57</v>
      </c>
      <c r="AQ102" s="64" t="s">
        <v>289</v>
      </c>
      <c r="AR102" s="64" t="s">
        <v>288</v>
      </c>
      <c r="AS102" s="64" t="s">
        <v>287</v>
      </c>
      <c r="AT102" s="64" t="s">
        <v>287</v>
      </c>
      <c r="AU102" s="64"/>
      <c r="AV102" s="64" t="s">
        <v>57</v>
      </c>
      <c r="AW102" s="64" t="s">
        <v>84</v>
      </c>
      <c r="AX102" s="64" t="s">
        <v>84</v>
      </c>
      <c r="AY102" s="64" t="s">
        <v>84</v>
      </c>
      <c r="AZ102" s="64" t="s">
        <v>84</v>
      </c>
      <c r="BA102" s="64"/>
      <c r="BB102" s="64"/>
      <c r="BC102" s="64"/>
      <c r="BD102" s="64"/>
      <c r="BE102" s="64"/>
      <c r="BF102" s="64"/>
      <c r="BG102" s="64"/>
      <c r="BH102" s="64"/>
      <c r="BI102" s="64"/>
      <c r="BJ102" s="64"/>
      <c r="BK102" s="64"/>
      <c r="BL102" s="64"/>
      <c r="BM102" s="64"/>
      <c r="BN102" s="64"/>
      <c r="BO102" s="64"/>
      <c r="BP102" s="64"/>
      <c r="BQ102" s="64"/>
      <c r="BR102" s="64"/>
      <c r="BS102" s="64"/>
      <c r="BT102" s="64"/>
      <c r="BU102" s="64"/>
      <c r="BV102" s="64"/>
      <c r="BW102" s="64"/>
      <c r="BX102" s="64"/>
      <c r="BY102" s="64"/>
      <c r="BZ102" s="64"/>
      <c r="CA102" s="64"/>
      <c r="CB102" s="64"/>
      <c r="CC102" s="64"/>
      <c r="CD102" s="64"/>
      <c r="CE102" s="64"/>
      <c r="CF102" s="64"/>
      <c r="CG102" s="64"/>
      <c r="CH102" s="64"/>
      <c r="CI102" s="64"/>
      <c r="CJ102" s="64"/>
      <c r="CK102" s="64"/>
      <c r="CL102" s="64"/>
      <c r="CM102" s="64"/>
      <c r="CN102" s="64"/>
      <c r="CO102" s="64"/>
      <c r="CP102" s="64"/>
      <c r="CQ102" s="64"/>
      <c r="CR102" s="64"/>
      <c r="CS102" s="64"/>
      <c r="CT102" s="64"/>
      <c r="CU102" s="64"/>
      <c r="CV102" s="64"/>
      <c r="CW102" s="64"/>
      <c r="CX102" s="64"/>
      <c r="CY102" s="64"/>
      <c r="CZ102" s="64"/>
      <c r="DA102" s="64"/>
      <c r="DB102" s="64"/>
      <c r="DC102" s="64"/>
      <c r="DD102" s="64"/>
      <c r="DE102" s="64"/>
      <c r="DF102" s="64"/>
      <c r="DG102" s="64"/>
      <c r="DH102" s="64"/>
      <c r="DI102" s="64"/>
      <c r="DJ102" s="64"/>
      <c r="DK102" s="64"/>
      <c r="DL102" s="64"/>
      <c r="DM102" s="64"/>
      <c r="DN102" s="64"/>
      <c r="DO102" s="64"/>
      <c r="DP102" s="64"/>
      <c r="DQ102" s="80"/>
      <c r="DR102" s="80">
        <v>42</v>
      </c>
      <c r="DS102" s="80"/>
      <c r="DT102" s="64"/>
      <c r="DU102" s="64"/>
      <c r="DV102" s="64"/>
      <c r="DW102" s="64"/>
      <c r="DX102" s="64"/>
      <c r="DY102" s="64"/>
      <c r="DZ102" s="64"/>
      <c r="EA102" s="64"/>
      <c r="EB102" s="64"/>
      <c r="EC102" s="64"/>
      <c r="ED102" s="64"/>
      <c r="EE102" s="64"/>
      <c r="EF102" s="64"/>
      <c r="EG102" s="64"/>
      <c r="EH102" s="64"/>
      <c r="EI102" s="64"/>
      <c r="EJ102" s="69"/>
      <c r="EK102" s="64"/>
      <c r="EL102" s="64"/>
      <c r="EM102" s="64"/>
      <c r="EN102" s="64"/>
      <c r="EO102" s="64"/>
      <c r="EP102" s="64"/>
      <c r="EQ102" s="64"/>
      <c r="ER102" s="64"/>
      <c r="ES102" s="64"/>
      <c r="ET102" s="64"/>
      <c r="EU102" s="64"/>
      <c r="EV102" s="64"/>
      <c r="EW102" s="64"/>
      <c r="EX102" s="64"/>
      <c r="EY102" s="64"/>
      <c r="EZ102" s="64"/>
      <c r="FA102" s="64"/>
      <c r="FB102" s="64"/>
      <c r="FC102" s="64"/>
      <c r="FD102" s="64"/>
      <c r="FE102" s="64"/>
      <c r="FF102" s="64"/>
      <c r="FG102" s="64"/>
      <c r="FH102" s="64"/>
      <c r="FI102" s="64"/>
      <c r="FJ102" s="64"/>
      <c r="FK102" s="64"/>
      <c r="FL102" s="64"/>
      <c r="FM102" s="64"/>
      <c r="FN102" s="64"/>
      <c r="FO102" s="64"/>
      <c r="FP102" s="64"/>
      <c r="FQ102" s="64"/>
      <c r="FR102" s="64"/>
      <c r="FS102" s="64"/>
      <c r="FT102" s="64"/>
      <c r="FU102" s="64"/>
      <c r="FV102" s="64"/>
      <c r="FW102" s="64"/>
      <c r="FX102" s="64"/>
      <c r="FY102" s="64"/>
      <c r="FZ102" s="64"/>
      <c r="GA102" s="64"/>
      <c r="GB102" s="64"/>
      <c r="GC102" s="64"/>
      <c r="GD102" s="64"/>
      <c r="GE102" s="64"/>
      <c r="GF102" s="64"/>
      <c r="GG102" s="64"/>
      <c r="GH102" s="64"/>
      <c r="GI102" s="64"/>
      <c r="GJ102" s="64"/>
      <c r="GK102" s="64"/>
      <c r="GL102" s="64"/>
      <c r="GM102" s="64"/>
      <c r="GN102" s="64"/>
      <c r="GO102" s="64"/>
      <c r="GP102" s="64"/>
      <c r="GQ102" s="64"/>
      <c r="GR102" s="64"/>
      <c r="GS102" s="64"/>
      <c r="GT102" s="64"/>
      <c r="GU102" s="64"/>
      <c r="GV102" s="64"/>
      <c r="GW102" s="64"/>
      <c r="GX102" s="64"/>
      <c r="GY102" s="64"/>
      <c r="GZ102" s="64"/>
      <c r="HA102" s="64"/>
      <c r="HB102" s="64"/>
      <c r="HC102" s="64"/>
      <c r="HD102" s="64"/>
      <c r="HE102" s="64"/>
      <c r="HF102" s="64"/>
      <c r="HG102" s="64"/>
      <c r="HH102" s="64"/>
      <c r="HS102" s="68" t="s">
        <v>242</v>
      </c>
      <c r="HT102" s="68">
        <v>0</v>
      </c>
      <c r="HU102" s="68">
        <v>0</v>
      </c>
      <c r="HV102" s="68">
        <v>0</v>
      </c>
      <c r="HW102" s="68">
        <v>4</v>
      </c>
      <c r="HX102" s="68">
        <v>4</v>
      </c>
      <c r="HY102" s="68">
        <v>8</v>
      </c>
      <c r="HZ102" s="68">
        <v>8</v>
      </c>
      <c r="IA102" s="68">
        <v>8</v>
      </c>
      <c r="IB102" s="68">
        <v>12</v>
      </c>
      <c r="IC102" s="68">
        <v>12</v>
      </c>
      <c r="ID102" s="68">
        <v>12</v>
      </c>
      <c r="IE102" s="68">
        <v>16</v>
      </c>
      <c r="IF102" s="68">
        <v>16</v>
      </c>
      <c r="IG102" s="68">
        <v>16</v>
      </c>
      <c r="IH102" s="68">
        <v>20</v>
      </c>
      <c r="II102" s="68">
        <v>20</v>
      </c>
      <c r="IJ102" s="68">
        <v>20</v>
      </c>
      <c r="IK102" s="68">
        <v>24</v>
      </c>
      <c r="IL102" s="68">
        <v>24</v>
      </c>
      <c r="IM102" s="68">
        <v>24</v>
      </c>
      <c r="IN102" s="68">
        <v>28</v>
      </c>
      <c r="IO102" s="68">
        <v>28</v>
      </c>
      <c r="IP102" s="68">
        <v>28</v>
      </c>
      <c r="IQ102" s="68">
        <v>32</v>
      </c>
      <c r="IT102" s="71"/>
    </row>
    <row r="103" spans="1:254" x14ac:dyDescent="0.25">
      <c r="A103" s="8"/>
      <c r="B103" s="5" t="s">
        <v>61</v>
      </c>
      <c r="C103" s="8"/>
      <c r="D103" s="6" t="s">
        <v>458</v>
      </c>
      <c r="E103" s="8">
        <v>0</v>
      </c>
      <c r="F103" s="5"/>
      <c r="G103" s="5"/>
      <c r="H103" s="5"/>
      <c r="I103" s="5"/>
      <c r="J103" s="5" t="s">
        <v>95</v>
      </c>
      <c r="K103" s="9"/>
      <c r="L103" s="6" t="str">
        <f>IF(E106=25,"-------",IF(E106=30,(INDEX((AW101:AZ118),MATCH(E99,AV101:AV118,0),MATCH(E101,AW100:AZ100,0))),0))</f>
        <v>CWT70H50/2,4NMC</v>
      </c>
      <c r="M103" s="11">
        <f>INDEX(cenník!$C$2:$I$568,MATCH($L103,cenník!$B$2:$B$557,0),MATCH(M$2,cenník!$C$1:$I$1,0))</f>
        <v>867824</v>
      </c>
      <c r="N103" s="11" t="str">
        <f>INDEX(cenník!$C$2:$I$568,MATCH($L103,cenník!$B$2:$B$557,0),MATCH(N$2,cenník!$C$1:$I$1,0))</f>
        <v>ks</v>
      </c>
      <c r="O103" s="29">
        <f>IF(L103="CWT70H50/2,4NMC",O102,0)</f>
        <v>0</v>
      </c>
      <c r="P103" s="36">
        <f>INDEX(cenník!$C$2:$I$568,MATCH($L103,cenník!$B$2:$B$557,0),MATCH(P$2,cenník!$C$1:$I$1,0))</f>
        <v>41.99</v>
      </c>
      <c r="Q103" s="36">
        <f t="shared" ref="Q103:Q104" si="267">O103*P103</f>
        <v>0</v>
      </c>
      <c r="R103" s="37">
        <f t="shared" si="263"/>
        <v>0</v>
      </c>
      <c r="S103" s="36">
        <f t="shared" si="264"/>
        <v>41.99</v>
      </c>
      <c r="T103" s="36">
        <f t="shared" ref="T103:T104" si="268">O103*S103</f>
        <v>0</v>
      </c>
      <c r="U103" s="36">
        <f>INDEX(cenník!$C$2:$I$568,MATCH($L103,cenník!$B$2:$B$557,0),MATCH(U$2,cenník!$C$1:$I$1,0))*O103</f>
        <v>0</v>
      </c>
      <c r="V103" s="85"/>
      <c r="W103" s="87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87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87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87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64">
        <f t="shared" si="258"/>
        <v>0</v>
      </c>
      <c r="AB103" s="64">
        <f t="shared" si="252"/>
        <v>0</v>
      </c>
      <c r="AC103" s="64"/>
      <c r="AD103" s="64"/>
      <c r="AE103" s="64"/>
      <c r="AF103" s="64"/>
      <c r="AG103" s="64"/>
      <c r="AH103" s="64"/>
      <c r="AI103" s="64">
        <v>1</v>
      </c>
      <c r="AJ103" s="64">
        <v>2900</v>
      </c>
      <c r="AK103" s="64">
        <v>2900</v>
      </c>
      <c r="AL103" s="64">
        <v>2700</v>
      </c>
      <c r="AM103" s="64">
        <v>2700</v>
      </c>
      <c r="AN103" s="64" t="s">
        <v>522</v>
      </c>
      <c r="AO103" s="64">
        <f t="shared" si="253"/>
        <v>1</v>
      </c>
      <c r="AP103" s="64" t="s">
        <v>67</v>
      </c>
      <c r="AQ103" s="64" t="s">
        <v>289</v>
      </c>
      <c r="AR103" s="64" t="s">
        <v>288</v>
      </c>
      <c r="AS103" s="64" t="s">
        <v>287</v>
      </c>
      <c r="AT103" s="64" t="s">
        <v>287</v>
      </c>
      <c r="AU103" s="64"/>
      <c r="AV103" s="64" t="s">
        <v>67</v>
      </c>
      <c r="AW103" s="64" t="s">
        <v>84</v>
      </c>
      <c r="AX103" s="64" t="s">
        <v>84</v>
      </c>
      <c r="AY103" s="64" t="s">
        <v>84</v>
      </c>
      <c r="AZ103" s="64" t="s">
        <v>84</v>
      </c>
      <c r="BA103" s="64"/>
      <c r="BB103" s="64"/>
      <c r="BC103" s="64"/>
      <c r="BD103" s="64"/>
      <c r="BE103" s="64"/>
      <c r="BF103" s="64"/>
      <c r="BG103" s="64"/>
      <c r="BH103" s="64"/>
      <c r="BI103" s="64"/>
      <c r="BJ103" s="64"/>
      <c r="BK103" s="64"/>
      <c r="BL103" s="64"/>
      <c r="BM103" s="64"/>
      <c r="BN103" s="64"/>
      <c r="BO103" s="64"/>
      <c r="BP103" s="64"/>
      <c r="BQ103" s="64"/>
      <c r="BR103" s="64"/>
      <c r="BS103" s="64"/>
      <c r="BT103" s="64"/>
      <c r="BU103" s="64"/>
      <c r="BV103" s="64"/>
      <c r="BW103" s="64"/>
      <c r="BX103" s="64"/>
      <c r="BY103" s="64"/>
      <c r="BZ103" s="64"/>
      <c r="CA103" s="64"/>
      <c r="CB103" s="64"/>
      <c r="CC103" s="64"/>
      <c r="CD103" s="64"/>
      <c r="CE103" s="64"/>
      <c r="CF103" s="64"/>
      <c r="CG103" s="64"/>
      <c r="CH103" s="64"/>
      <c r="CI103" s="64"/>
      <c r="CJ103" s="64"/>
      <c r="CK103" s="64"/>
      <c r="CL103" s="64"/>
      <c r="CM103" s="64"/>
      <c r="CN103" s="64"/>
      <c r="CO103" s="64"/>
      <c r="CP103" s="64"/>
      <c r="CQ103" s="64"/>
      <c r="CR103" s="64"/>
      <c r="CS103" s="64"/>
      <c r="CT103" s="64"/>
      <c r="CU103" s="64"/>
      <c r="CV103" s="64"/>
      <c r="CW103" s="64"/>
      <c r="CX103" s="64"/>
      <c r="CY103" s="64"/>
      <c r="CZ103" s="64"/>
      <c r="DA103" s="64"/>
      <c r="DB103" s="64"/>
      <c r="DC103" s="64"/>
      <c r="DD103" s="64"/>
      <c r="DE103" s="64"/>
      <c r="DF103" s="64"/>
      <c r="DG103" s="64"/>
      <c r="DH103" s="64"/>
      <c r="DI103" s="64"/>
      <c r="DJ103" s="64"/>
      <c r="DK103" s="64"/>
      <c r="DL103" s="64"/>
      <c r="DM103" s="64"/>
      <c r="DN103" s="64"/>
      <c r="DO103" s="64"/>
      <c r="DP103" s="64"/>
      <c r="DQ103" s="80"/>
      <c r="DR103" s="80">
        <v>44</v>
      </c>
      <c r="DS103" s="80"/>
      <c r="DT103" s="64"/>
      <c r="DU103" s="64"/>
      <c r="DV103" s="64"/>
      <c r="DW103" s="64"/>
      <c r="DX103" s="64"/>
      <c r="DY103" s="64"/>
      <c r="DZ103" s="64"/>
      <c r="EA103" s="64"/>
      <c r="EB103" s="64"/>
      <c r="EC103" s="64"/>
      <c r="ED103" s="64"/>
      <c r="EE103" s="64"/>
      <c r="EF103" s="64"/>
      <c r="EG103" s="64"/>
      <c r="EH103" s="64"/>
      <c r="EI103" s="64"/>
      <c r="EJ103" s="69"/>
      <c r="EK103" s="64"/>
      <c r="EL103" s="64"/>
      <c r="EM103" s="64"/>
      <c r="EN103" s="64"/>
      <c r="EO103" s="64"/>
      <c r="EP103" s="64"/>
      <c r="EQ103" s="64"/>
      <c r="ER103" s="64"/>
      <c r="ES103" s="64"/>
      <c r="ET103" s="64"/>
      <c r="EU103" s="64"/>
      <c r="EV103" s="64"/>
      <c r="EW103" s="64"/>
      <c r="EX103" s="64"/>
      <c r="EY103" s="64"/>
      <c r="EZ103" s="64"/>
      <c r="FA103" s="64"/>
      <c r="FB103" s="64"/>
      <c r="FC103" s="64"/>
      <c r="FD103" s="64"/>
      <c r="FE103" s="64"/>
      <c r="FF103" s="64"/>
      <c r="FG103" s="64"/>
      <c r="FH103" s="64"/>
      <c r="FI103" s="64"/>
      <c r="FJ103" s="64"/>
      <c r="FK103" s="64"/>
      <c r="FL103" s="64"/>
      <c r="FM103" s="64"/>
      <c r="FN103" s="64"/>
      <c r="FO103" s="64"/>
      <c r="FP103" s="64"/>
      <c r="FQ103" s="64"/>
      <c r="FR103" s="64"/>
      <c r="FS103" s="64"/>
      <c r="FT103" s="64"/>
      <c r="FU103" s="64"/>
      <c r="FV103" s="64"/>
      <c r="FW103" s="64"/>
      <c r="FX103" s="64"/>
      <c r="FY103" s="64"/>
      <c r="FZ103" s="64"/>
      <c r="GA103" s="64"/>
      <c r="GB103" s="64"/>
      <c r="GC103" s="64"/>
      <c r="GD103" s="64"/>
      <c r="GE103" s="64"/>
      <c r="GF103" s="64"/>
      <c r="GG103" s="64"/>
      <c r="GH103" s="64"/>
      <c r="GI103" s="64"/>
      <c r="GJ103" s="64"/>
      <c r="GK103" s="64"/>
      <c r="GL103" s="64"/>
      <c r="GM103" s="64"/>
      <c r="GN103" s="64"/>
      <c r="GO103" s="64"/>
      <c r="GP103" s="64"/>
      <c r="GQ103" s="64"/>
      <c r="GR103" s="64"/>
      <c r="GS103" s="64"/>
      <c r="GT103" s="64"/>
      <c r="GU103" s="64"/>
      <c r="GV103" s="64"/>
      <c r="GW103" s="64"/>
      <c r="GX103" s="64"/>
      <c r="GY103" s="64"/>
      <c r="GZ103" s="64"/>
      <c r="HA103" s="64"/>
      <c r="HB103" s="64"/>
      <c r="HC103" s="64"/>
      <c r="HD103" s="64"/>
      <c r="HE103" s="64"/>
      <c r="HF103" s="64"/>
      <c r="HG103" s="64"/>
      <c r="HH103" s="64"/>
      <c r="HS103" s="68" t="s">
        <v>324</v>
      </c>
      <c r="HT103" s="68">
        <v>0</v>
      </c>
      <c r="HU103" s="68">
        <v>0</v>
      </c>
      <c r="HV103" s="68">
        <v>0</v>
      </c>
      <c r="HW103" s="68">
        <v>4</v>
      </c>
      <c r="HX103" s="68">
        <v>4</v>
      </c>
      <c r="HY103" s="68">
        <v>8</v>
      </c>
      <c r="HZ103" s="68">
        <v>8</v>
      </c>
      <c r="IA103" s="68">
        <v>8</v>
      </c>
      <c r="IB103" s="68">
        <v>12</v>
      </c>
      <c r="IC103" s="68">
        <v>12</v>
      </c>
      <c r="ID103" s="68">
        <v>12</v>
      </c>
      <c r="IE103" s="68">
        <v>16</v>
      </c>
      <c r="IF103" s="68">
        <v>16</v>
      </c>
      <c r="IG103" s="68">
        <v>16</v>
      </c>
      <c r="IH103" s="68">
        <v>20</v>
      </c>
      <c r="II103" s="68">
        <v>20</v>
      </c>
      <c r="IJ103" s="68">
        <v>20</v>
      </c>
      <c r="IK103" s="68">
        <v>24</v>
      </c>
      <c r="IL103" s="68">
        <v>24</v>
      </c>
      <c r="IM103" s="68">
        <v>24</v>
      </c>
      <c r="IN103" s="68">
        <v>28</v>
      </c>
      <c r="IO103" s="68">
        <v>28</v>
      </c>
      <c r="IP103" s="68">
        <v>28</v>
      </c>
      <c r="IQ103" s="68">
        <v>32</v>
      </c>
      <c r="IT103" s="71"/>
    </row>
    <row r="104" spans="1:254" x14ac:dyDescent="0.25">
      <c r="A104" s="8"/>
      <c r="B104" s="5" t="s">
        <v>61</v>
      </c>
      <c r="C104" s="8"/>
      <c r="D104" s="6" t="s">
        <v>460</v>
      </c>
      <c r="E104" s="8">
        <v>0</v>
      </c>
      <c r="F104" s="5"/>
      <c r="G104" s="5"/>
      <c r="H104" s="5"/>
      <c r="I104" s="5"/>
      <c r="J104" s="5" t="s">
        <v>461</v>
      </c>
      <c r="K104" s="9"/>
      <c r="L104" s="38" t="str">
        <f>IF(L103="CWT70H50/2,4NMC","LCT70H50NMC","-------")</f>
        <v>LCT70H50NMC</v>
      </c>
      <c r="M104" s="11">
        <f>INDEX(cenník!$C$2:$I$568,MATCH($L104,cenník!$B$2:$B$557,0),MATCH(M$2,cenník!$C$1:$I$1,0))</f>
        <v>852002</v>
      </c>
      <c r="N104" s="11" t="str">
        <f>INDEX(cenník!$C$2:$I$568,MATCH($L104,cenník!$B$2:$B$557,0),MATCH(N$2,cenník!$C$1:$I$1,0))</f>
        <v>ks</v>
      </c>
      <c r="O104" s="29">
        <f>O103</f>
        <v>0</v>
      </c>
      <c r="P104" s="36">
        <f>INDEX(cenník!$C$2:$I$568,MATCH($L104,cenník!$B$2:$B$557,0),MATCH(P$2,cenník!$C$1:$I$1,0))</f>
        <v>7.8</v>
      </c>
      <c r="Q104" s="36">
        <f t="shared" si="267"/>
        <v>0</v>
      </c>
      <c r="R104" s="37">
        <f t="shared" si="263"/>
        <v>0</v>
      </c>
      <c r="S104" s="36">
        <f t="shared" si="264"/>
        <v>7.8</v>
      </c>
      <c r="T104" s="36">
        <f t="shared" si="268"/>
        <v>0</v>
      </c>
      <c r="U104" s="36">
        <f>INDEX(cenník!$C$2:$I$568,MATCH($L104,cenník!$B$2:$B$557,0),MATCH(U$2,cenník!$C$1:$I$1,0))*O104</f>
        <v>0</v>
      </c>
      <c r="V104" s="85"/>
      <c r="W104" s="87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87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87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87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64">
        <f t="shared" si="258"/>
        <v>0</v>
      </c>
      <c r="AB104" s="64">
        <f t="shared" si="252"/>
        <v>0</v>
      </c>
      <c r="AC104" s="64"/>
      <c r="AD104" s="64"/>
      <c r="AE104" s="64"/>
      <c r="AF104" s="64"/>
      <c r="AG104" s="64"/>
      <c r="AH104" s="64"/>
      <c r="AI104" s="64">
        <v>2</v>
      </c>
      <c r="AJ104" s="64" t="s">
        <v>522</v>
      </c>
      <c r="AK104" s="64">
        <v>2000</v>
      </c>
      <c r="AL104" s="64">
        <v>2000</v>
      </c>
      <c r="AM104" s="64" t="s">
        <v>522</v>
      </c>
      <c r="AN104" s="64" t="s">
        <v>522</v>
      </c>
      <c r="AO104" s="64">
        <f t="shared" si="253"/>
        <v>1</v>
      </c>
      <c r="AP104" s="64" t="s">
        <v>195</v>
      </c>
      <c r="AQ104" s="64" t="s">
        <v>289</v>
      </c>
      <c r="AR104" s="64" t="s">
        <v>288</v>
      </c>
      <c r="AS104" s="64" t="s">
        <v>287</v>
      </c>
      <c r="AT104" s="64" t="s">
        <v>287</v>
      </c>
      <c r="AU104" s="64"/>
      <c r="AV104" s="64" t="s">
        <v>195</v>
      </c>
      <c r="AW104" s="64" t="s">
        <v>84</v>
      </c>
      <c r="AX104" s="64" t="s">
        <v>84</v>
      </c>
      <c r="AY104" s="64" t="s">
        <v>84</v>
      </c>
      <c r="AZ104" s="64" t="s">
        <v>84</v>
      </c>
      <c r="BA104" s="64"/>
      <c r="BB104" s="64"/>
      <c r="BC104" s="64"/>
      <c r="BD104" s="64"/>
      <c r="BE104" s="64"/>
      <c r="BF104" s="64"/>
      <c r="BG104" s="64"/>
      <c r="BH104" s="64"/>
      <c r="BI104" s="64"/>
      <c r="BJ104" s="64"/>
      <c r="BK104" s="64"/>
      <c r="BL104" s="64"/>
      <c r="BM104" s="64"/>
      <c r="BN104" s="64"/>
      <c r="BO104" s="64"/>
      <c r="BP104" s="64"/>
      <c r="BQ104" s="64"/>
      <c r="BR104" s="64"/>
      <c r="BS104" s="64"/>
      <c r="BT104" s="64"/>
      <c r="BU104" s="64"/>
      <c r="BV104" s="64"/>
      <c r="BW104" s="64"/>
      <c r="BX104" s="64"/>
      <c r="BY104" s="64"/>
      <c r="BZ104" s="64"/>
      <c r="CA104" s="64"/>
      <c r="CB104" s="64"/>
      <c r="CC104" s="64"/>
      <c r="CD104" s="64"/>
      <c r="CE104" s="64"/>
      <c r="CF104" s="64"/>
      <c r="CG104" s="64"/>
      <c r="CH104" s="64"/>
      <c r="CI104" s="64"/>
      <c r="CJ104" s="64"/>
      <c r="CK104" s="64"/>
      <c r="CL104" s="64"/>
      <c r="CM104" s="64"/>
      <c r="CN104" s="64"/>
      <c r="CO104" s="64"/>
      <c r="CP104" s="64"/>
      <c r="CQ104" s="64"/>
      <c r="CR104" s="64"/>
      <c r="CS104" s="64"/>
      <c r="CT104" s="64"/>
      <c r="CU104" s="64"/>
      <c r="CV104" s="64"/>
      <c r="CW104" s="64"/>
      <c r="CX104" s="64"/>
      <c r="CY104" s="64"/>
      <c r="CZ104" s="64"/>
      <c r="DA104" s="64"/>
      <c r="DB104" s="64"/>
      <c r="DC104" s="64"/>
      <c r="DD104" s="64"/>
      <c r="DE104" s="64"/>
      <c r="DF104" s="64"/>
      <c r="DG104" s="64"/>
      <c r="DH104" s="64"/>
      <c r="DI104" s="64"/>
      <c r="DJ104" s="64"/>
      <c r="DK104" s="64"/>
      <c r="DL104" s="64"/>
      <c r="DM104" s="64"/>
      <c r="DN104" s="64"/>
      <c r="DO104" s="64"/>
      <c r="DP104" s="64"/>
      <c r="DQ104" s="80"/>
      <c r="DR104" s="80">
        <v>46</v>
      </c>
      <c r="DS104" s="80"/>
      <c r="DT104" s="64"/>
      <c r="DU104" s="64"/>
      <c r="DV104" s="64"/>
      <c r="DW104" s="64"/>
      <c r="DX104" s="64"/>
      <c r="DY104" s="64"/>
      <c r="DZ104" s="64"/>
      <c r="EA104" s="64"/>
      <c r="EB104" s="64"/>
      <c r="EC104" s="64"/>
      <c r="ED104" s="64"/>
      <c r="EE104" s="64"/>
      <c r="EF104" s="64"/>
      <c r="EG104" s="64"/>
      <c r="EH104" s="64"/>
      <c r="EI104" s="64"/>
      <c r="EJ104" s="69"/>
      <c r="EK104" s="64"/>
      <c r="EL104" s="64"/>
      <c r="EM104" s="64"/>
      <c r="EN104" s="64"/>
      <c r="EO104" s="64"/>
      <c r="EP104" s="64"/>
      <c r="EQ104" s="64"/>
      <c r="ER104" s="64"/>
      <c r="ES104" s="64"/>
      <c r="ET104" s="64"/>
      <c r="EU104" s="64"/>
      <c r="EV104" s="64"/>
      <c r="EW104" s="64"/>
      <c r="EX104" s="64"/>
      <c r="EY104" s="64"/>
      <c r="EZ104" s="64"/>
      <c r="FA104" s="64"/>
      <c r="FB104" s="64"/>
      <c r="FC104" s="64"/>
      <c r="FD104" s="64"/>
      <c r="FE104" s="64"/>
      <c r="FF104" s="64"/>
      <c r="FG104" s="64"/>
      <c r="FH104" s="64"/>
      <c r="FI104" s="64"/>
      <c r="FJ104" s="64"/>
      <c r="FK104" s="64"/>
      <c r="FL104" s="64"/>
      <c r="FM104" s="64"/>
      <c r="FN104" s="64"/>
      <c r="FO104" s="64"/>
      <c r="FP104" s="64"/>
      <c r="FQ104" s="64"/>
      <c r="FR104" s="64"/>
      <c r="FS104" s="64"/>
      <c r="FT104" s="64"/>
      <c r="FU104" s="64"/>
      <c r="FV104" s="64"/>
      <c r="FW104" s="64"/>
      <c r="FX104" s="64"/>
      <c r="FY104" s="64"/>
      <c r="FZ104" s="64"/>
      <c r="GA104" s="64"/>
      <c r="GB104" s="64"/>
      <c r="GC104" s="64"/>
      <c r="GD104" s="64"/>
      <c r="GE104" s="64"/>
      <c r="GF104" s="64"/>
      <c r="GG104" s="64"/>
      <c r="GH104" s="64"/>
      <c r="GI104" s="64"/>
      <c r="GJ104" s="64"/>
      <c r="GK104" s="64"/>
      <c r="GL104" s="64"/>
      <c r="GM104" s="64"/>
      <c r="GN104" s="64"/>
      <c r="GO104" s="64"/>
      <c r="GP104" s="64"/>
      <c r="GQ104" s="64"/>
      <c r="GR104" s="64"/>
      <c r="GS104" s="64"/>
      <c r="GT104" s="64"/>
      <c r="GU104" s="64"/>
      <c r="GV104" s="64"/>
      <c r="GW104" s="64"/>
      <c r="GX104" s="64"/>
      <c r="GY104" s="64"/>
      <c r="GZ104" s="64"/>
      <c r="HA104" s="64"/>
      <c r="HB104" s="64"/>
      <c r="HC104" s="64"/>
      <c r="HD104" s="64"/>
      <c r="HE104" s="64"/>
      <c r="HF104" s="64"/>
      <c r="HG104" s="64"/>
      <c r="HH104" s="64"/>
      <c r="IT104" s="71"/>
    </row>
    <row r="105" spans="1:254" ht="15.75" thickBot="1" x14ac:dyDescent="0.3">
      <c r="A105" s="8"/>
      <c r="B105" s="5" t="s">
        <v>61</v>
      </c>
      <c r="C105" s="8"/>
      <c r="D105" s="6" t="s">
        <v>474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>
        <f>INDEX(cenník!$C$2:$I$568,MATCH($L105,cenník!$B$2:$B$557,0),MATCH(M$2,cenník!$C$1:$I$1,0))</f>
        <v>863343</v>
      </c>
      <c r="N105" s="11" t="str">
        <f>INDEX(cenník!$C$2:$I$568,MATCH($L105,cenník!$B$2:$B$557,0),MATCH(N$2,cenník!$C$1:$I$1,0))</f>
        <v>ks</v>
      </c>
      <c r="O105" s="11">
        <f>O101</f>
        <v>0</v>
      </c>
      <c r="P105" s="36">
        <f>INDEX(cenník!$C$2:$I$568,MATCH($L105,cenník!$B$2:$B$557,0),MATCH(P$2,cenník!$C$1:$I$1,0))</f>
        <v>62.58</v>
      </c>
      <c r="Q105" s="36">
        <f>O105*P105</f>
        <v>0</v>
      </c>
      <c r="R105" s="37">
        <f t="shared" si="263"/>
        <v>0</v>
      </c>
      <c r="S105" s="36">
        <f t="shared" si="264"/>
        <v>62.58</v>
      </c>
      <c r="T105" s="36">
        <f>O105*S105</f>
        <v>0</v>
      </c>
      <c r="U105" s="36">
        <f>INDEX(cenník!$C$2:$I$568,MATCH($L105,cenník!$B$2:$B$557,0),MATCH(U$2,cenník!$C$1:$I$1,0))*O105</f>
        <v>0</v>
      </c>
      <c r="V105" s="85"/>
      <c r="W105" s="87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87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87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87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64">
        <f t="shared" si="258"/>
        <v>0</v>
      </c>
      <c r="AB105" s="64">
        <f t="shared" si="252"/>
        <v>0</v>
      </c>
      <c r="AC105" s="64"/>
      <c r="AD105" s="64"/>
      <c r="AE105" s="64"/>
      <c r="AF105" s="64"/>
      <c r="AG105" s="64"/>
      <c r="AH105" s="64"/>
      <c r="AI105" s="64" t="s">
        <v>339</v>
      </c>
      <c r="AJ105" s="64">
        <v>2700</v>
      </c>
      <c r="AK105" s="64" t="s">
        <v>522</v>
      </c>
      <c r="AL105" s="64">
        <v>2000</v>
      </c>
      <c r="AM105" s="64" t="s">
        <v>522</v>
      </c>
      <c r="AN105" s="64">
        <v>1000</v>
      </c>
      <c r="AO105" s="64">
        <f t="shared" si="253"/>
        <v>1</v>
      </c>
      <c r="AP105" s="64" t="s">
        <v>197</v>
      </c>
      <c r="AQ105" s="64" t="s">
        <v>295</v>
      </c>
      <c r="AR105" s="64" t="s">
        <v>294</v>
      </c>
      <c r="AS105" s="64" t="s">
        <v>292</v>
      </c>
      <c r="AT105" s="64" t="s">
        <v>292</v>
      </c>
      <c r="AU105" s="64"/>
      <c r="AV105" s="64" t="s">
        <v>197</v>
      </c>
      <c r="AW105" s="64" t="s">
        <v>84</v>
      </c>
      <c r="AX105" s="64" t="s">
        <v>84</v>
      </c>
      <c r="AY105" s="64" t="s">
        <v>84</v>
      </c>
      <c r="AZ105" s="64" t="s">
        <v>84</v>
      </c>
      <c r="BA105" s="64"/>
      <c r="BB105" s="64"/>
      <c r="BC105" s="64"/>
      <c r="BD105" s="64"/>
      <c r="BE105" s="64"/>
      <c r="BF105" s="64"/>
      <c r="BG105" s="64"/>
      <c r="BH105" s="64"/>
      <c r="BI105" s="64"/>
      <c r="BJ105" s="64"/>
      <c r="BK105" s="64"/>
      <c r="BL105" s="64"/>
      <c r="BM105" s="64"/>
      <c r="BN105" s="64"/>
      <c r="BO105" s="64"/>
      <c r="BP105" s="64"/>
      <c r="BQ105" s="64"/>
      <c r="BR105" s="64"/>
      <c r="BS105" s="64"/>
      <c r="BT105" s="64"/>
      <c r="BU105" s="64"/>
      <c r="BV105" s="64"/>
      <c r="BW105" s="64"/>
      <c r="BX105" s="64"/>
      <c r="BY105" s="64"/>
      <c r="BZ105" s="64"/>
      <c r="CA105" s="64"/>
      <c r="CB105" s="64"/>
      <c r="CC105" s="64"/>
      <c r="CD105" s="64"/>
      <c r="CE105" s="64"/>
      <c r="CF105" s="64"/>
      <c r="CG105" s="64"/>
      <c r="CH105" s="64"/>
      <c r="CI105" s="64"/>
      <c r="CJ105" s="64"/>
      <c r="CK105" s="64"/>
      <c r="CL105" s="64"/>
      <c r="CM105" s="64"/>
      <c r="CN105" s="64"/>
      <c r="CO105" s="64"/>
      <c r="CP105" s="64"/>
      <c r="CQ105" s="64"/>
      <c r="CR105" s="64"/>
      <c r="CS105" s="64"/>
      <c r="CT105" s="64"/>
      <c r="CU105" s="64"/>
      <c r="CV105" s="64"/>
      <c r="CW105" s="64"/>
      <c r="CX105" s="64"/>
      <c r="CY105" s="64"/>
      <c r="CZ105" s="64"/>
      <c r="DA105" s="64"/>
      <c r="DB105" s="64"/>
      <c r="DC105" s="64"/>
      <c r="DD105" s="64"/>
      <c r="DE105" s="64"/>
      <c r="DF105" s="64"/>
      <c r="DG105" s="64"/>
      <c r="DH105" s="64"/>
      <c r="DI105" s="64"/>
      <c r="DJ105" s="64"/>
      <c r="DK105" s="64"/>
      <c r="DL105" s="64"/>
      <c r="DM105" s="64"/>
      <c r="DN105" s="64"/>
      <c r="DO105" s="64"/>
      <c r="DP105" s="64"/>
      <c r="DQ105" s="80"/>
      <c r="DR105" s="80">
        <v>48</v>
      </c>
      <c r="DS105" s="80"/>
      <c r="DT105" s="64"/>
      <c r="DU105" s="64"/>
      <c r="DV105" s="64"/>
      <c r="DW105" s="64"/>
      <c r="DX105" s="64"/>
      <c r="DY105" s="64"/>
      <c r="DZ105" s="64"/>
      <c r="EA105" s="64"/>
      <c r="EB105" s="64"/>
      <c r="EC105" s="64"/>
      <c r="ED105" s="64"/>
      <c r="EE105" s="64"/>
      <c r="EF105" s="64"/>
      <c r="EG105" s="64"/>
      <c r="EH105" s="64"/>
      <c r="EI105" s="64"/>
      <c r="EJ105" s="73"/>
      <c r="EK105" s="74"/>
      <c r="EL105" s="74"/>
      <c r="EM105" s="74"/>
      <c r="EN105" s="74"/>
      <c r="EO105" s="74"/>
      <c r="EP105" s="74"/>
      <c r="EQ105" s="74"/>
      <c r="ER105" s="74"/>
      <c r="ES105" s="74"/>
      <c r="ET105" s="74"/>
      <c r="EU105" s="74"/>
      <c r="EV105" s="74"/>
      <c r="EW105" s="74"/>
      <c r="EX105" s="74"/>
      <c r="EY105" s="74"/>
      <c r="EZ105" s="74"/>
      <c r="FA105" s="74"/>
      <c r="FB105" s="74"/>
      <c r="FC105" s="74"/>
      <c r="FD105" s="74"/>
      <c r="FE105" s="74"/>
      <c r="FF105" s="74"/>
      <c r="FG105" s="74"/>
      <c r="FH105" s="74"/>
      <c r="FI105" s="74"/>
      <c r="FJ105" s="74"/>
      <c r="FK105" s="74"/>
      <c r="FL105" s="74"/>
      <c r="FM105" s="74"/>
      <c r="FN105" s="74"/>
      <c r="FO105" s="74"/>
      <c r="FP105" s="74"/>
      <c r="FQ105" s="74"/>
      <c r="FR105" s="74"/>
      <c r="FS105" s="74"/>
      <c r="FT105" s="74"/>
      <c r="FU105" s="74"/>
      <c r="FV105" s="74"/>
      <c r="FW105" s="74"/>
      <c r="FX105" s="74"/>
      <c r="FY105" s="74"/>
      <c r="FZ105" s="74"/>
      <c r="GA105" s="74"/>
      <c r="GB105" s="74"/>
      <c r="GC105" s="74"/>
      <c r="GD105" s="74"/>
      <c r="GE105" s="74"/>
      <c r="GF105" s="74"/>
      <c r="GG105" s="74"/>
      <c r="GH105" s="74"/>
      <c r="GI105" s="74"/>
      <c r="GJ105" s="74"/>
      <c r="GK105" s="74"/>
      <c r="GL105" s="74"/>
      <c r="GM105" s="74"/>
      <c r="GN105" s="74"/>
      <c r="GO105" s="74"/>
      <c r="GP105" s="74"/>
      <c r="GQ105" s="74"/>
      <c r="GR105" s="74"/>
      <c r="GS105" s="74"/>
      <c r="GT105" s="74"/>
      <c r="GU105" s="74"/>
      <c r="GV105" s="74"/>
      <c r="GW105" s="74"/>
      <c r="GX105" s="74"/>
      <c r="GY105" s="74"/>
      <c r="GZ105" s="74"/>
      <c r="HA105" s="74"/>
      <c r="HB105" s="74"/>
      <c r="HC105" s="74"/>
      <c r="HD105" s="74"/>
      <c r="HE105" s="74"/>
      <c r="HF105" s="74"/>
      <c r="HG105" s="74"/>
      <c r="HH105" s="74"/>
      <c r="HI105" s="78"/>
      <c r="HJ105" s="78"/>
      <c r="HK105" s="78"/>
      <c r="HL105" s="78"/>
      <c r="HM105" s="78"/>
      <c r="HN105" s="78"/>
      <c r="HO105" s="78"/>
      <c r="HP105" s="78"/>
      <c r="HQ105" s="78"/>
      <c r="HR105" s="78"/>
      <c r="HS105" s="78"/>
      <c r="HT105" s="78"/>
      <c r="HU105" s="78"/>
      <c r="HV105" s="78"/>
      <c r="HW105" s="78"/>
      <c r="HX105" s="78"/>
      <c r="HY105" s="78"/>
      <c r="HZ105" s="78"/>
      <c r="IA105" s="78"/>
      <c r="IB105" s="78"/>
      <c r="IC105" s="78"/>
      <c r="ID105" s="78"/>
      <c r="IE105" s="78"/>
      <c r="IF105" s="78"/>
      <c r="IG105" s="78"/>
      <c r="IH105" s="78"/>
      <c r="II105" s="78"/>
      <c r="IJ105" s="78"/>
      <c r="IK105" s="78"/>
      <c r="IL105" s="78"/>
      <c r="IM105" s="78"/>
      <c r="IN105" s="78"/>
      <c r="IO105" s="78"/>
      <c r="IP105" s="78"/>
      <c r="IQ105" s="78"/>
      <c r="IR105" s="78"/>
      <c r="IS105" s="78"/>
      <c r="IT105" s="79"/>
    </row>
    <row r="106" spans="1:254" x14ac:dyDescent="0.25">
      <c r="A106" s="8"/>
      <c r="B106" s="5" t="s">
        <v>61</v>
      </c>
      <c r="C106" s="8"/>
      <c r="D106" s="6" t="s">
        <v>556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CMP41H41/1,7MC</v>
      </c>
      <c r="M106" s="11">
        <f>INDEX(cenník!$C$2:$I$568,MATCH($L106,cenník!$B$2:$B$557,0),MATCH(M$2,cenník!$C$1:$I$1,0))</f>
        <v>851117</v>
      </c>
      <c r="N106" s="11" t="str">
        <f>INDEX(cenník!$C$2:$I$568,MATCH($L106,cenník!$B$2:$B$557,0),MATCH(N$2,cenník!$C$1:$I$1,0))</f>
        <v>ks</v>
      </c>
      <c r="O106" s="11">
        <f>O101</f>
        <v>0</v>
      </c>
      <c r="P106" s="36">
        <f>INDEX(cenník!$C$2:$I$568,MATCH($L106,cenník!$B$2:$B$557,0),MATCH(P$2,cenník!$C$1:$I$1,0))</f>
        <v>12.35</v>
      </c>
      <c r="Q106" s="36">
        <f>O106*P106</f>
        <v>0</v>
      </c>
      <c r="R106" s="37">
        <f t="shared" si="263"/>
        <v>0</v>
      </c>
      <c r="S106" s="36">
        <f t="shared" si="264"/>
        <v>12.35</v>
      </c>
      <c r="T106" s="36">
        <f>O106*S106</f>
        <v>0</v>
      </c>
      <c r="U106" s="36">
        <f>INDEX(cenník!$C$2:$I$568,MATCH($L106,cenník!$B$2:$B$557,0),MATCH(U$2,cenník!$C$1:$I$1,0))*O106</f>
        <v>0</v>
      </c>
      <c r="V106" s="85"/>
      <c r="W106" s="87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87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87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87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64">
        <f t="shared" si="258"/>
        <v>0</v>
      </c>
      <c r="AB106" s="64">
        <f t="shared" si="252"/>
        <v>0</v>
      </c>
      <c r="AC106" s="64"/>
      <c r="AD106" s="64"/>
      <c r="AE106" s="64"/>
      <c r="AF106" s="64"/>
      <c r="AG106" s="64"/>
      <c r="AH106" s="64"/>
      <c r="AI106" s="64"/>
      <c r="AJ106" s="64"/>
      <c r="AK106" s="64"/>
      <c r="AL106" s="64"/>
      <c r="AM106" s="64"/>
      <c r="AN106" s="64"/>
      <c r="AO106" s="64">
        <f t="shared" si="253"/>
        <v>1</v>
      </c>
      <c r="AP106" s="64" t="s">
        <v>196</v>
      </c>
      <c r="AQ106" s="64" t="s">
        <v>295</v>
      </c>
      <c r="AR106" s="64" t="s">
        <v>294</v>
      </c>
      <c r="AS106" s="64" t="s">
        <v>292</v>
      </c>
      <c r="AT106" s="64" t="s">
        <v>292</v>
      </c>
      <c r="AU106" s="64"/>
      <c r="AV106" s="64" t="s">
        <v>196</v>
      </c>
      <c r="AW106" s="64" t="s">
        <v>84</v>
      </c>
      <c r="AX106" s="64" t="s">
        <v>84</v>
      </c>
      <c r="AY106" s="64" t="s">
        <v>84</v>
      </c>
      <c r="AZ106" s="64" t="s">
        <v>84</v>
      </c>
      <c r="BA106" s="64"/>
      <c r="BB106" s="64"/>
      <c r="BC106" s="64"/>
      <c r="BD106" s="64"/>
      <c r="BE106" s="64"/>
      <c r="BF106" s="64"/>
      <c r="BG106" s="64"/>
      <c r="BH106" s="64"/>
      <c r="BI106" s="64"/>
      <c r="BJ106" s="64"/>
      <c r="BK106" s="64"/>
      <c r="BL106" s="64"/>
      <c r="BM106" s="64"/>
      <c r="BN106" s="64"/>
      <c r="BO106" s="64"/>
      <c r="BP106" s="64"/>
      <c r="BQ106" s="64"/>
      <c r="BR106" s="64"/>
      <c r="BS106" s="64"/>
      <c r="BT106" s="64"/>
      <c r="BU106" s="64"/>
      <c r="BV106" s="64"/>
      <c r="BW106" s="64"/>
      <c r="BX106" s="64"/>
      <c r="BY106" s="64"/>
      <c r="BZ106" s="64"/>
      <c r="CA106" s="64"/>
      <c r="CB106" s="64"/>
      <c r="CC106" s="64"/>
      <c r="CD106" s="64"/>
      <c r="CE106" s="64"/>
      <c r="CF106" s="64"/>
      <c r="CG106" s="64"/>
      <c r="CH106" s="64"/>
      <c r="CI106" s="64"/>
      <c r="CJ106" s="64"/>
      <c r="CK106" s="64"/>
      <c r="CL106" s="64"/>
      <c r="CM106" s="64"/>
      <c r="CN106" s="64"/>
      <c r="CO106" s="64"/>
      <c r="CP106" s="64"/>
      <c r="CQ106" s="64"/>
      <c r="CR106" s="64"/>
      <c r="CS106" s="64"/>
      <c r="CT106" s="64"/>
      <c r="CU106" s="64"/>
      <c r="CV106" s="64"/>
      <c r="CW106" s="64"/>
      <c r="CX106" s="64"/>
      <c r="CY106" s="64"/>
      <c r="CZ106" s="64"/>
      <c r="DA106" s="64"/>
      <c r="DB106" s="64"/>
      <c r="DC106" s="64"/>
      <c r="DD106" s="64"/>
      <c r="DE106" s="64"/>
      <c r="DF106" s="64"/>
      <c r="DG106" s="64"/>
      <c r="DH106" s="64"/>
      <c r="DI106" s="64"/>
      <c r="DJ106" s="64"/>
      <c r="DK106" s="64"/>
      <c r="DL106" s="64"/>
      <c r="DM106" s="64"/>
      <c r="DN106" s="64"/>
      <c r="DO106" s="64"/>
      <c r="DP106" s="64"/>
      <c r="DQ106" s="80"/>
      <c r="DR106" s="80">
        <v>50</v>
      </c>
      <c r="DS106" s="80"/>
      <c r="DT106" s="64"/>
      <c r="DU106" s="64"/>
      <c r="DV106" s="64"/>
      <c r="DW106" s="64"/>
      <c r="DX106" s="64"/>
      <c r="DY106" s="64"/>
      <c r="DZ106" s="64"/>
      <c r="EA106" s="64"/>
      <c r="EB106" s="64"/>
      <c r="EC106" s="64"/>
      <c r="ED106" s="64"/>
      <c r="EE106" s="64"/>
      <c r="EF106" s="64"/>
      <c r="EG106" s="64"/>
      <c r="EH106" s="64"/>
      <c r="EI106" s="64"/>
      <c r="EJ106" s="64"/>
      <c r="EK106" s="64"/>
      <c r="EL106" s="64"/>
      <c r="EM106" s="64"/>
      <c r="EN106" s="64"/>
      <c r="EO106" s="64"/>
      <c r="EP106" s="64"/>
      <c r="EQ106" s="64"/>
      <c r="ER106" s="64"/>
      <c r="ES106" s="64"/>
      <c r="ET106" s="64"/>
      <c r="EU106" s="64"/>
      <c r="EV106" s="64"/>
      <c r="EW106" s="64"/>
      <c r="EX106" s="64"/>
      <c r="EY106" s="64"/>
      <c r="EZ106" s="64"/>
      <c r="FA106" s="64"/>
      <c r="FB106" s="64"/>
      <c r="FC106" s="64"/>
      <c r="FD106" s="64"/>
      <c r="FE106" s="64"/>
      <c r="FF106" s="64"/>
      <c r="FG106" s="64"/>
      <c r="FH106" s="64"/>
      <c r="FI106" s="64"/>
      <c r="FJ106" s="64"/>
      <c r="FK106" s="64"/>
      <c r="FL106" s="64"/>
      <c r="FM106" s="64"/>
      <c r="FN106" s="64"/>
      <c r="FO106" s="64"/>
      <c r="FP106" s="64"/>
      <c r="FQ106" s="64"/>
      <c r="FR106" s="64"/>
      <c r="FS106" s="64"/>
      <c r="FT106" s="64"/>
      <c r="FU106" s="64"/>
      <c r="FV106" s="64"/>
      <c r="FW106" s="64"/>
      <c r="FX106" s="64"/>
      <c r="FY106" s="64"/>
      <c r="FZ106" s="64"/>
      <c r="GA106" s="64"/>
      <c r="GB106" s="64"/>
      <c r="GC106" s="64"/>
      <c r="GD106" s="64"/>
      <c r="GE106" s="64"/>
      <c r="GF106" s="64"/>
      <c r="GG106" s="64"/>
      <c r="GH106" s="64"/>
      <c r="GI106" s="64"/>
      <c r="GJ106" s="64"/>
      <c r="GK106" s="64"/>
      <c r="GL106" s="64"/>
      <c r="GM106" s="64"/>
      <c r="GN106" s="64"/>
      <c r="GO106" s="64"/>
      <c r="GP106" s="64"/>
      <c r="GQ106" s="64"/>
      <c r="GR106" s="64"/>
      <c r="GS106" s="64"/>
      <c r="GT106" s="64"/>
      <c r="GU106" s="64"/>
      <c r="GV106" s="64"/>
      <c r="GW106" s="64"/>
      <c r="GX106" s="64"/>
      <c r="GY106" s="64"/>
      <c r="GZ106" s="64"/>
      <c r="HA106" s="64"/>
      <c r="HB106" s="64"/>
      <c r="HC106" s="64"/>
      <c r="HD106" s="64"/>
      <c r="HE106" s="64"/>
      <c r="HF106" s="64"/>
      <c r="HG106" s="64"/>
      <c r="HH106" s="64"/>
    </row>
    <row r="107" spans="1:254" x14ac:dyDescent="0.25">
      <c r="A107" s="8"/>
      <c r="B107" s="5" t="s">
        <v>61</v>
      </c>
      <c r="C107" s="8"/>
      <c r="D107" s="6" t="s">
        <v>478</v>
      </c>
      <c r="E107" s="8">
        <v>2</v>
      </c>
      <c r="F107" s="43" t="s">
        <v>480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>
        <f>INDEX(cenník!$C$2:$I$568,MATCH($L107,cenník!$B$2:$B$557,0),MATCH(M$2,cenník!$C$1:$I$1,0))</f>
        <v>856211</v>
      </c>
      <c r="N107" s="11" t="str">
        <f>INDEX(cenník!$C$2:$I$568,MATCH($L107,cenník!$B$2:$B$557,0),MATCH(N$2,cenník!$C$1:$I$1,0))</f>
        <v>ks</v>
      </c>
      <c r="O107" s="29">
        <f>IF(L107="CMP41H41/1,2MC",O106,0)</f>
        <v>0</v>
      </c>
      <c r="P107" s="36">
        <f>INDEX(cenník!$C$2:$I$568,MATCH($L107,cenník!$B$2:$B$557,0),MATCH(P$2,cenník!$C$1:$I$1,0))</f>
        <v>8.7100000000000009</v>
      </c>
      <c r="Q107" s="36">
        <f t="shared" ref="Q107" si="269">O107*P107</f>
        <v>0</v>
      </c>
      <c r="R107" s="37">
        <f t="shared" si="263"/>
        <v>0</v>
      </c>
      <c r="S107" s="36">
        <f t="shared" si="264"/>
        <v>8.7100000000000009</v>
      </c>
      <c r="T107" s="36">
        <f t="shared" ref="T107" si="270">O107*S107</f>
        <v>0</v>
      </c>
      <c r="U107" s="36">
        <f>INDEX(cenník!$C$2:$I$568,MATCH($L107,cenník!$B$2:$B$557,0),MATCH(U$2,cenník!$C$1:$I$1,0))*O107</f>
        <v>0</v>
      </c>
      <c r="V107" s="85"/>
      <c r="W107" s="87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87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87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87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64">
        <f t="shared" si="258"/>
        <v>0</v>
      </c>
      <c r="AB107" s="64">
        <f t="shared" si="252"/>
        <v>0</v>
      </c>
      <c r="AC107" s="64"/>
      <c r="AD107" s="64"/>
      <c r="AE107" s="64"/>
      <c r="AF107" s="64"/>
      <c r="AG107" s="64"/>
      <c r="AH107" s="64"/>
      <c r="AI107" s="64"/>
      <c r="AJ107" s="64"/>
      <c r="AK107" s="64"/>
      <c r="AL107" s="64"/>
      <c r="AM107" s="64"/>
      <c r="AN107" s="64"/>
      <c r="AO107" s="64">
        <f t="shared" si="253"/>
        <v>1</v>
      </c>
      <c r="AP107" s="64" t="s">
        <v>198</v>
      </c>
      <c r="AQ107" s="64" t="s">
        <v>295</v>
      </c>
      <c r="AR107" s="64" t="s">
        <v>294</v>
      </c>
      <c r="AS107" s="64" t="s">
        <v>292</v>
      </c>
      <c r="AT107" s="64" t="s">
        <v>292</v>
      </c>
      <c r="AU107" s="64"/>
      <c r="AV107" s="64" t="s">
        <v>198</v>
      </c>
      <c r="AW107" s="64" t="s">
        <v>84</v>
      </c>
      <c r="AX107" s="64" t="s">
        <v>84</v>
      </c>
      <c r="AY107" s="64" t="s">
        <v>84</v>
      </c>
      <c r="AZ107" s="64" t="s">
        <v>84</v>
      </c>
      <c r="BA107" s="64"/>
      <c r="BB107" s="64"/>
      <c r="BC107" s="64"/>
      <c r="BD107" s="64"/>
      <c r="BE107" s="64"/>
      <c r="BF107" s="64"/>
      <c r="BG107" s="64"/>
      <c r="BH107" s="64"/>
      <c r="BI107" s="64"/>
      <c r="BJ107" s="64"/>
      <c r="BK107" s="64"/>
      <c r="BL107" s="64"/>
      <c r="BM107" s="64"/>
      <c r="BN107" s="64"/>
      <c r="BO107" s="64"/>
      <c r="BP107" s="64"/>
      <c r="BQ107" s="64"/>
      <c r="BR107" s="64"/>
      <c r="BS107" s="64"/>
      <c r="BT107" s="64"/>
      <c r="BU107" s="64"/>
      <c r="BV107" s="64"/>
      <c r="BW107" s="64"/>
      <c r="BX107" s="64"/>
      <c r="BY107" s="64"/>
      <c r="BZ107" s="64"/>
      <c r="CA107" s="64"/>
      <c r="CB107" s="64"/>
      <c r="CC107" s="64"/>
      <c r="CD107" s="64"/>
      <c r="CE107" s="64"/>
      <c r="CF107" s="64"/>
      <c r="CG107" s="64"/>
      <c r="CH107" s="64"/>
      <c r="CI107" s="64"/>
      <c r="CJ107" s="64"/>
      <c r="CK107" s="64"/>
      <c r="CL107" s="64"/>
      <c r="CM107" s="64"/>
      <c r="CN107" s="64"/>
      <c r="CO107" s="64"/>
      <c r="CP107" s="64"/>
      <c r="CQ107" s="64"/>
      <c r="CR107" s="64"/>
      <c r="CS107" s="64"/>
      <c r="CT107" s="64"/>
      <c r="CU107" s="64"/>
      <c r="CV107" s="64"/>
      <c r="CW107" s="64"/>
      <c r="CX107" s="64"/>
      <c r="CY107" s="64"/>
      <c r="CZ107" s="64"/>
      <c r="DA107" s="64"/>
      <c r="DB107" s="64"/>
      <c r="DC107" s="64"/>
      <c r="DD107" s="64"/>
      <c r="DE107" s="64"/>
      <c r="DF107" s="64"/>
      <c r="DG107" s="64"/>
      <c r="DH107" s="64"/>
      <c r="DI107" s="64"/>
      <c r="DJ107" s="64"/>
      <c r="DK107" s="64"/>
      <c r="DL107" s="64"/>
      <c r="DM107" s="64"/>
      <c r="DN107" s="64"/>
      <c r="DO107" s="64"/>
      <c r="DP107" s="64"/>
      <c r="DQ107" s="80"/>
      <c r="DR107" s="80"/>
      <c r="DS107" s="80"/>
      <c r="DT107" s="64"/>
      <c r="DU107" s="64"/>
      <c r="DV107" s="64"/>
      <c r="DW107" s="64"/>
      <c r="DX107" s="64"/>
      <c r="DY107" s="64"/>
      <c r="DZ107" s="64"/>
      <c r="EA107" s="64"/>
      <c r="EB107" s="64"/>
      <c r="EC107" s="64"/>
      <c r="ED107" s="64"/>
      <c r="EE107" s="64"/>
      <c r="EF107" s="64"/>
      <c r="EG107" s="64"/>
      <c r="EH107" s="64"/>
      <c r="EI107" s="64"/>
      <c r="EJ107" s="64"/>
      <c r="EK107" s="64"/>
      <c r="EL107" s="64"/>
      <c r="EM107" s="64"/>
      <c r="EN107" s="64"/>
      <c r="EO107" s="64"/>
      <c r="EP107" s="64"/>
      <c r="EQ107" s="64"/>
      <c r="ER107" s="64"/>
      <c r="ES107" s="64"/>
      <c r="ET107" s="64"/>
      <c r="EU107" s="64"/>
      <c r="EV107" s="64"/>
      <c r="EW107" s="64"/>
      <c r="EX107" s="64"/>
      <c r="EY107" s="64"/>
      <c r="EZ107" s="64"/>
      <c r="FA107" s="64"/>
      <c r="FB107" s="64"/>
      <c r="FC107" s="64"/>
      <c r="FD107" s="64"/>
      <c r="FE107" s="64"/>
      <c r="FF107" s="64"/>
      <c r="FG107" s="64"/>
      <c r="FH107" s="64"/>
      <c r="FI107" s="64"/>
      <c r="FJ107" s="64"/>
      <c r="FK107" s="64"/>
      <c r="FL107" s="64"/>
      <c r="FM107" s="64"/>
      <c r="FN107" s="64"/>
      <c r="FO107" s="64"/>
      <c r="FP107" s="64"/>
      <c r="FQ107" s="64"/>
      <c r="FR107" s="64"/>
      <c r="FS107" s="64"/>
      <c r="FT107" s="64"/>
      <c r="FU107" s="64"/>
      <c r="FV107" s="64"/>
      <c r="FW107" s="64"/>
      <c r="FX107" s="64"/>
      <c r="FY107" s="64"/>
      <c r="FZ107" s="64"/>
      <c r="GA107" s="64"/>
      <c r="GB107" s="64"/>
      <c r="GC107" s="64"/>
      <c r="GD107" s="64"/>
      <c r="GE107" s="64"/>
      <c r="GF107" s="64"/>
      <c r="GG107" s="64"/>
      <c r="GH107" s="64"/>
      <c r="GI107" s="64"/>
      <c r="GJ107" s="64"/>
      <c r="GK107" s="64"/>
      <c r="GL107" s="64"/>
      <c r="GM107" s="64"/>
      <c r="GN107" s="64"/>
      <c r="GO107" s="64"/>
      <c r="GP107" s="64"/>
      <c r="GQ107" s="64"/>
      <c r="GR107" s="64"/>
      <c r="GS107" s="64"/>
      <c r="GT107" s="64"/>
      <c r="GU107" s="64"/>
      <c r="GV107" s="64"/>
      <c r="GW107" s="64"/>
      <c r="GX107" s="64"/>
      <c r="GY107" s="64"/>
      <c r="GZ107" s="64"/>
      <c r="HA107" s="64"/>
      <c r="HB107" s="64"/>
      <c r="HC107" s="64"/>
      <c r="HD107" s="64"/>
      <c r="HE107" s="64"/>
      <c r="HF107" s="64"/>
      <c r="HG107" s="64"/>
      <c r="HH107" s="64"/>
    </row>
    <row r="108" spans="1:254" x14ac:dyDescent="0.25">
      <c r="A108" s="8"/>
      <c r="B108" s="5" t="s">
        <v>61</v>
      </c>
      <c r="C108" s="8"/>
      <c r="D108" s="6" t="s">
        <v>479</v>
      </c>
      <c r="E108" s="8">
        <v>3</v>
      </c>
      <c r="F108" s="43" t="s">
        <v>481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CMP41H41/3MC</v>
      </c>
      <c r="M108" s="11">
        <f>INDEX(cenník!$C$2:$I$568,MATCH($L108,cenník!$B$2:$B$557,0),MATCH(M$2,cenník!$C$1:$I$1,0))</f>
        <v>851132</v>
      </c>
      <c r="N108" s="11" t="str">
        <f>INDEX(cenník!$C$2:$I$568,MATCH($L108,cenník!$B$2:$B$557,0),MATCH(N$2,cenník!$C$1:$I$1,0))</f>
        <v>ks</v>
      </c>
      <c r="O108" s="11">
        <f>SUM(AA94:AA109)</f>
        <v>0</v>
      </c>
      <c r="P108" s="36">
        <f>INDEX(cenník!$C$2:$I$568,MATCH($L108,cenník!$B$2:$B$557,0),MATCH(P$2,cenník!$C$1:$I$1,0))</f>
        <v>21.79</v>
      </c>
      <c r="Q108" s="36">
        <f t="shared" ref="Q108:Q109" si="271">O108*P108</f>
        <v>0</v>
      </c>
      <c r="R108" s="37">
        <f t="shared" si="263"/>
        <v>0</v>
      </c>
      <c r="S108" s="36">
        <f t="shared" si="264"/>
        <v>21.79</v>
      </c>
      <c r="T108" s="36">
        <f t="shared" ref="T108:T109" si="272">O108*S108</f>
        <v>0</v>
      </c>
      <c r="U108" s="36">
        <f>INDEX(cenník!$C$2:$I$568,MATCH($L108,cenník!$B$2:$B$557,0),MATCH(U$2,cenník!$C$1:$I$1,0))*O108</f>
        <v>0</v>
      </c>
      <c r="V108" s="64"/>
      <c r="W108" s="87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87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87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87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64">
        <f t="shared" si="258"/>
        <v>0</v>
      </c>
      <c r="AB108" s="64">
        <f t="shared" si="252"/>
        <v>0</v>
      </c>
      <c r="AC108" s="64"/>
      <c r="AD108" s="64"/>
      <c r="AE108" s="64"/>
      <c r="AF108" s="64"/>
      <c r="AG108" s="64"/>
      <c r="AH108" s="64"/>
      <c r="AI108" s="64"/>
      <c r="AJ108" s="64"/>
      <c r="AK108" s="64"/>
      <c r="AL108" s="64"/>
      <c r="AM108" s="64"/>
      <c r="AN108" s="64"/>
      <c r="AO108" s="64">
        <f t="shared" si="253"/>
        <v>1</v>
      </c>
      <c r="AP108" s="64" t="s">
        <v>58</v>
      </c>
      <c r="AQ108" s="64" t="s">
        <v>295</v>
      </c>
      <c r="AR108" s="64" t="s">
        <v>294</v>
      </c>
      <c r="AS108" s="64" t="s">
        <v>292</v>
      </c>
      <c r="AT108" s="64" t="s">
        <v>292</v>
      </c>
      <c r="AU108" s="64"/>
      <c r="AV108" s="64" t="s">
        <v>58</v>
      </c>
      <c r="AW108" s="64" t="s">
        <v>84</v>
      </c>
      <c r="AX108" s="64" t="s">
        <v>84</v>
      </c>
      <c r="AY108" s="64" t="s">
        <v>84</v>
      </c>
      <c r="AZ108" s="64" t="s">
        <v>84</v>
      </c>
      <c r="BA108" s="64"/>
      <c r="BB108" s="64"/>
      <c r="BC108" s="64"/>
      <c r="BD108" s="64"/>
      <c r="BE108" s="64"/>
      <c r="BF108" s="64"/>
      <c r="BG108" s="64"/>
      <c r="BH108" s="64"/>
      <c r="BI108" s="64"/>
      <c r="BJ108" s="64"/>
      <c r="BK108" s="64"/>
      <c r="BL108" s="64"/>
      <c r="BM108" s="64"/>
      <c r="BN108" s="64"/>
      <c r="BO108" s="64"/>
      <c r="BP108" s="64"/>
      <c r="BQ108" s="64"/>
      <c r="BR108" s="64"/>
      <c r="BS108" s="64"/>
      <c r="BT108" s="64"/>
      <c r="BU108" s="64"/>
      <c r="BV108" s="64"/>
      <c r="BW108" s="64"/>
      <c r="BX108" s="64"/>
      <c r="BY108" s="64"/>
      <c r="BZ108" s="64"/>
      <c r="CA108" s="64"/>
      <c r="CB108" s="64"/>
      <c r="CC108" s="64"/>
      <c r="CD108" s="64"/>
      <c r="CE108" s="64"/>
      <c r="CF108" s="64"/>
      <c r="CG108" s="64"/>
      <c r="CH108" s="64"/>
      <c r="CI108" s="64"/>
      <c r="CJ108" s="64"/>
      <c r="CK108" s="64"/>
      <c r="CL108" s="64"/>
      <c r="CM108" s="64"/>
      <c r="CN108" s="64"/>
      <c r="CO108" s="64"/>
      <c r="CP108" s="64"/>
      <c r="CQ108" s="64"/>
      <c r="CR108" s="64"/>
      <c r="CS108" s="64"/>
      <c r="CT108" s="64"/>
      <c r="CU108" s="64"/>
      <c r="CV108" s="64"/>
      <c r="CW108" s="64"/>
      <c r="CX108" s="64"/>
      <c r="CY108" s="64"/>
      <c r="CZ108" s="64"/>
      <c r="DA108" s="64"/>
      <c r="DB108" s="64"/>
      <c r="DC108" s="64"/>
      <c r="DD108" s="64"/>
      <c r="DE108" s="64"/>
      <c r="DF108" s="64"/>
      <c r="DG108" s="64"/>
      <c r="DH108" s="64"/>
      <c r="DI108" s="64"/>
      <c r="DJ108" s="64"/>
      <c r="DK108" s="64"/>
      <c r="DL108" s="64"/>
      <c r="DM108" s="64"/>
      <c r="DN108" s="64"/>
      <c r="DO108" s="64"/>
      <c r="DP108" s="64"/>
      <c r="DQ108" s="80"/>
      <c r="DR108" s="80"/>
      <c r="DS108" s="80"/>
      <c r="DT108" s="64"/>
      <c r="DU108" s="64"/>
      <c r="DV108" s="64"/>
      <c r="DW108" s="64"/>
      <c r="DX108" s="64"/>
      <c r="DY108" s="64"/>
      <c r="DZ108" s="64"/>
      <c r="EA108" s="64"/>
      <c r="EB108" s="64"/>
      <c r="EC108" s="64"/>
      <c r="ED108" s="64"/>
      <c r="EE108" s="64"/>
      <c r="EF108" s="64"/>
      <c r="EG108" s="64"/>
      <c r="EH108" s="64"/>
      <c r="EI108" s="64"/>
      <c r="EJ108" s="64" t="s">
        <v>357</v>
      </c>
      <c r="EK108" s="64"/>
      <c r="EL108" s="64"/>
      <c r="EM108" s="64"/>
      <c r="EN108" s="64"/>
      <c r="EO108" s="64"/>
      <c r="EP108" s="64"/>
      <c r="EQ108" s="64"/>
      <c r="ER108" s="64"/>
      <c r="ES108" s="64"/>
      <c r="ET108" s="64"/>
      <c r="EU108" s="64"/>
      <c r="EV108" s="64"/>
      <c r="EW108" s="64"/>
      <c r="EX108" s="64"/>
      <c r="EY108" s="64"/>
      <c r="EZ108" s="64"/>
      <c r="FA108" s="64"/>
      <c r="FB108" s="64"/>
      <c r="FC108" s="64"/>
      <c r="FD108" s="64"/>
      <c r="FE108" s="64"/>
      <c r="FF108" s="64"/>
      <c r="FG108" s="64"/>
      <c r="FH108" s="64"/>
      <c r="FI108" s="64"/>
      <c r="FJ108" s="64"/>
      <c r="FK108" s="64"/>
      <c r="FL108" s="64"/>
      <c r="FM108" s="64"/>
      <c r="FN108" s="64"/>
      <c r="FO108" s="64"/>
      <c r="FP108" s="64"/>
      <c r="FQ108" s="64"/>
      <c r="FR108" s="64"/>
      <c r="FS108" s="64"/>
      <c r="FT108" s="64"/>
      <c r="FU108" s="64"/>
      <c r="FV108" s="64"/>
      <c r="FW108" s="64"/>
      <c r="FX108" s="64"/>
      <c r="FY108" s="64"/>
      <c r="FZ108" s="64"/>
      <c r="GA108" s="64"/>
      <c r="GB108" s="64"/>
      <c r="GC108" s="64"/>
      <c r="GD108" s="64"/>
      <c r="GE108" s="64"/>
      <c r="GF108" s="64"/>
      <c r="GG108" s="64"/>
      <c r="GH108" s="64"/>
      <c r="GI108" s="64"/>
      <c r="GJ108" s="64"/>
      <c r="GK108" s="64"/>
      <c r="GL108" s="64"/>
      <c r="GM108" s="64"/>
      <c r="GN108" s="64"/>
      <c r="GO108" s="64"/>
      <c r="GP108" s="64"/>
      <c r="GQ108" s="64"/>
      <c r="GR108" s="64"/>
      <c r="GS108" s="64"/>
      <c r="GT108" s="64"/>
      <c r="GU108" s="64"/>
      <c r="GV108" s="64"/>
      <c r="GW108" s="64"/>
      <c r="GX108" s="64"/>
      <c r="GY108" s="64"/>
      <c r="GZ108" s="64"/>
      <c r="HA108" s="64"/>
      <c r="HB108" s="64"/>
      <c r="HC108" s="64"/>
      <c r="HD108" s="64"/>
      <c r="HE108" s="64"/>
      <c r="HF108" s="64"/>
      <c r="HG108" s="64"/>
      <c r="HH108" s="64"/>
    </row>
    <row r="109" spans="1:254" ht="15.75" thickBot="1" x14ac:dyDescent="0.3">
      <c r="A109" s="8"/>
      <c r="B109" s="5" t="s">
        <v>61</v>
      </c>
      <c r="C109" s="8"/>
      <c r="D109" s="6" t="s">
        <v>489</v>
      </c>
      <c r="E109" s="34">
        <f>INDEX((AJ103:AN105),MATCH(E107,AI103:AI105,0),MATCH(E108,AJ102:AN102,0))</f>
        <v>2000</v>
      </c>
      <c r="F109" s="9"/>
      <c r="G109" s="9"/>
      <c r="H109" s="9"/>
      <c r="I109" s="9"/>
      <c r="J109" s="31" t="s">
        <v>62</v>
      </c>
      <c r="K109" s="9"/>
      <c r="L109" s="6" t="s">
        <v>1457</v>
      </c>
      <c r="M109" s="11">
        <f>INDEX(cenník!$C$2:$I$568,MATCH($L109,cenník!$B$2:$B$557,0),MATCH(M$2,cenník!$C$1:$I$1,0))</f>
        <v>850252</v>
      </c>
      <c r="N109" s="11" t="str">
        <f>INDEX(cenník!$C$2:$I$568,MATCH($L109,cenník!$B$2:$B$557,0),MATCH(N$2,cenník!$C$1:$I$1,0))</f>
        <v>ks</v>
      </c>
      <c r="O109" s="11">
        <f>O101+O107</f>
        <v>0</v>
      </c>
      <c r="P109" s="36">
        <f>INDEX(cenník!$C$2:$I$568,MATCH($L109,cenník!$B$2:$B$557,0),MATCH(P$2,cenník!$C$1:$I$1,0))</f>
        <v>2.11</v>
      </c>
      <c r="Q109" s="36">
        <f t="shared" si="271"/>
        <v>0</v>
      </c>
      <c r="R109" s="37">
        <f t="shared" si="263"/>
        <v>0</v>
      </c>
      <c r="S109" s="36">
        <f t="shared" si="264"/>
        <v>2.11</v>
      </c>
      <c r="T109" s="36">
        <f t="shared" si="272"/>
        <v>0</v>
      </c>
      <c r="U109" s="36">
        <f>INDEX(cenník!$C$2:$I$568,MATCH($L109,cenník!$B$2:$B$557,0),MATCH(U$2,cenník!$C$1:$I$1,0))*O109</f>
        <v>0</v>
      </c>
      <c r="V109" s="64"/>
      <c r="W109" s="87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87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87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87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64">
        <f t="shared" si="258"/>
        <v>0</v>
      </c>
      <c r="AB109" s="64">
        <f t="shared" si="252"/>
        <v>0</v>
      </c>
      <c r="AC109" s="64"/>
      <c r="AD109" s="64"/>
      <c r="AE109" s="64"/>
      <c r="AF109" s="64"/>
      <c r="AG109" s="64"/>
      <c r="AH109" s="64"/>
      <c r="AI109" s="64"/>
      <c r="AJ109" s="64"/>
      <c r="AK109" s="64"/>
      <c r="AL109" s="64"/>
      <c r="AM109" s="64"/>
      <c r="AN109" s="64"/>
      <c r="AO109" s="64">
        <f t="shared" si="253"/>
        <v>1</v>
      </c>
      <c r="AP109" s="64" t="s">
        <v>71</v>
      </c>
      <c r="AQ109" s="64" t="s">
        <v>295</v>
      </c>
      <c r="AR109" s="64" t="s">
        <v>294</v>
      </c>
      <c r="AS109" s="64" t="s">
        <v>292</v>
      </c>
      <c r="AT109" s="64" t="s">
        <v>292</v>
      </c>
      <c r="AU109" s="64"/>
      <c r="AV109" s="64" t="s">
        <v>71</v>
      </c>
      <c r="AW109" s="64" t="s">
        <v>84</v>
      </c>
      <c r="AX109" s="64" t="s">
        <v>84</v>
      </c>
      <c r="AY109" s="64" t="s">
        <v>84</v>
      </c>
      <c r="AZ109" s="64" t="s">
        <v>84</v>
      </c>
      <c r="BA109" s="64"/>
      <c r="BB109" s="64"/>
      <c r="BC109" s="64"/>
      <c r="BD109" s="64"/>
      <c r="BE109" s="64"/>
      <c r="BF109" s="64"/>
      <c r="BG109" s="64"/>
      <c r="BH109" s="64"/>
      <c r="BI109" s="64"/>
      <c r="BJ109" s="64"/>
      <c r="BK109" s="64"/>
      <c r="BL109" s="64"/>
      <c r="BM109" s="64"/>
      <c r="BN109" s="64"/>
      <c r="BO109" s="64"/>
      <c r="BP109" s="64"/>
      <c r="BQ109" s="64"/>
      <c r="BR109" s="64"/>
      <c r="BS109" s="64"/>
      <c r="BT109" s="64"/>
      <c r="BU109" s="64"/>
      <c r="BV109" s="64"/>
      <c r="BW109" s="64"/>
      <c r="BX109" s="64"/>
      <c r="BY109" s="64"/>
      <c r="BZ109" s="64"/>
      <c r="CA109" s="64"/>
      <c r="CB109" s="64"/>
      <c r="CC109" s="64"/>
      <c r="CD109" s="64"/>
      <c r="CE109" s="64"/>
      <c r="CF109" s="64"/>
      <c r="CG109" s="64"/>
      <c r="CH109" s="64"/>
      <c r="CI109" s="64"/>
      <c r="CJ109" s="64"/>
      <c r="CK109" s="64"/>
      <c r="CL109" s="64"/>
      <c r="CM109" s="64"/>
      <c r="CN109" s="64"/>
      <c r="CO109" s="64"/>
      <c r="CP109" s="64"/>
      <c r="CQ109" s="64"/>
      <c r="CR109" s="64"/>
      <c r="CS109" s="64"/>
      <c r="CT109" s="64"/>
      <c r="CU109" s="64"/>
      <c r="CV109" s="64"/>
      <c r="CW109" s="64"/>
      <c r="CX109" s="64"/>
      <c r="CY109" s="64"/>
      <c r="CZ109" s="64"/>
      <c r="DA109" s="64"/>
      <c r="DB109" s="64"/>
      <c r="DC109" s="64"/>
      <c r="DD109" s="64"/>
      <c r="DE109" s="64"/>
      <c r="DF109" s="64"/>
      <c r="DG109" s="64"/>
      <c r="DH109" s="64"/>
      <c r="DI109" s="64"/>
      <c r="DJ109" s="64"/>
      <c r="DK109" s="64"/>
      <c r="DL109" s="64"/>
      <c r="DM109" s="64"/>
      <c r="DN109" s="64"/>
      <c r="DO109" s="64"/>
      <c r="DP109" s="64"/>
      <c r="DQ109" s="80"/>
      <c r="DR109" s="80"/>
      <c r="DS109" s="80"/>
      <c r="DT109" s="64"/>
      <c r="DU109" s="64"/>
      <c r="DV109" s="64"/>
      <c r="DW109" s="64"/>
      <c r="DX109" s="64"/>
      <c r="DY109" s="64"/>
      <c r="DZ109" s="64"/>
      <c r="EA109" s="64"/>
      <c r="EB109" s="64"/>
      <c r="EC109" s="64"/>
      <c r="ED109" s="64"/>
      <c r="EE109" s="64"/>
      <c r="EF109" s="64"/>
      <c r="EG109" s="64"/>
      <c r="EH109" s="64"/>
      <c r="EI109" s="64"/>
      <c r="EJ109" s="64"/>
      <c r="EK109" s="64"/>
      <c r="EL109" s="64"/>
      <c r="EM109" s="64"/>
      <c r="EN109" s="64"/>
      <c r="EO109" s="64"/>
      <c r="EP109" s="64"/>
      <c r="EQ109" s="64"/>
      <c r="ER109" s="64"/>
      <c r="ES109" s="64"/>
      <c r="ET109" s="64"/>
      <c r="EU109" s="64"/>
      <c r="EV109" s="64"/>
      <c r="EW109" s="64"/>
      <c r="EX109" s="64"/>
      <c r="EY109" s="64"/>
      <c r="EZ109" s="64"/>
      <c r="FA109" s="64"/>
      <c r="FB109" s="64"/>
      <c r="FC109" s="64"/>
      <c r="FD109" s="64"/>
      <c r="FE109" s="64"/>
      <c r="FF109" s="64"/>
      <c r="FG109" s="64"/>
      <c r="FH109" s="64"/>
      <c r="FI109" s="64"/>
      <c r="FJ109" s="64"/>
      <c r="FK109" s="64"/>
      <c r="FL109" s="64"/>
      <c r="FM109" s="64"/>
      <c r="FN109" s="64"/>
      <c r="FO109" s="64"/>
      <c r="FP109" s="64"/>
      <c r="FQ109" s="64"/>
      <c r="FR109" s="64"/>
      <c r="FS109" s="64"/>
      <c r="FT109" s="64"/>
      <c r="FU109" s="64"/>
      <c r="FV109" s="64"/>
      <c r="FW109" s="64"/>
      <c r="FX109" s="64"/>
      <c r="FY109" s="64"/>
      <c r="FZ109" s="64"/>
      <c r="GA109" s="64"/>
      <c r="GB109" s="64"/>
      <c r="GC109" s="64"/>
      <c r="GD109" s="64"/>
      <c r="GE109" s="64"/>
      <c r="GF109" s="64"/>
      <c r="GG109" s="64"/>
      <c r="GH109" s="64"/>
      <c r="GI109" s="64"/>
      <c r="GJ109" s="64"/>
      <c r="GK109" s="64"/>
      <c r="GL109" s="64"/>
      <c r="GM109" s="64"/>
      <c r="GN109" s="64"/>
      <c r="GO109" s="64"/>
      <c r="GP109" s="64"/>
      <c r="GQ109" s="64"/>
      <c r="GR109" s="64"/>
      <c r="GS109" s="64"/>
      <c r="GT109" s="64"/>
      <c r="GU109" s="64"/>
      <c r="GV109" s="64"/>
      <c r="GW109" s="64"/>
      <c r="GX109" s="64"/>
      <c r="GY109" s="64"/>
      <c r="GZ109" s="64"/>
      <c r="HA109" s="64"/>
      <c r="HB109" s="64"/>
      <c r="HC109" s="64"/>
      <c r="HD109" s="64"/>
      <c r="HE109" s="64"/>
      <c r="HF109" s="64"/>
      <c r="HG109" s="64"/>
      <c r="HH109" s="64"/>
    </row>
    <row r="110" spans="1:254" x14ac:dyDescent="0.25">
      <c r="A110" s="8"/>
      <c r="B110" s="5" t="s">
        <v>61</v>
      </c>
      <c r="C110" s="8"/>
      <c r="D110" s="6" t="str">
        <f>IF(E101=$AC$8,"Dĺžka skrutky GSW","")</f>
        <v/>
      </c>
      <c r="E110" s="42">
        <v>1600</v>
      </c>
      <c r="F110" s="9"/>
      <c r="G110" s="9"/>
      <c r="H110" s="9"/>
      <c r="I110" s="9"/>
      <c r="J110" s="31" t="str">
        <f>IF(E101=$AC$8,"[mm]","")</f>
        <v/>
      </c>
      <c r="K110" s="9"/>
      <c r="L110" s="6" t="s">
        <v>286</v>
      </c>
      <c r="M110" s="11">
        <f>INDEX(cenník!$C$2:$I$568,MATCH($L110,cenník!$B$2:$B$557,0),MATCH(M$2,cenník!$C$1:$I$1,0))</f>
        <v>867566</v>
      </c>
      <c r="N110" s="11" t="str">
        <f>INDEX(cenník!$C$2:$I$568,MATCH($L110,cenník!$B$2:$B$557,0),MATCH(N$2,cenník!$C$1:$I$1,0))</f>
        <v>ks</v>
      </c>
      <c r="O110" s="11">
        <f>SUM(X96:X111)</f>
        <v>0</v>
      </c>
      <c r="P110" s="36">
        <f>INDEX(cenník!$C$2:$I$568,MATCH($L110,cenník!$B$2:$B$557,0),MATCH(P$2,cenník!$C$1:$I$1,0))</f>
        <v>91.73</v>
      </c>
      <c r="Q110" s="36">
        <f t="shared" ref="Q110:Q124" si="273">O110*P110</f>
        <v>0</v>
      </c>
      <c r="R110" s="37">
        <f t="shared" si="263"/>
        <v>0</v>
      </c>
      <c r="S110" s="36">
        <f t="shared" si="264"/>
        <v>91.73</v>
      </c>
      <c r="T110" s="36">
        <f t="shared" ref="T110:T124" si="274">O110*S110</f>
        <v>0</v>
      </c>
      <c r="U110" s="36">
        <f>INDEX(cenník!$C$2:$I$568,MATCH($L110,cenník!$B$2:$B$557,0),MATCH(U$2,cenník!$C$1:$I$1,0))*O110</f>
        <v>0</v>
      </c>
      <c r="V110" s="82"/>
      <c r="W110" s="87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87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87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87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64"/>
      <c r="AB110" s="64"/>
      <c r="AC110" s="64"/>
      <c r="AD110" s="64"/>
      <c r="AE110" s="64"/>
      <c r="AF110" s="64"/>
      <c r="AG110" s="64"/>
      <c r="AH110" s="64"/>
      <c r="AI110" s="64"/>
      <c r="AJ110" s="64"/>
      <c r="AK110" s="64"/>
      <c r="AL110" s="64"/>
      <c r="AM110" s="64"/>
      <c r="AN110" s="64"/>
      <c r="AO110" s="64"/>
      <c r="AP110" s="64" t="s">
        <v>72</v>
      </c>
      <c r="AQ110" s="64" t="s">
        <v>295</v>
      </c>
      <c r="AR110" s="64" t="s">
        <v>294</v>
      </c>
      <c r="AS110" s="64" t="s">
        <v>292</v>
      </c>
      <c r="AT110" s="64" t="s">
        <v>292</v>
      </c>
      <c r="AU110" s="64"/>
      <c r="AV110" s="64" t="s">
        <v>72</v>
      </c>
      <c r="AW110" s="64" t="s">
        <v>84</v>
      </c>
      <c r="AX110" s="64" t="s">
        <v>84</v>
      </c>
      <c r="AY110" s="64" t="s">
        <v>84</v>
      </c>
      <c r="AZ110" s="64" t="s">
        <v>84</v>
      </c>
      <c r="BA110" s="64"/>
      <c r="BB110" s="64"/>
      <c r="BC110" s="64"/>
      <c r="BD110" s="64"/>
      <c r="BE110" s="64"/>
      <c r="BF110" s="64"/>
      <c r="BG110" s="64"/>
      <c r="BH110" s="64"/>
      <c r="BI110" s="64"/>
      <c r="BJ110" s="64"/>
      <c r="BK110" s="64"/>
      <c r="BL110" s="64"/>
      <c r="BM110" s="64"/>
      <c r="BN110" s="64"/>
      <c r="BO110" s="64"/>
      <c r="BP110" s="64"/>
      <c r="BQ110" s="64"/>
      <c r="BR110" s="64"/>
      <c r="BS110" s="64"/>
      <c r="BT110" s="64"/>
      <c r="BU110" s="64"/>
      <c r="BV110" s="64"/>
      <c r="BW110" s="64"/>
      <c r="BX110" s="64"/>
      <c r="BY110" s="64"/>
      <c r="BZ110" s="64"/>
      <c r="CA110" s="64"/>
      <c r="CB110" s="64"/>
      <c r="CC110" s="64"/>
      <c r="CD110" s="64"/>
      <c r="CE110" s="64"/>
      <c r="CF110" s="64"/>
      <c r="CG110" s="64"/>
      <c r="CH110" s="64"/>
      <c r="CI110" s="64"/>
      <c r="CJ110" s="64"/>
      <c r="CK110" s="64"/>
      <c r="CL110" s="64"/>
      <c r="CM110" s="64"/>
      <c r="CN110" s="64"/>
      <c r="CO110" s="64"/>
      <c r="CP110" s="64"/>
      <c r="CQ110" s="64"/>
      <c r="CR110" s="64"/>
      <c r="CS110" s="64"/>
      <c r="CT110" s="64"/>
      <c r="CU110" s="64"/>
      <c r="CV110" s="64"/>
      <c r="CW110" s="64"/>
      <c r="CX110" s="64"/>
      <c r="CY110" s="64"/>
      <c r="CZ110" s="64"/>
      <c r="DA110" s="64"/>
      <c r="DB110" s="64"/>
      <c r="DC110" s="64"/>
      <c r="DD110" s="64"/>
      <c r="DE110" s="64"/>
      <c r="DF110" s="64"/>
      <c r="DG110" s="64"/>
      <c r="DH110" s="64"/>
      <c r="DI110" s="64"/>
      <c r="DJ110" s="64"/>
      <c r="DK110" s="64"/>
      <c r="DL110" s="64"/>
      <c r="DM110" s="64"/>
      <c r="DN110" s="64"/>
      <c r="DO110" s="64"/>
      <c r="DP110" s="64"/>
      <c r="DQ110" s="80"/>
      <c r="DR110" s="80">
        <v>0</v>
      </c>
      <c r="DS110" s="80"/>
      <c r="DT110" s="64"/>
      <c r="DU110" s="64"/>
      <c r="DV110" s="64"/>
      <c r="DW110" s="64"/>
      <c r="DX110" s="64"/>
      <c r="DY110" s="64"/>
      <c r="DZ110" s="64"/>
      <c r="EA110" s="64"/>
      <c r="EB110" s="64"/>
      <c r="EC110" s="64"/>
      <c r="ED110" s="64"/>
      <c r="EE110" s="64"/>
      <c r="EF110" s="64"/>
      <c r="EG110" s="64"/>
      <c r="EH110" s="64"/>
      <c r="EI110" s="64"/>
      <c r="EJ110" s="65"/>
      <c r="EK110" s="66"/>
      <c r="EL110" s="66"/>
      <c r="EM110" s="66"/>
      <c r="EN110" s="66"/>
      <c r="EO110" s="66"/>
      <c r="EP110" s="66"/>
      <c r="EQ110" s="66"/>
      <c r="ER110" s="66"/>
      <c r="ES110" s="66"/>
      <c r="ET110" s="66"/>
      <c r="EU110" s="66"/>
      <c r="EV110" s="66"/>
      <c r="EW110" s="66"/>
      <c r="EX110" s="66"/>
      <c r="EY110" s="66"/>
      <c r="EZ110" s="66"/>
      <c r="FA110" s="66"/>
      <c r="FB110" s="66"/>
      <c r="FC110" s="66"/>
      <c r="FD110" s="66"/>
      <c r="FE110" s="66"/>
      <c r="FF110" s="66"/>
      <c r="FG110" s="66"/>
      <c r="FH110" s="66"/>
      <c r="FI110" s="66"/>
      <c r="FJ110" s="66"/>
      <c r="FK110" s="66"/>
      <c r="FL110" s="66"/>
      <c r="FM110" s="66"/>
      <c r="FN110" s="66"/>
      <c r="FO110" s="66"/>
      <c r="FP110" s="66"/>
      <c r="FQ110" s="66"/>
      <c r="FR110" s="66"/>
      <c r="FS110" s="66"/>
      <c r="FT110" s="66"/>
      <c r="FU110" s="66"/>
      <c r="FV110" s="66"/>
      <c r="FW110" s="66"/>
      <c r="FX110" s="66"/>
      <c r="FY110" s="66"/>
      <c r="FZ110" s="66"/>
      <c r="GA110" s="66"/>
      <c r="GB110" s="66"/>
      <c r="GC110" s="66"/>
      <c r="GD110" s="66"/>
      <c r="GE110" s="66"/>
      <c r="GF110" s="66"/>
      <c r="GG110" s="66"/>
      <c r="GH110" s="66"/>
      <c r="GI110" s="66"/>
      <c r="GJ110" s="66"/>
      <c r="GK110" s="66"/>
      <c r="GL110" s="66"/>
      <c r="GM110" s="66"/>
      <c r="GN110" s="66"/>
      <c r="GO110" s="66"/>
      <c r="GP110" s="66"/>
      <c r="GQ110" s="66"/>
      <c r="GR110" s="66"/>
      <c r="GS110" s="66"/>
      <c r="GT110" s="66"/>
      <c r="GU110" s="66"/>
      <c r="GV110" s="66"/>
      <c r="GW110" s="66"/>
      <c r="GX110" s="66"/>
      <c r="GY110" s="66"/>
      <c r="GZ110" s="66"/>
      <c r="HA110" s="66"/>
      <c r="HB110" s="66"/>
      <c r="HC110" s="66"/>
      <c r="HD110" s="66"/>
      <c r="HE110" s="66"/>
      <c r="HF110" s="66"/>
      <c r="HG110" s="66"/>
      <c r="HH110" s="66"/>
      <c r="HI110" s="76"/>
      <c r="HJ110" s="76"/>
      <c r="HK110" s="76"/>
      <c r="HL110" s="76"/>
      <c r="HM110" s="76"/>
      <c r="HN110" s="76"/>
      <c r="HO110" s="76"/>
      <c r="HP110" s="76"/>
      <c r="HQ110" s="76"/>
      <c r="HR110" s="76"/>
      <c r="HS110" s="76"/>
      <c r="HT110" s="76"/>
      <c r="HU110" s="76"/>
      <c r="HV110" s="76"/>
      <c r="HW110" s="76"/>
      <c r="HX110" s="76"/>
      <c r="HY110" s="76"/>
      <c r="HZ110" s="76"/>
      <c r="IA110" s="76"/>
      <c r="IB110" s="76"/>
      <c r="IC110" s="76"/>
      <c r="ID110" s="76"/>
      <c r="IE110" s="76"/>
      <c r="IF110" s="76"/>
      <c r="IG110" s="76"/>
      <c r="IH110" s="76"/>
      <c r="II110" s="76"/>
      <c r="IJ110" s="76"/>
      <c r="IK110" s="76"/>
      <c r="IL110" s="76"/>
      <c r="IM110" s="76"/>
      <c r="IN110" s="76"/>
      <c r="IO110" s="76"/>
      <c r="IP110" s="76"/>
      <c r="IQ110" s="76"/>
      <c r="IR110" s="77"/>
    </row>
    <row r="111" spans="1:254" x14ac:dyDescent="0.25">
      <c r="A111" s="8"/>
      <c r="B111" s="5" t="s">
        <v>61</v>
      </c>
      <c r="C111" s="8"/>
      <c r="D111" s="44" t="s">
        <v>518</v>
      </c>
      <c r="E111" s="9"/>
      <c r="F111" s="9"/>
      <c r="G111" s="9"/>
      <c r="H111" s="9"/>
      <c r="I111" s="9"/>
      <c r="J111" s="9"/>
      <c r="K111" s="9"/>
      <c r="L111" s="6" t="s">
        <v>240</v>
      </c>
      <c r="M111" s="11">
        <f>INDEX(cenník!$C$2:$I$568,MATCH($L111,cenník!$B$2:$B$557,0),MATCH(M$2,cenník!$C$1:$I$1,0))</f>
        <v>867644</v>
      </c>
      <c r="N111" s="11" t="str">
        <f>INDEX(cenník!$C$2:$I$568,MATCH($L111,cenník!$B$2:$B$557,0),MATCH(N$2,cenník!$C$1:$I$1,0))</f>
        <v>ks</v>
      </c>
      <c r="O111" s="11">
        <f>SUM(Y96:Y111)</f>
        <v>0</v>
      </c>
      <c r="P111" s="36">
        <f>INDEX(cenník!$C$2:$I$568,MATCH($L111,cenník!$B$2:$B$557,0),MATCH(P$2,cenník!$C$1:$I$1,0))</f>
        <v>61.15</v>
      </c>
      <c r="Q111" s="36">
        <f t="shared" si="273"/>
        <v>0</v>
      </c>
      <c r="R111" s="37">
        <f t="shared" si="263"/>
        <v>0</v>
      </c>
      <c r="S111" s="36">
        <f t="shared" si="264"/>
        <v>61.15</v>
      </c>
      <c r="T111" s="36">
        <f t="shared" si="274"/>
        <v>0</v>
      </c>
      <c r="U111" s="36">
        <f>INDEX(cenník!$C$2:$I$568,MATCH($L111,cenník!$B$2:$B$557,0),MATCH(U$2,cenník!$C$1:$I$1,0))*O111</f>
        <v>0</v>
      </c>
      <c r="V111" s="82"/>
      <c r="W111" s="87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87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87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87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64"/>
      <c r="AB111" s="64"/>
      <c r="AC111" s="64"/>
      <c r="AD111" s="64"/>
      <c r="AE111" s="64"/>
      <c r="AF111" s="64"/>
      <c r="AG111" s="64"/>
      <c r="AH111" s="64" t="s">
        <v>92</v>
      </c>
      <c r="AI111" s="64"/>
      <c r="AJ111" s="64"/>
      <c r="AK111" s="64"/>
      <c r="AL111" s="64"/>
      <c r="AM111" s="64"/>
      <c r="AP111" s="64" t="s">
        <v>203</v>
      </c>
      <c r="AQ111" s="64" t="s">
        <v>295</v>
      </c>
      <c r="AR111" s="64" t="s">
        <v>294</v>
      </c>
      <c r="AS111" s="64" t="s">
        <v>293</v>
      </c>
      <c r="AT111" s="64" t="s">
        <v>293</v>
      </c>
      <c r="AU111" s="64"/>
      <c r="AV111" s="64" t="s">
        <v>203</v>
      </c>
      <c r="AW111" s="64" t="s">
        <v>84</v>
      </c>
      <c r="AX111" s="64" t="s">
        <v>84</v>
      </c>
      <c r="AY111" s="64" t="s">
        <v>84</v>
      </c>
      <c r="AZ111" s="64" t="s">
        <v>84</v>
      </c>
      <c r="BA111" s="64"/>
      <c r="BB111" s="64"/>
      <c r="BC111" s="64"/>
      <c r="BD111" s="64"/>
      <c r="BE111" s="64"/>
      <c r="BF111" s="64"/>
      <c r="BG111" s="64"/>
      <c r="BH111" s="64" t="s">
        <v>59</v>
      </c>
      <c r="BI111" s="64">
        <v>0</v>
      </c>
      <c r="BJ111" s="64">
        <v>9</v>
      </c>
      <c r="BK111" s="64">
        <v>12</v>
      </c>
      <c r="BL111" s="64">
        <v>15</v>
      </c>
      <c r="BM111" s="64">
        <v>18</v>
      </c>
      <c r="BN111" s="64">
        <v>21</v>
      </c>
      <c r="BO111" s="64">
        <v>24</v>
      </c>
      <c r="BP111" s="64">
        <v>27</v>
      </c>
      <c r="BQ111" s="64">
        <v>30</v>
      </c>
      <c r="BR111" s="64">
        <v>33</v>
      </c>
      <c r="BS111" s="64">
        <v>36</v>
      </c>
      <c r="BT111" s="64">
        <v>39</v>
      </c>
      <c r="BU111" s="64">
        <v>42</v>
      </c>
      <c r="BV111" s="64">
        <v>45</v>
      </c>
      <c r="BW111" s="64">
        <v>48</v>
      </c>
      <c r="BX111" s="64">
        <v>51</v>
      </c>
      <c r="BY111" s="64">
        <v>54</v>
      </c>
      <c r="BZ111" s="64">
        <v>57</v>
      </c>
      <c r="CA111" s="64">
        <v>60</v>
      </c>
      <c r="CB111" s="64">
        <v>63</v>
      </c>
      <c r="CC111" s="64">
        <v>66</v>
      </c>
      <c r="CD111" s="64">
        <v>69</v>
      </c>
      <c r="CE111" s="64">
        <v>72</v>
      </c>
      <c r="CF111" s="64">
        <v>75</v>
      </c>
      <c r="CG111" s="64"/>
      <c r="CH111" s="64"/>
      <c r="CI111" s="64"/>
      <c r="CJ111" s="64"/>
      <c r="CK111" s="64"/>
      <c r="CL111" s="64"/>
      <c r="CM111" s="64"/>
      <c r="CN111" s="64" t="s">
        <v>199</v>
      </c>
      <c r="CO111" s="64">
        <v>0</v>
      </c>
      <c r="CP111" s="64">
        <v>9</v>
      </c>
      <c r="CQ111" s="64">
        <v>12</v>
      </c>
      <c r="CR111" s="64">
        <v>15</v>
      </c>
      <c r="CS111" s="64">
        <v>18</v>
      </c>
      <c r="CT111" s="64">
        <v>21</v>
      </c>
      <c r="CU111" s="64">
        <v>24</v>
      </c>
      <c r="CV111" s="64">
        <v>27</v>
      </c>
      <c r="CW111" s="64">
        <v>30</v>
      </c>
      <c r="CX111" s="64">
        <v>33</v>
      </c>
      <c r="CY111" s="64">
        <v>36</v>
      </c>
      <c r="CZ111" s="64">
        <v>39</v>
      </c>
      <c r="DA111" s="64">
        <v>42</v>
      </c>
      <c r="DB111" s="64">
        <v>45</v>
      </c>
      <c r="DC111" s="64">
        <v>48</v>
      </c>
      <c r="DD111" s="64">
        <v>51</v>
      </c>
      <c r="DE111" s="64">
        <v>54</v>
      </c>
      <c r="DF111" s="64">
        <v>57</v>
      </c>
      <c r="DG111" s="64">
        <v>60</v>
      </c>
      <c r="DH111" s="64">
        <v>63</v>
      </c>
      <c r="DI111" s="64">
        <v>66</v>
      </c>
      <c r="DJ111" s="64">
        <v>69</v>
      </c>
      <c r="DK111" s="64">
        <v>72</v>
      </c>
      <c r="DL111" s="64">
        <v>75</v>
      </c>
      <c r="DM111" s="64"/>
      <c r="DN111" s="64"/>
      <c r="DO111" s="64"/>
      <c r="DP111" s="64"/>
      <c r="DQ111" s="80"/>
      <c r="DR111" s="80">
        <v>9</v>
      </c>
      <c r="DS111" s="80"/>
      <c r="DT111" s="64"/>
      <c r="DU111" s="64"/>
      <c r="DV111" s="64"/>
      <c r="DW111" s="64"/>
      <c r="DX111" s="64"/>
      <c r="DY111" s="64"/>
      <c r="DZ111" s="64"/>
      <c r="EA111" s="64"/>
      <c r="EB111" s="64"/>
      <c r="EC111" s="64"/>
      <c r="ED111" s="64"/>
      <c r="EE111" s="64"/>
      <c r="EF111" s="64"/>
      <c r="EG111" s="64"/>
      <c r="EH111" s="64"/>
      <c r="EI111" s="64"/>
      <c r="EJ111" s="69"/>
      <c r="EK111" s="64" t="s">
        <v>59</v>
      </c>
      <c r="EL111" s="64">
        <v>0</v>
      </c>
      <c r="EM111" s="64">
        <v>9</v>
      </c>
      <c r="EN111" s="64">
        <v>12</v>
      </c>
      <c r="EO111" s="64">
        <v>15</v>
      </c>
      <c r="EP111" s="64">
        <v>18</v>
      </c>
      <c r="EQ111" s="64">
        <v>21</v>
      </c>
      <c r="ER111" s="64">
        <v>24</v>
      </c>
      <c r="ES111" s="64">
        <v>27</v>
      </c>
      <c r="ET111" s="64">
        <v>30</v>
      </c>
      <c r="EU111" s="64">
        <v>33</v>
      </c>
      <c r="EV111" s="64">
        <v>36</v>
      </c>
      <c r="EW111" s="64">
        <v>39</v>
      </c>
      <c r="EX111" s="64">
        <v>42</v>
      </c>
      <c r="EY111" s="64">
        <v>45</v>
      </c>
      <c r="EZ111" s="64">
        <v>48</v>
      </c>
      <c r="FA111" s="64">
        <v>51</v>
      </c>
      <c r="FB111" s="64">
        <v>54</v>
      </c>
      <c r="FC111" s="64">
        <v>57</v>
      </c>
      <c r="FD111" s="64">
        <v>60</v>
      </c>
      <c r="FE111" s="64">
        <v>63</v>
      </c>
      <c r="FF111" s="64">
        <v>66</v>
      </c>
      <c r="FG111" s="64">
        <v>69</v>
      </c>
      <c r="FH111" s="64">
        <v>72</v>
      </c>
      <c r="FI111" s="64">
        <v>75</v>
      </c>
      <c r="FJ111" s="64"/>
      <c r="FK111" s="64" t="s">
        <v>199</v>
      </c>
      <c r="FL111" s="64">
        <v>0</v>
      </c>
      <c r="FM111" s="64">
        <v>9</v>
      </c>
      <c r="FN111" s="64">
        <v>12</v>
      </c>
      <c r="FO111" s="64">
        <v>15</v>
      </c>
      <c r="FP111" s="64">
        <v>18</v>
      </c>
      <c r="FQ111" s="64">
        <v>21</v>
      </c>
      <c r="FR111" s="64">
        <v>24</v>
      </c>
      <c r="FS111" s="64">
        <v>27</v>
      </c>
      <c r="FT111" s="64">
        <v>30</v>
      </c>
      <c r="FU111" s="64">
        <v>33</v>
      </c>
      <c r="FV111" s="64">
        <v>36</v>
      </c>
      <c r="FW111" s="64">
        <v>39</v>
      </c>
      <c r="FX111" s="64">
        <v>42</v>
      </c>
      <c r="FY111" s="64">
        <v>45</v>
      </c>
      <c r="FZ111" s="64">
        <v>48</v>
      </c>
      <c r="GA111" s="64">
        <v>51</v>
      </c>
      <c r="GB111" s="64">
        <v>54</v>
      </c>
      <c r="GC111" s="64">
        <v>57</v>
      </c>
      <c r="GD111" s="64">
        <v>60</v>
      </c>
      <c r="GE111" s="64">
        <v>63</v>
      </c>
      <c r="GF111" s="64">
        <v>66</v>
      </c>
      <c r="GG111" s="64">
        <v>69</v>
      </c>
      <c r="GH111" s="64">
        <v>72</v>
      </c>
      <c r="GI111" s="64">
        <v>75</v>
      </c>
      <c r="GJ111" s="64"/>
      <c r="GK111" s="64"/>
      <c r="GL111" s="64"/>
      <c r="GM111" s="64"/>
      <c r="GN111" s="64"/>
      <c r="GO111" s="64"/>
      <c r="GP111" s="64"/>
      <c r="GQ111" s="64"/>
      <c r="GR111" s="64" t="s">
        <v>329</v>
      </c>
      <c r="GS111" s="64">
        <v>0</v>
      </c>
      <c r="GT111" s="64">
        <v>9</v>
      </c>
      <c r="GU111" s="64">
        <v>12</v>
      </c>
      <c r="GV111" s="64">
        <v>15</v>
      </c>
      <c r="GW111" s="64">
        <v>18</v>
      </c>
      <c r="GX111" s="64">
        <v>21</v>
      </c>
      <c r="GY111" s="64">
        <v>24</v>
      </c>
      <c r="GZ111" s="64">
        <v>27</v>
      </c>
      <c r="HA111" s="64">
        <v>30</v>
      </c>
      <c r="HB111" s="64">
        <v>33</v>
      </c>
      <c r="HC111" s="64">
        <v>36</v>
      </c>
      <c r="HD111" s="64">
        <v>39</v>
      </c>
      <c r="HE111" s="64">
        <v>42</v>
      </c>
      <c r="HF111" s="64">
        <v>45</v>
      </c>
      <c r="HG111" s="64">
        <v>48</v>
      </c>
      <c r="HH111" s="64">
        <v>51</v>
      </c>
      <c r="HI111" s="68">
        <v>54</v>
      </c>
      <c r="HJ111" s="68">
        <v>57</v>
      </c>
      <c r="HK111" s="68">
        <v>60</v>
      </c>
      <c r="HL111" s="68">
        <v>63</v>
      </c>
      <c r="HM111" s="68">
        <v>66</v>
      </c>
      <c r="HN111" s="68">
        <v>69</v>
      </c>
      <c r="HO111" s="68">
        <v>72</v>
      </c>
      <c r="HP111" s="68">
        <v>75</v>
      </c>
      <c r="HS111" s="68" t="s">
        <v>331</v>
      </c>
      <c r="HT111" s="68">
        <v>0</v>
      </c>
      <c r="HU111" s="68">
        <v>9</v>
      </c>
      <c r="HV111" s="68">
        <v>12</v>
      </c>
      <c r="HW111" s="68">
        <v>15</v>
      </c>
      <c r="HX111" s="68">
        <v>18</v>
      </c>
      <c r="HY111" s="68">
        <v>21</v>
      </c>
      <c r="HZ111" s="68">
        <v>24</v>
      </c>
      <c r="IA111" s="68">
        <v>27</v>
      </c>
      <c r="IB111" s="68">
        <v>30</v>
      </c>
      <c r="IC111" s="68">
        <v>33</v>
      </c>
      <c r="ID111" s="68">
        <v>36</v>
      </c>
      <c r="IE111" s="68">
        <v>39</v>
      </c>
      <c r="IF111" s="68">
        <v>42</v>
      </c>
      <c r="IG111" s="68">
        <v>45</v>
      </c>
      <c r="IH111" s="68">
        <v>48</v>
      </c>
      <c r="II111" s="68">
        <v>51</v>
      </c>
      <c r="IJ111" s="68">
        <v>54</v>
      </c>
      <c r="IK111" s="68">
        <v>57</v>
      </c>
      <c r="IL111" s="68">
        <v>60</v>
      </c>
      <c r="IM111" s="68">
        <v>63</v>
      </c>
      <c r="IN111" s="68">
        <v>66</v>
      </c>
      <c r="IO111" s="68">
        <v>69</v>
      </c>
      <c r="IP111" s="68">
        <v>72</v>
      </c>
      <c r="IQ111" s="68">
        <v>75</v>
      </c>
      <c r="IR111" s="71"/>
    </row>
    <row r="112" spans="1:254" x14ac:dyDescent="0.25">
      <c r="A112" s="8"/>
      <c r="B112" s="5" t="s">
        <v>61</v>
      </c>
      <c r="C112" s="8"/>
      <c r="D112" s="44" t="s">
        <v>519</v>
      </c>
      <c r="E112" s="9"/>
      <c r="F112" s="9"/>
      <c r="G112" s="9"/>
      <c r="H112" s="9"/>
      <c r="I112" s="9"/>
      <c r="J112" s="9"/>
      <c r="K112" s="9"/>
      <c r="L112" s="6" t="s">
        <v>241</v>
      </c>
      <c r="M112" s="11">
        <f>INDEX(cenník!$C$2:$I$568,MATCH($L112,cenník!$B$2:$B$557,0),MATCH(M$2,cenník!$C$1:$I$1,0))</f>
        <v>867633</v>
      </c>
      <c r="N112" s="11" t="str">
        <f>INDEX(cenník!$C$2:$I$568,MATCH($L112,cenník!$B$2:$B$557,0),MATCH(N$2,cenník!$C$1:$I$1,0))</f>
        <v>ks</v>
      </c>
      <c r="O112" s="11">
        <f>SUM(Z96:Z111)</f>
        <v>0</v>
      </c>
      <c r="P112" s="36">
        <f>INDEX(cenník!$C$2:$I$568,MATCH($L112,cenník!$B$2:$B$557,0),MATCH(P$2,cenník!$C$1:$I$1,0))</f>
        <v>45.86</v>
      </c>
      <c r="Q112" s="36">
        <f t="shared" si="273"/>
        <v>0</v>
      </c>
      <c r="R112" s="37">
        <f t="shared" si="263"/>
        <v>0</v>
      </c>
      <c r="S112" s="36">
        <f t="shared" si="264"/>
        <v>45.86</v>
      </c>
      <c r="T112" s="36">
        <f t="shared" si="274"/>
        <v>0</v>
      </c>
      <c r="U112" s="36">
        <f>INDEX(cenník!$C$2:$I$568,MATCH($L112,cenník!$B$2:$B$557,0),MATCH(U$2,cenník!$C$1:$I$1,0))*O112</f>
        <v>0</v>
      </c>
      <c r="V112" s="85"/>
      <c r="W112" s="85"/>
      <c r="X112" s="85"/>
      <c r="Y112" s="85"/>
      <c r="Z112" s="85"/>
      <c r="AA112" s="64"/>
      <c r="AB112" s="64"/>
      <c r="AC112" s="64"/>
      <c r="AD112" s="64"/>
      <c r="AE112" s="64"/>
      <c r="AF112" s="64"/>
      <c r="AG112" s="64"/>
      <c r="AH112" s="64" t="s">
        <v>85</v>
      </c>
      <c r="AI112" s="64" t="s">
        <v>86</v>
      </c>
      <c r="AJ112" s="64"/>
      <c r="AK112" s="64"/>
      <c r="AL112" s="64"/>
      <c r="AM112" s="64"/>
      <c r="AP112" s="64" t="s">
        <v>204</v>
      </c>
      <c r="AQ112" s="64" t="s">
        <v>295</v>
      </c>
      <c r="AR112" s="64" t="s">
        <v>294</v>
      </c>
      <c r="AS112" s="64" t="s">
        <v>293</v>
      </c>
      <c r="AT112" s="64" t="s">
        <v>293</v>
      </c>
      <c r="AV112" s="64" t="s">
        <v>204</v>
      </c>
      <c r="AW112" s="64" t="s">
        <v>84</v>
      </c>
      <c r="AX112" s="64" t="s">
        <v>84</v>
      </c>
      <c r="AY112" s="64" t="s">
        <v>84</v>
      </c>
      <c r="AZ112" s="64" t="s">
        <v>84</v>
      </c>
      <c r="BA112" s="64"/>
      <c r="BB112" s="64"/>
      <c r="BC112" s="64"/>
      <c r="BD112" s="64"/>
      <c r="BE112" s="64"/>
      <c r="BF112" s="64"/>
      <c r="BG112" s="64"/>
      <c r="BH112" s="64" t="s">
        <v>104</v>
      </c>
      <c r="BI112" s="64">
        <f>(BI85/2)*3</f>
        <v>0</v>
      </c>
      <c r="BJ112" s="64">
        <v>0</v>
      </c>
      <c r="BK112" s="64">
        <v>0</v>
      </c>
      <c r="BL112" s="64">
        <v>6</v>
      </c>
      <c r="BM112" s="64">
        <v>6</v>
      </c>
      <c r="BN112" s="64">
        <v>0</v>
      </c>
      <c r="BO112" s="64">
        <v>0</v>
      </c>
      <c r="BP112" s="64">
        <v>6</v>
      </c>
      <c r="BQ112" s="64">
        <v>6</v>
      </c>
      <c r="BR112" s="64">
        <v>0</v>
      </c>
      <c r="BS112" s="64">
        <v>12</v>
      </c>
      <c r="BT112" s="64">
        <v>6</v>
      </c>
      <c r="BU112" s="64">
        <v>6</v>
      </c>
      <c r="BV112" s="64">
        <v>12</v>
      </c>
      <c r="BW112" s="64">
        <v>12</v>
      </c>
      <c r="BX112" s="64">
        <v>12</v>
      </c>
      <c r="BY112" s="64">
        <v>18</v>
      </c>
      <c r="BZ112" s="64">
        <v>18</v>
      </c>
      <c r="CA112" s="64">
        <v>12</v>
      </c>
      <c r="CB112" s="64">
        <v>12</v>
      </c>
      <c r="CC112" s="64">
        <v>18</v>
      </c>
      <c r="CD112" s="64">
        <v>18</v>
      </c>
      <c r="CE112" s="64">
        <v>12</v>
      </c>
      <c r="CF112" s="64">
        <v>24</v>
      </c>
      <c r="CG112" s="64"/>
      <c r="CH112" s="64"/>
      <c r="CI112" s="64"/>
      <c r="CJ112" s="64"/>
      <c r="CK112" s="64"/>
      <c r="CL112" s="64"/>
      <c r="CM112" s="64"/>
      <c r="CN112" s="64" t="s">
        <v>104</v>
      </c>
      <c r="CO112" s="64">
        <v>0</v>
      </c>
      <c r="CP112" s="64">
        <f>IF(CP85=0,0,IF(CP85&gt;0,(CP85/4)*6,0))</f>
        <v>0</v>
      </c>
      <c r="CQ112" s="64">
        <f t="shared" ref="CQ112:DL112" si="275">IF(CQ85=0,0,IF(CQ85&gt;0,(CQ85/4)*6,0))</f>
        <v>6</v>
      </c>
      <c r="CR112" s="64">
        <f t="shared" si="275"/>
        <v>6</v>
      </c>
      <c r="CS112" s="64">
        <f t="shared" si="275"/>
        <v>0</v>
      </c>
      <c r="CT112" s="64">
        <f t="shared" si="275"/>
        <v>0</v>
      </c>
      <c r="CU112" s="64">
        <f t="shared" si="275"/>
        <v>6</v>
      </c>
      <c r="CV112" s="64">
        <f t="shared" si="275"/>
        <v>6</v>
      </c>
      <c r="CW112" s="64">
        <f t="shared" si="275"/>
        <v>0</v>
      </c>
      <c r="CX112" s="64">
        <f t="shared" si="275"/>
        <v>12</v>
      </c>
      <c r="CY112" s="64">
        <f t="shared" si="275"/>
        <v>6</v>
      </c>
      <c r="CZ112" s="64">
        <f t="shared" si="275"/>
        <v>6</v>
      </c>
      <c r="DA112" s="64">
        <f t="shared" si="275"/>
        <v>12</v>
      </c>
      <c r="DB112" s="64">
        <f t="shared" si="275"/>
        <v>12</v>
      </c>
      <c r="DC112" s="64">
        <f t="shared" si="275"/>
        <v>6</v>
      </c>
      <c r="DD112" s="64">
        <f t="shared" si="275"/>
        <v>18</v>
      </c>
      <c r="DE112" s="64">
        <f t="shared" si="275"/>
        <v>12</v>
      </c>
      <c r="DF112" s="64">
        <f t="shared" si="275"/>
        <v>12</v>
      </c>
      <c r="DG112" s="64">
        <f t="shared" si="275"/>
        <v>18</v>
      </c>
      <c r="DH112" s="64">
        <f t="shared" si="275"/>
        <v>18</v>
      </c>
      <c r="DI112" s="64">
        <f t="shared" si="275"/>
        <v>12</v>
      </c>
      <c r="DJ112" s="64">
        <f t="shared" si="275"/>
        <v>24</v>
      </c>
      <c r="DK112" s="64">
        <f t="shared" si="275"/>
        <v>18</v>
      </c>
      <c r="DL112" s="64">
        <f t="shared" si="275"/>
        <v>18</v>
      </c>
      <c r="DM112" s="64"/>
      <c r="DN112" s="64"/>
      <c r="DO112" s="64"/>
      <c r="DP112" s="64"/>
      <c r="DQ112" s="80"/>
      <c r="DR112" s="80">
        <v>12</v>
      </c>
      <c r="DS112" s="80"/>
      <c r="DT112" s="64"/>
      <c r="DU112" s="64"/>
      <c r="DV112" s="64"/>
      <c r="DW112" s="64"/>
      <c r="DX112" s="64"/>
      <c r="DY112" s="64"/>
      <c r="DZ112" s="64"/>
      <c r="EA112" s="64"/>
      <c r="EB112" s="64"/>
      <c r="EC112" s="64"/>
      <c r="ED112" s="64"/>
      <c r="EE112" s="64"/>
      <c r="EF112" s="64"/>
      <c r="EG112" s="64"/>
      <c r="EH112" s="64"/>
      <c r="EI112" s="64"/>
      <c r="EJ112" s="69"/>
      <c r="EK112" s="68" t="s">
        <v>286</v>
      </c>
      <c r="EL112" s="64">
        <v>0</v>
      </c>
      <c r="EM112" s="64">
        <f>EM85/4*6</f>
        <v>0</v>
      </c>
      <c r="EN112" s="64">
        <f t="shared" ref="EN112:FI112" si="276">EN85/4*6</f>
        <v>0</v>
      </c>
      <c r="EO112" s="64">
        <f t="shared" si="276"/>
        <v>6</v>
      </c>
      <c r="EP112" s="64">
        <f t="shared" si="276"/>
        <v>0</v>
      </c>
      <c r="EQ112" s="64">
        <f t="shared" si="276"/>
        <v>0</v>
      </c>
      <c r="ER112" s="64">
        <f t="shared" si="276"/>
        <v>0</v>
      </c>
      <c r="ES112" s="64">
        <f t="shared" si="276"/>
        <v>0</v>
      </c>
      <c r="ET112" s="64">
        <f t="shared" si="276"/>
        <v>0</v>
      </c>
      <c r="EU112" s="64">
        <f t="shared" si="276"/>
        <v>0</v>
      </c>
      <c r="EV112" s="64">
        <f t="shared" si="276"/>
        <v>0</v>
      </c>
      <c r="EW112" s="64">
        <f t="shared" si="276"/>
        <v>0</v>
      </c>
      <c r="EX112" s="64">
        <f t="shared" si="276"/>
        <v>0</v>
      </c>
      <c r="EY112" s="64">
        <f t="shared" si="276"/>
        <v>0</v>
      </c>
      <c r="EZ112" s="64">
        <f t="shared" si="276"/>
        <v>0</v>
      </c>
      <c r="FA112" s="64">
        <f t="shared" si="276"/>
        <v>0</v>
      </c>
      <c r="FB112" s="64">
        <f t="shared" si="276"/>
        <v>0</v>
      </c>
      <c r="FC112" s="64">
        <f t="shared" si="276"/>
        <v>0</v>
      </c>
      <c r="FD112" s="64">
        <f t="shared" si="276"/>
        <v>0</v>
      </c>
      <c r="FE112" s="64">
        <f t="shared" si="276"/>
        <v>0</v>
      </c>
      <c r="FF112" s="64">
        <f t="shared" si="276"/>
        <v>0</v>
      </c>
      <c r="FG112" s="64">
        <f t="shared" si="276"/>
        <v>0</v>
      </c>
      <c r="FH112" s="64">
        <f t="shared" si="276"/>
        <v>0</v>
      </c>
      <c r="FI112" s="64">
        <f t="shared" si="276"/>
        <v>0</v>
      </c>
      <c r="FK112" s="68" t="s">
        <v>286</v>
      </c>
      <c r="FL112" s="64">
        <v>0</v>
      </c>
      <c r="FM112" s="64">
        <f>FM85/4*6</f>
        <v>0</v>
      </c>
      <c r="FN112" s="64">
        <f t="shared" ref="FN112:GI112" si="277">FN85/4*6</f>
        <v>6</v>
      </c>
      <c r="FO112" s="64">
        <f t="shared" si="277"/>
        <v>6</v>
      </c>
      <c r="FP112" s="64">
        <f t="shared" si="277"/>
        <v>0</v>
      </c>
      <c r="FQ112" s="64">
        <f t="shared" si="277"/>
        <v>0</v>
      </c>
      <c r="FR112" s="64">
        <f t="shared" si="277"/>
        <v>0</v>
      </c>
      <c r="FS112" s="64">
        <f t="shared" si="277"/>
        <v>0</v>
      </c>
      <c r="FT112" s="64">
        <f t="shared" si="277"/>
        <v>0</v>
      </c>
      <c r="FU112" s="64">
        <f t="shared" si="277"/>
        <v>0</v>
      </c>
      <c r="FV112" s="64">
        <f t="shared" si="277"/>
        <v>0</v>
      </c>
      <c r="FW112" s="64">
        <f t="shared" si="277"/>
        <v>0</v>
      </c>
      <c r="FX112" s="64">
        <f t="shared" si="277"/>
        <v>0</v>
      </c>
      <c r="FY112" s="64">
        <f t="shared" si="277"/>
        <v>0</v>
      </c>
      <c r="FZ112" s="64">
        <f t="shared" si="277"/>
        <v>0</v>
      </c>
      <c r="GA112" s="64">
        <f t="shared" si="277"/>
        <v>0</v>
      </c>
      <c r="GB112" s="64">
        <f t="shared" si="277"/>
        <v>0</v>
      </c>
      <c r="GC112" s="64">
        <f t="shared" si="277"/>
        <v>0</v>
      </c>
      <c r="GD112" s="64">
        <f t="shared" si="277"/>
        <v>0</v>
      </c>
      <c r="GE112" s="64">
        <f t="shared" si="277"/>
        <v>0</v>
      </c>
      <c r="GF112" s="64">
        <f t="shared" si="277"/>
        <v>0</v>
      </c>
      <c r="GG112" s="64">
        <f t="shared" si="277"/>
        <v>0</v>
      </c>
      <c r="GH112" s="64">
        <f t="shared" si="277"/>
        <v>0</v>
      </c>
      <c r="GI112" s="64">
        <f t="shared" si="277"/>
        <v>0</v>
      </c>
      <c r="GJ112" s="64"/>
      <c r="GK112" s="64"/>
      <c r="GL112" s="64"/>
      <c r="GM112" s="64"/>
      <c r="GN112" s="64"/>
      <c r="GO112" s="64"/>
      <c r="GP112" s="64"/>
      <c r="GQ112" s="64"/>
      <c r="GR112" s="64" t="s">
        <v>286</v>
      </c>
      <c r="GS112" s="64">
        <v>0</v>
      </c>
      <c r="GT112" s="64">
        <f>GT85/4*6</f>
        <v>0</v>
      </c>
      <c r="GU112" s="64">
        <f t="shared" ref="GU112:HP112" si="278">GU85/4*6</f>
        <v>6</v>
      </c>
      <c r="GV112" s="64">
        <f t="shared" si="278"/>
        <v>6</v>
      </c>
      <c r="GW112" s="64">
        <f t="shared" si="278"/>
        <v>0</v>
      </c>
      <c r="GX112" s="64">
        <f t="shared" si="278"/>
        <v>0</v>
      </c>
      <c r="GY112" s="64">
        <f t="shared" si="278"/>
        <v>0</v>
      </c>
      <c r="GZ112" s="64">
        <f t="shared" si="278"/>
        <v>0</v>
      </c>
      <c r="HA112" s="64">
        <f t="shared" si="278"/>
        <v>0</v>
      </c>
      <c r="HB112" s="64">
        <f t="shared" si="278"/>
        <v>0</v>
      </c>
      <c r="HC112" s="64">
        <f t="shared" si="278"/>
        <v>0</v>
      </c>
      <c r="HD112" s="64">
        <f t="shared" si="278"/>
        <v>0</v>
      </c>
      <c r="HE112" s="64">
        <f t="shared" si="278"/>
        <v>0</v>
      </c>
      <c r="HF112" s="64">
        <f t="shared" si="278"/>
        <v>0</v>
      </c>
      <c r="HG112" s="64">
        <f t="shared" si="278"/>
        <v>0</v>
      </c>
      <c r="HH112" s="64">
        <f t="shared" si="278"/>
        <v>0</v>
      </c>
      <c r="HI112" s="64">
        <f t="shared" si="278"/>
        <v>0</v>
      </c>
      <c r="HJ112" s="64">
        <f t="shared" si="278"/>
        <v>0</v>
      </c>
      <c r="HK112" s="64">
        <f t="shared" si="278"/>
        <v>0</v>
      </c>
      <c r="HL112" s="64">
        <f t="shared" si="278"/>
        <v>0</v>
      </c>
      <c r="HM112" s="64">
        <f t="shared" si="278"/>
        <v>0</v>
      </c>
      <c r="HN112" s="64">
        <f t="shared" si="278"/>
        <v>0</v>
      </c>
      <c r="HO112" s="64">
        <f t="shared" si="278"/>
        <v>0</v>
      </c>
      <c r="HP112" s="64">
        <f t="shared" si="278"/>
        <v>0</v>
      </c>
      <c r="HS112" s="68" t="s">
        <v>286</v>
      </c>
      <c r="HT112" s="68">
        <v>0</v>
      </c>
      <c r="HU112" s="64">
        <f>HU85/4*6</f>
        <v>0</v>
      </c>
      <c r="HV112" s="64">
        <f t="shared" ref="HV112:IQ112" si="279">HV85/4*6</f>
        <v>6</v>
      </c>
      <c r="HW112" s="64">
        <f t="shared" si="279"/>
        <v>0</v>
      </c>
      <c r="HX112" s="64">
        <f t="shared" si="279"/>
        <v>0</v>
      </c>
      <c r="HY112" s="64">
        <f t="shared" si="279"/>
        <v>0</v>
      </c>
      <c r="HZ112" s="64">
        <f t="shared" si="279"/>
        <v>0</v>
      </c>
      <c r="IA112" s="64">
        <f t="shared" si="279"/>
        <v>0</v>
      </c>
      <c r="IB112" s="64">
        <f t="shared" si="279"/>
        <v>0</v>
      </c>
      <c r="IC112" s="64">
        <f t="shared" si="279"/>
        <v>0</v>
      </c>
      <c r="ID112" s="64">
        <f t="shared" si="279"/>
        <v>0</v>
      </c>
      <c r="IE112" s="64">
        <f t="shared" si="279"/>
        <v>0</v>
      </c>
      <c r="IF112" s="64">
        <f t="shared" si="279"/>
        <v>0</v>
      </c>
      <c r="IG112" s="64">
        <f t="shared" si="279"/>
        <v>0</v>
      </c>
      <c r="IH112" s="64">
        <f t="shared" si="279"/>
        <v>0</v>
      </c>
      <c r="II112" s="64">
        <f t="shared" si="279"/>
        <v>0</v>
      </c>
      <c r="IJ112" s="64">
        <f t="shared" si="279"/>
        <v>0</v>
      </c>
      <c r="IK112" s="64">
        <f t="shared" si="279"/>
        <v>0</v>
      </c>
      <c r="IL112" s="64">
        <f t="shared" si="279"/>
        <v>0</v>
      </c>
      <c r="IM112" s="64">
        <f t="shared" si="279"/>
        <v>0</v>
      </c>
      <c r="IN112" s="64">
        <f t="shared" si="279"/>
        <v>0</v>
      </c>
      <c r="IO112" s="64">
        <f t="shared" si="279"/>
        <v>0</v>
      </c>
      <c r="IP112" s="64">
        <f t="shared" si="279"/>
        <v>0</v>
      </c>
      <c r="IQ112" s="64">
        <f t="shared" si="279"/>
        <v>0</v>
      </c>
      <c r="IR112" s="71"/>
    </row>
    <row r="113" spans="1:252" x14ac:dyDescent="0.25">
      <c r="A113" s="8"/>
      <c r="B113" s="5" t="s">
        <v>61</v>
      </c>
      <c r="C113" s="8"/>
      <c r="D113" s="44" t="s">
        <v>520</v>
      </c>
      <c r="E113" s="9"/>
      <c r="F113" s="9"/>
      <c r="G113" s="9"/>
      <c r="H113" s="9"/>
      <c r="I113" s="9"/>
      <c r="J113" s="9"/>
      <c r="K113" s="9"/>
      <c r="L113" s="6" t="s">
        <v>364</v>
      </c>
      <c r="M113" s="11">
        <f>INDEX(cenník!$C$2:$I$568,MATCH($L113,cenník!$B$2:$B$557,0),MATCH(M$2,cenník!$C$1:$I$1,0))</f>
        <v>856105</v>
      </c>
      <c r="N113" s="11" t="str">
        <f>INDEX(cenník!$C$2:$I$568,MATCH($L113,cenník!$B$2:$B$557,0),MATCH(N$2,cenník!$C$1:$I$1,0))</f>
        <v>ks</v>
      </c>
      <c r="O113" s="11">
        <f>SUM(W96:W111)</f>
        <v>0</v>
      </c>
      <c r="P113" s="36">
        <f>INDEX(cenník!$C$2:$I$568,MATCH($L113,cenník!$B$2:$B$557,0),MATCH(P$2,cenník!$C$1:$I$1,0))</f>
        <v>7.54</v>
      </c>
      <c r="Q113" s="36">
        <f t="shared" si="273"/>
        <v>0</v>
      </c>
      <c r="R113" s="37">
        <f t="shared" si="263"/>
        <v>0</v>
      </c>
      <c r="S113" s="36">
        <f t="shared" si="264"/>
        <v>7.54</v>
      </c>
      <c r="T113" s="36">
        <f t="shared" si="274"/>
        <v>0</v>
      </c>
      <c r="U113" s="36">
        <f>INDEX(cenník!$C$2:$I$568,MATCH($L113,cenník!$B$2:$B$557,0),MATCH(U$2,cenník!$C$1:$I$1,0))*O113</f>
        <v>0</v>
      </c>
      <c r="V113" s="85"/>
      <c r="W113" s="85"/>
      <c r="X113" s="85"/>
      <c r="Y113" s="85"/>
      <c r="Z113" s="85"/>
      <c r="AA113" s="64"/>
      <c r="AB113" s="64"/>
      <c r="AC113" s="64"/>
      <c r="AD113" s="64"/>
      <c r="AE113" s="64"/>
      <c r="AF113" s="64"/>
      <c r="AG113" s="64"/>
      <c r="AH113" s="64">
        <v>75</v>
      </c>
      <c r="AI113" s="64">
        <v>1150</v>
      </c>
      <c r="AJ113" s="64"/>
      <c r="AK113" s="64"/>
      <c r="AL113" s="64"/>
      <c r="AM113" s="64"/>
      <c r="AP113" s="64" t="s">
        <v>232</v>
      </c>
      <c r="AQ113" s="64" t="s">
        <v>295</v>
      </c>
      <c r="AR113" s="64" t="s">
        <v>294</v>
      </c>
      <c r="AS113" s="64" t="s">
        <v>293</v>
      </c>
      <c r="AT113" s="64" t="s">
        <v>293</v>
      </c>
      <c r="AV113" s="64" t="s">
        <v>232</v>
      </c>
      <c r="AW113" s="64" t="s">
        <v>84</v>
      </c>
      <c r="AX113" s="64" t="s">
        <v>84</v>
      </c>
      <c r="AY113" s="64" t="s">
        <v>84</v>
      </c>
      <c r="AZ113" s="64" t="s">
        <v>84</v>
      </c>
      <c r="BG113" s="64"/>
      <c r="BH113" s="64" t="s">
        <v>103</v>
      </c>
      <c r="BI113" s="64">
        <f>(BI86/2)*3</f>
        <v>0</v>
      </c>
      <c r="BJ113" s="64">
        <v>0</v>
      </c>
      <c r="BK113" s="64">
        <v>6</v>
      </c>
      <c r="BL113" s="64">
        <v>0</v>
      </c>
      <c r="BM113" s="64">
        <v>0</v>
      </c>
      <c r="BN113" s="64">
        <v>6</v>
      </c>
      <c r="BO113" s="64">
        <v>12</v>
      </c>
      <c r="BP113" s="64">
        <v>0</v>
      </c>
      <c r="BQ113" s="64">
        <v>6</v>
      </c>
      <c r="BR113" s="64">
        <v>12</v>
      </c>
      <c r="BS113" s="64">
        <v>0</v>
      </c>
      <c r="BT113" s="64">
        <v>6</v>
      </c>
      <c r="BU113" s="64">
        <v>12</v>
      </c>
      <c r="BV113" s="64">
        <v>0</v>
      </c>
      <c r="BW113" s="64">
        <v>0</v>
      </c>
      <c r="BX113" s="64">
        <v>6</v>
      </c>
      <c r="BY113" s="64">
        <v>0</v>
      </c>
      <c r="BZ113" s="64">
        <v>0</v>
      </c>
      <c r="CA113" s="64">
        <v>6</v>
      </c>
      <c r="CB113" s="64">
        <v>12</v>
      </c>
      <c r="CC113" s="64">
        <v>0</v>
      </c>
      <c r="CD113" s="64">
        <v>6</v>
      </c>
      <c r="CE113" s="64">
        <v>12</v>
      </c>
      <c r="CF113" s="64">
        <v>0</v>
      </c>
      <c r="CG113" s="64"/>
      <c r="CH113" s="64"/>
      <c r="CI113" s="64"/>
      <c r="CJ113" s="64"/>
      <c r="CK113" s="64"/>
      <c r="CL113" s="64"/>
      <c r="CM113" s="64"/>
      <c r="CN113" s="64" t="s">
        <v>103</v>
      </c>
      <c r="CO113" s="64">
        <v>0</v>
      </c>
      <c r="CP113" s="64">
        <f t="shared" ref="CP113:DL115" si="280">IF(CP86=0,0,IF(CP86&gt;0,(CP86/4)*6,0))</f>
        <v>6</v>
      </c>
      <c r="CQ113" s="64">
        <f t="shared" si="280"/>
        <v>0</v>
      </c>
      <c r="CR113" s="64">
        <f t="shared" si="280"/>
        <v>0</v>
      </c>
      <c r="CS113" s="64">
        <f t="shared" si="280"/>
        <v>6</v>
      </c>
      <c r="CT113" s="64">
        <f t="shared" si="280"/>
        <v>12</v>
      </c>
      <c r="CU113" s="64">
        <f t="shared" si="280"/>
        <v>0</v>
      </c>
      <c r="CV113" s="64">
        <f t="shared" si="280"/>
        <v>6</v>
      </c>
      <c r="CW113" s="64">
        <f t="shared" si="280"/>
        <v>12</v>
      </c>
      <c r="CX113" s="64">
        <f t="shared" si="280"/>
        <v>0</v>
      </c>
      <c r="CY113" s="64">
        <f t="shared" si="280"/>
        <v>6</v>
      </c>
      <c r="CZ113" s="64">
        <f t="shared" si="280"/>
        <v>12</v>
      </c>
      <c r="DA113" s="64">
        <f t="shared" si="280"/>
        <v>0</v>
      </c>
      <c r="DB113" s="64">
        <f t="shared" si="280"/>
        <v>6</v>
      </c>
      <c r="DC113" s="64">
        <f t="shared" si="280"/>
        <v>12</v>
      </c>
      <c r="DD113" s="64">
        <f t="shared" si="280"/>
        <v>0</v>
      </c>
      <c r="DE113" s="64">
        <f t="shared" si="280"/>
        <v>6</v>
      </c>
      <c r="DF113" s="64">
        <f t="shared" si="280"/>
        <v>12</v>
      </c>
      <c r="DG113" s="64">
        <f t="shared" si="280"/>
        <v>0</v>
      </c>
      <c r="DH113" s="64">
        <f t="shared" si="280"/>
        <v>6</v>
      </c>
      <c r="DI113" s="64">
        <f t="shared" si="280"/>
        <v>12</v>
      </c>
      <c r="DJ113" s="64">
        <f t="shared" si="280"/>
        <v>0</v>
      </c>
      <c r="DK113" s="64">
        <f t="shared" si="280"/>
        <v>6</v>
      </c>
      <c r="DL113" s="64">
        <f t="shared" si="280"/>
        <v>12</v>
      </c>
      <c r="DM113" s="64"/>
      <c r="DN113" s="64"/>
      <c r="DO113" s="64"/>
      <c r="DP113" s="64"/>
      <c r="DQ113" s="80"/>
      <c r="DR113" s="80">
        <v>15</v>
      </c>
      <c r="DS113" s="80"/>
      <c r="DT113" s="64"/>
      <c r="DU113" s="64"/>
      <c r="DV113" s="64"/>
      <c r="DW113" s="64"/>
      <c r="DX113" s="64"/>
      <c r="DY113" s="64"/>
      <c r="DZ113" s="64"/>
      <c r="EA113" s="64"/>
      <c r="EB113" s="64"/>
      <c r="EC113" s="64"/>
      <c r="ED113" s="64"/>
      <c r="EE113" s="64"/>
      <c r="EF113" s="64"/>
      <c r="EG113" s="64"/>
      <c r="EH113" s="64"/>
      <c r="EI113" s="64"/>
      <c r="EJ113" s="69"/>
      <c r="EK113" s="64" t="s">
        <v>240</v>
      </c>
      <c r="EL113" s="64">
        <v>0</v>
      </c>
      <c r="EM113" s="64">
        <f>EM86/4*6</f>
        <v>0</v>
      </c>
      <c r="EN113" s="64">
        <f t="shared" ref="EN113:FI113" si="281">EN86/4*6</f>
        <v>6</v>
      </c>
      <c r="EO113" s="64">
        <f t="shared" si="281"/>
        <v>0</v>
      </c>
      <c r="EP113" s="64">
        <f t="shared" si="281"/>
        <v>0</v>
      </c>
      <c r="EQ113" s="64">
        <f t="shared" si="281"/>
        <v>6</v>
      </c>
      <c r="ER113" s="64">
        <f t="shared" si="281"/>
        <v>12</v>
      </c>
      <c r="ES113" s="64">
        <f t="shared" si="281"/>
        <v>0</v>
      </c>
      <c r="ET113" s="64">
        <f t="shared" si="281"/>
        <v>6</v>
      </c>
      <c r="EU113" s="64">
        <f t="shared" si="281"/>
        <v>12</v>
      </c>
      <c r="EV113" s="64">
        <f t="shared" si="281"/>
        <v>0</v>
      </c>
      <c r="EW113" s="64">
        <f t="shared" si="281"/>
        <v>6</v>
      </c>
      <c r="EX113" s="64">
        <f t="shared" si="281"/>
        <v>12</v>
      </c>
      <c r="EY113" s="64">
        <f t="shared" si="281"/>
        <v>12</v>
      </c>
      <c r="EZ113" s="64">
        <f t="shared" si="281"/>
        <v>0</v>
      </c>
      <c r="FA113" s="64">
        <f t="shared" si="281"/>
        <v>6</v>
      </c>
      <c r="FB113" s="64">
        <f t="shared" si="281"/>
        <v>12</v>
      </c>
      <c r="FC113" s="64">
        <f t="shared" si="281"/>
        <v>0</v>
      </c>
      <c r="FD113" s="64">
        <f t="shared" si="281"/>
        <v>6</v>
      </c>
      <c r="FE113" s="64">
        <f t="shared" si="281"/>
        <v>12</v>
      </c>
      <c r="FF113" s="64">
        <f t="shared" si="281"/>
        <v>0</v>
      </c>
      <c r="FG113" s="64">
        <f t="shared" si="281"/>
        <v>6</v>
      </c>
      <c r="FH113" s="64">
        <f t="shared" si="281"/>
        <v>12</v>
      </c>
      <c r="FI113" s="64">
        <f t="shared" si="281"/>
        <v>0</v>
      </c>
      <c r="FJ113" s="64"/>
      <c r="FK113" s="64" t="s">
        <v>240</v>
      </c>
      <c r="FL113" s="64">
        <v>0</v>
      </c>
      <c r="FM113" s="64">
        <f>FM86/4*6</f>
        <v>6</v>
      </c>
      <c r="FN113" s="64">
        <f t="shared" ref="FN113:GI113" si="282">FN86/4*6</f>
        <v>0</v>
      </c>
      <c r="FO113" s="64">
        <f t="shared" si="282"/>
        <v>0</v>
      </c>
      <c r="FP113" s="64">
        <f t="shared" si="282"/>
        <v>6</v>
      </c>
      <c r="FQ113" s="64">
        <f t="shared" si="282"/>
        <v>12</v>
      </c>
      <c r="FR113" s="64">
        <f t="shared" si="282"/>
        <v>0</v>
      </c>
      <c r="FS113" s="64">
        <f t="shared" si="282"/>
        <v>6</v>
      </c>
      <c r="FT113" s="64">
        <f t="shared" si="282"/>
        <v>12</v>
      </c>
      <c r="FU113" s="64">
        <f t="shared" si="282"/>
        <v>0</v>
      </c>
      <c r="FV113" s="64">
        <f t="shared" si="282"/>
        <v>6</v>
      </c>
      <c r="FW113" s="64">
        <f t="shared" si="282"/>
        <v>12</v>
      </c>
      <c r="FX113" s="64">
        <f t="shared" si="282"/>
        <v>0</v>
      </c>
      <c r="FY113" s="64">
        <f t="shared" si="282"/>
        <v>6</v>
      </c>
      <c r="FZ113" s="64">
        <f t="shared" si="282"/>
        <v>12</v>
      </c>
      <c r="GA113" s="64">
        <f t="shared" si="282"/>
        <v>0</v>
      </c>
      <c r="GB113" s="64">
        <f t="shared" si="282"/>
        <v>6</v>
      </c>
      <c r="GC113" s="64">
        <f t="shared" si="282"/>
        <v>12</v>
      </c>
      <c r="GD113" s="64">
        <f t="shared" si="282"/>
        <v>0</v>
      </c>
      <c r="GE113" s="64">
        <f t="shared" si="282"/>
        <v>6</v>
      </c>
      <c r="GF113" s="64">
        <f t="shared" si="282"/>
        <v>12</v>
      </c>
      <c r="GG113" s="64">
        <f t="shared" si="282"/>
        <v>0</v>
      </c>
      <c r="GH113" s="64">
        <f t="shared" si="282"/>
        <v>6</v>
      </c>
      <c r="GI113" s="64">
        <f t="shared" si="282"/>
        <v>12</v>
      </c>
      <c r="GJ113" s="64"/>
      <c r="GK113" s="64"/>
      <c r="GL113" s="64"/>
      <c r="GM113" s="64"/>
      <c r="GN113" s="64"/>
      <c r="GO113" s="64"/>
      <c r="GP113" s="64"/>
      <c r="GQ113" s="64"/>
      <c r="GR113" s="64" t="s">
        <v>240</v>
      </c>
      <c r="GS113" s="64">
        <v>0</v>
      </c>
      <c r="GT113" s="64">
        <f t="shared" ref="GT113:HP113" si="283">GT86/4*6</f>
        <v>6</v>
      </c>
      <c r="GU113" s="64">
        <f t="shared" si="283"/>
        <v>0</v>
      </c>
      <c r="GV113" s="64">
        <f t="shared" si="283"/>
        <v>0</v>
      </c>
      <c r="GW113" s="64">
        <f t="shared" si="283"/>
        <v>6</v>
      </c>
      <c r="GX113" s="64">
        <f t="shared" si="283"/>
        <v>12</v>
      </c>
      <c r="GY113" s="64">
        <f t="shared" si="283"/>
        <v>0</v>
      </c>
      <c r="GZ113" s="64">
        <f t="shared" si="283"/>
        <v>12</v>
      </c>
      <c r="HA113" s="64">
        <f t="shared" si="283"/>
        <v>18</v>
      </c>
      <c r="HB113" s="64">
        <f t="shared" si="283"/>
        <v>6</v>
      </c>
      <c r="HC113" s="64">
        <f t="shared" si="283"/>
        <v>12</v>
      </c>
      <c r="HD113" s="64">
        <f t="shared" si="283"/>
        <v>18</v>
      </c>
      <c r="HE113" s="64">
        <f t="shared" si="283"/>
        <v>24</v>
      </c>
      <c r="HF113" s="64">
        <f t="shared" si="283"/>
        <v>12</v>
      </c>
      <c r="HG113" s="64">
        <f t="shared" si="283"/>
        <v>18</v>
      </c>
      <c r="HH113" s="64">
        <f t="shared" si="283"/>
        <v>24</v>
      </c>
      <c r="HI113" s="64">
        <f t="shared" si="283"/>
        <v>18</v>
      </c>
      <c r="HJ113" s="64">
        <f t="shared" si="283"/>
        <v>24</v>
      </c>
      <c r="HK113" s="64">
        <f t="shared" si="283"/>
        <v>30</v>
      </c>
      <c r="HL113" s="64">
        <f t="shared" si="283"/>
        <v>36</v>
      </c>
      <c r="HM113" s="64">
        <f t="shared" si="283"/>
        <v>24</v>
      </c>
      <c r="HN113" s="64">
        <f t="shared" si="283"/>
        <v>30</v>
      </c>
      <c r="HO113" s="64">
        <f t="shared" si="283"/>
        <v>36</v>
      </c>
      <c r="HP113" s="64">
        <f t="shared" si="283"/>
        <v>42</v>
      </c>
      <c r="HS113" s="68" t="s">
        <v>240</v>
      </c>
      <c r="HT113" s="68">
        <v>0</v>
      </c>
      <c r="HU113" s="64">
        <f t="shared" ref="HU113:IQ113" si="284">HU86/4*6</f>
        <v>6</v>
      </c>
      <c r="HV113" s="64">
        <f t="shared" si="284"/>
        <v>0</v>
      </c>
      <c r="HW113" s="64">
        <f t="shared" si="284"/>
        <v>6</v>
      </c>
      <c r="HX113" s="64">
        <f t="shared" si="284"/>
        <v>12</v>
      </c>
      <c r="HY113" s="64">
        <f t="shared" si="284"/>
        <v>0</v>
      </c>
      <c r="HZ113" s="64">
        <f t="shared" si="284"/>
        <v>6</v>
      </c>
      <c r="IA113" s="64">
        <f t="shared" si="284"/>
        <v>12</v>
      </c>
      <c r="IB113" s="64">
        <f t="shared" si="284"/>
        <v>6</v>
      </c>
      <c r="IC113" s="64">
        <f t="shared" si="284"/>
        <v>12</v>
      </c>
      <c r="ID113" s="64">
        <f t="shared" si="284"/>
        <v>18</v>
      </c>
      <c r="IE113" s="64">
        <f t="shared" si="284"/>
        <v>24</v>
      </c>
      <c r="IF113" s="64">
        <f t="shared" si="284"/>
        <v>12</v>
      </c>
      <c r="IG113" s="64">
        <f t="shared" si="284"/>
        <v>24</v>
      </c>
      <c r="IH113" s="64">
        <f t="shared" si="284"/>
        <v>30</v>
      </c>
      <c r="II113" s="64">
        <f t="shared" si="284"/>
        <v>18</v>
      </c>
      <c r="IJ113" s="64">
        <f t="shared" si="284"/>
        <v>24</v>
      </c>
      <c r="IK113" s="64">
        <f t="shared" si="284"/>
        <v>30</v>
      </c>
      <c r="IL113" s="64">
        <f t="shared" si="284"/>
        <v>24</v>
      </c>
      <c r="IM113" s="64">
        <f t="shared" si="284"/>
        <v>30</v>
      </c>
      <c r="IN113" s="64">
        <f t="shared" si="284"/>
        <v>36</v>
      </c>
      <c r="IO113" s="64">
        <f t="shared" si="284"/>
        <v>42</v>
      </c>
      <c r="IP113" s="64">
        <f t="shared" si="284"/>
        <v>30</v>
      </c>
      <c r="IQ113" s="64">
        <f t="shared" si="284"/>
        <v>42</v>
      </c>
      <c r="IR113" s="71"/>
    </row>
    <row r="114" spans="1:252" x14ac:dyDescent="0.25">
      <c r="A114" s="9"/>
      <c r="B114" s="6"/>
      <c r="C114" s="9"/>
      <c r="D114" s="44" t="s">
        <v>521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>
        <f>INDEX(cenník!$C$2:$I$568,MATCH($L114,cenník!$B$2:$B$557,0),MATCH(M$2,cenník!$C$1:$I$1,0))</f>
        <v>897335</v>
      </c>
      <c r="N114" s="11" t="str">
        <f>INDEX(cenník!$C$2:$I$568,MATCH($L114,cenník!$B$2:$B$557,0),MATCH(N$2,cenník!$C$1:$I$1,0))</f>
        <v>ks</v>
      </c>
      <c r="O114" s="11">
        <f>SUM((C98*8),(C99*8),(C100*8),(C101*8),(C102*8),(C103*8),(C104*8),(C105*8),(C106*8),(C107*8),(C108*8),(C109*8),(C110*8),(C111*8),(C112*8),(C113*8))</f>
        <v>0</v>
      </c>
      <c r="P114" s="36">
        <f>INDEX(cenník!$C$2:$I$568,MATCH($L114,cenník!$B$2:$B$557,0),MATCH(P$2,cenník!$C$1:$I$1,0))</f>
        <v>0.62</v>
      </c>
      <c r="Q114" s="36">
        <f t="shared" si="273"/>
        <v>0</v>
      </c>
      <c r="R114" s="37">
        <f t="shared" si="263"/>
        <v>0</v>
      </c>
      <c r="S114" s="36">
        <f t="shared" si="264"/>
        <v>0.62</v>
      </c>
      <c r="T114" s="36">
        <f t="shared" si="274"/>
        <v>0</v>
      </c>
      <c r="U114" s="36">
        <f>INDEX(cenník!$C$2:$I$568,MATCH($L114,cenník!$B$2:$B$557,0),MATCH(U$2,cenník!$C$1:$I$1,0))*O114</f>
        <v>0</v>
      </c>
      <c r="V114" s="85"/>
      <c r="W114" s="64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64"/>
      <c r="Y114" s="64"/>
      <c r="Z114" s="64"/>
      <c r="AA114" s="64"/>
      <c r="AB114" s="64"/>
      <c r="AC114" s="64"/>
      <c r="AD114" s="64"/>
      <c r="AE114" s="64"/>
      <c r="AF114" s="64"/>
      <c r="AG114" s="64"/>
      <c r="AH114" s="64">
        <f>((AH113/3)*AI113)+(((AH113/3)-1)*20)+100</f>
        <v>29330</v>
      </c>
      <c r="AI114" s="64" t="s">
        <v>91</v>
      </c>
      <c r="AJ114" s="64" t="s">
        <v>89</v>
      </c>
      <c r="AK114" s="64" t="s">
        <v>88</v>
      </c>
      <c r="AL114" s="64"/>
      <c r="AM114" s="64" t="s">
        <v>90</v>
      </c>
      <c r="AP114" s="64" t="s">
        <v>231</v>
      </c>
      <c r="AQ114" s="64" t="s">
        <v>295</v>
      </c>
      <c r="AR114" s="64" t="s">
        <v>294</v>
      </c>
      <c r="AS114" s="64" t="s">
        <v>293</v>
      </c>
      <c r="AT114" s="64" t="s">
        <v>293</v>
      </c>
      <c r="AV114" s="64" t="s">
        <v>231</v>
      </c>
      <c r="AW114" s="64" t="s">
        <v>84</v>
      </c>
      <c r="AX114" s="64" t="s">
        <v>84</v>
      </c>
      <c r="AY114" s="64" t="s">
        <v>84</v>
      </c>
      <c r="AZ114" s="64" t="s">
        <v>84</v>
      </c>
      <c r="BG114" s="64"/>
      <c r="BH114" s="64" t="s">
        <v>16</v>
      </c>
      <c r="BI114" s="64">
        <f>(BI87/2)*3</f>
        <v>0</v>
      </c>
      <c r="BJ114" s="64">
        <v>6</v>
      </c>
      <c r="BK114" s="64">
        <v>0</v>
      </c>
      <c r="BL114" s="64">
        <v>0</v>
      </c>
      <c r="BM114" s="64">
        <v>0</v>
      </c>
      <c r="BN114" s="64">
        <v>6</v>
      </c>
      <c r="BO114" s="64">
        <v>0</v>
      </c>
      <c r="BP114" s="64">
        <v>6</v>
      </c>
      <c r="BQ114" s="64">
        <v>0</v>
      </c>
      <c r="BR114" s="64">
        <v>6</v>
      </c>
      <c r="BS114" s="64">
        <v>0</v>
      </c>
      <c r="BT114" s="64">
        <v>6</v>
      </c>
      <c r="BU114" s="64">
        <v>0</v>
      </c>
      <c r="BV114" s="64">
        <v>6</v>
      </c>
      <c r="BW114" s="64">
        <v>6</v>
      </c>
      <c r="BX114" s="64">
        <v>0</v>
      </c>
      <c r="BY114" s="64">
        <v>0</v>
      </c>
      <c r="BZ114" s="64">
        <v>0</v>
      </c>
      <c r="CA114" s="64">
        <v>6</v>
      </c>
      <c r="CB114" s="64">
        <v>0</v>
      </c>
      <c r="CC114" s="64">
        <v>6</v>
      </c>
      <c r="CD114" s="64">
        <v>0</v>
      </c>
      <c r="CE114" s="64">
        <v>6</v>
      </c>
      <c r="CF114" s="64">
        <v>0</v>
      </c>
      <c r="CG114" s="64"/>
      <c r="CH114" s="64"/>
      <c r="CI114" s="64"/>
      <c r="CJ114" s="64"/>
      <c r="CK114" s="64"/>
      <c r="CL114" s="64"/>
      <c r="CM114" s="64"/>
      <c r="CN114" s="64" t="s">
        <v>16</v>
      </c>
      <c r="CO114" s="64">
        <v>0</v>
      </c>
      <c r="CP114" s="64">
        <f t="shared" si="280"/>
        <v>0</v>
      </c>
      <c r="CQ114" s="64">
        <f t="shared" si="280"/>
        <v>0</v>
      </c>
      <c r="CR114" s="64">
        <f t="shared" si="280"/>
        <v>0</v>
      </c>
      <c r="CS114" s="64">
        <f t="shared" si="280"/>
        <v>6</v>
      </c>
      <c r="CT114" s="64">
        <f t="shared" si="280"/>
        <v>0</v>
      </c>
      <c r="CU114" s="64">
        <f t="shared" si="280"/>
        <v>6</v>
      </c>
      <c r="CV114" s="64">
        <f t="shared" si="280"/>
        <v>0</v>
      </c>
      <c r="CW114" s="64">
        <f t="shared" si="280"/>
        <v>6</v>
      </c>
      <c r="CX114" s="64">
        <f t="shared" si="280"/>
        <v>0</v>
      </c>
      <c r="CY114" s="64">
        <f t="shared" si="280"/>
        <v>6</v>
      </c>
      <c r="CZ114" s="64">
        <f t="shared" si="280"/>
        <v>0</v>
      </c>
      <c r="DA114" s="64">
        <f t="shared" si="280"/>
        <v>6</v>
      </c>
      <c r="DB114" s="64">
        <f t="shared" si="280"/>
        <v>0</v>
      </c>
      <c r="DC114" s="64">
        <f t="shared" si="280"/>
        <v>6</v>
      </c>
      <c r="DD114" s="64">
        <f t="shared" si="280"/>
        <v>0</v>
      </c>
      <c r="DE114" s="64">
        <f t="shared" si="280"/>
        <v>6</v>
      </c>
      <c r="DF114" s="64">
        <f t="shared" si="280"/>
        <v>0</v>
      </c>
      <c r="DG114" s="64">
        <f t="shared" si="280"/>
        <v>6</v>
      </c>
      <c r="DH114" s="64">
        <f t="shared" si="280"/>
        <v>0</v>
      </c>
      <c r="DI114" s="64">
        <f t="shared" si="280"/>
        <v>6</v>
      </c>
      <c r="DJ114" s="64">
        <f t="shared" si="280"/>
        <v>0</v>
      </c>
      <c r="DK114" s="64">
        <f t="shared" si="280"/>
        <v>6</v>
      </c>
      <c r="DL114" s="64">
        <f t="shared" si="280"/>
        <v>0</v>
      </c>
      <c r="DM114" s="64"/>
      <c r="DN114" s="64"/>
      <c r="DO114" s="64"/>
      <c r="DP114" s="64"/>
      <c r="DQ114" s="80"/>
      <c r="DR114" s="80">
        <v>18</v>
      </c>
      <c r="DS114" s="80"/>
      <c r="DT114" s="64"/>
      <c r="DU114" s="64"/>
      <c r="DV114" s="64"/>
      <c r="DW114" s="64"/>
      <c r="DX114" s="64"/>
      <c r="DY114" s="64"/>
      <c r="DZ114" s="64"/>
      <c r="EA114" s="64"/>
      <c r="EB114" s="64"/>
      <c r="EC114" s="64"/>
      <c r="ED114" s="64"/>
      <c r="EE114" s="64"/>
      <c r="EF114" s="64"/>
      <c r="EG114" s="64"/>
      <c r="EH114" s="64"/>
      <c r="EI114" s="64"/>
      <c r="EJ114" s="69"/>
      <c r="EK114" s="64" t="s">
        <v>241</v>
      </c>
      <c r="EL114" s="64">
        <v>0</v>
      </c>
      <c r="EM114" s="64">
        <f>EM87/4*6</f>
        <v>6</v>
      </c>
      <c r="EN114" s="64">
        <f t="shared" ref="EN114:FI114" si="285">EN87/4*6</f>
        <v>0</v>
      </c>
      <c r="EO114" s="64">
        <f t="shared" si="285"/>
        <v>0</v>
      </c>
      <c r="EP114" s="64">
        <f t="shared" si="285"/>
        <v>12</v>
      </c>
      <c r="EQ114" s="64">
        <f t="shared" si="285"/>
        <v>6</v>
      </c>
      <c r="ER114" s="64">
        <f t="shared" si="285"/>
        <v>0</v>
      </c>
      <c r="ES114" s="64">
        <f t="shared" si="285"/>
        <v>18</v>
      </c>
      <c r="ET114" s="64">
        <f t="shared" si="285"/>
        <v>12</v>
      </c>
      <c r="EU114" s="64">
        <f t="shared" si="285"/>
        <v>6</v>
      </c>
      <c r="EV114" s="64">
        <f t="shared" si="285"/>
        <v>24</v>
      </c>
      <c r="EW114" s="64">
        <f t="shared" si="285"/>
        <v>18</v>
      </c>
      <c r="EX114" s="64">
        <f t="shared" si="285"/>
        <v>12</v>
      </c>
      <c r="EY114" s="64">
        <f t="shared" si="285"/>
        <v>12</v>
      </c>
      <c r="EZ114" s="64">
        <f t="shared" si="285"/>
        <v>30</v>
      </c>
      <c r="FA114" s="64">
        <f t="shared" si="285"/>
        <v>24</v>
      </c>
      <c r="FB114" s="64">
        <f t="shared" si="285"/>
        <v>18</v>
      </c>
      <c r="FC114" s="64">
        <f t="shared" si="285"/>
        <v>36</v>
      </c>
      <c r="FD114" s="64">
        <f t="shared" si="285"/>
        <v>30</v>
      </c>
      <c r="FE114" s="64">
        <f t="shared" si="285"/>
        <v>24</v>
      </c>
      <c r="FF114" s="64">
        <f t="shared" si="285"/>
        <v>42</v>
      </c>
      <c r="FG114" s="64">
        <f t="shared" si="285"/>
        <v>36</v>
      </c>
      <c r="FH114" s="64">
        <f t="shared" si="285"/>
        <v>30</v>
      </c>
      <c r="FI114" s="64">
        <f t="shared" si="285"/>
        <v>48</v>
      </c>
      <c r="FJ114" s="64"/>
      <c r="FK114" s="64" t="s">
        <v>241</v>
      </c>
      <c r="FL114" s="64">
        <v>0</v>
      </c>
      <c r="FM114" s="64">
        <f>FM87/4*6</f>
        <v>0</v>
      </c>
      <c r="FN114" s="64">
        <f t="shared" ref="FN114:GI114" si="286">FN87/4*6</f>
        <v>0</v>
      </c>
      <c r="FO114" s="64">
        <f t="shared" si="286"/>
        <v>0</v>
      </c>
      <c r="FP114" s="64">
        <f t="shared" si="286"/>
        <v>6</v>
      </c>
      <c r="FQ114" s="64">
        <f t="shared" si="286"/>
        <v>0</v>
      </c>
      <c r="FR114" s="64">
        <f t="shared" si="286"/>
        <v>18</v>
      </c>
      <c r="FS114" s="64">
        <f t="shared" si="286"/>
        <v>12</v>
      </c>
      <c r="FT114" s="64">
        <f t="shared" si="286"/>
        <v>6</v>
      </c>
      <c r="FU114" s="64">
        <f t="shared" si="286"/>
        <v>24</v>
      </c>
      <c r="FV114" s="64">
        <f t="shared" si="286"/>
        <v>18</v>
      </c>
      <c r="FW114" s="64">
        <f t="shared" si="286"/>
        <v>12</v>
      </c>
      <c r="FX114" s="64">
        <f t="shared" si="286"/>
        <v>30</v>
      </c>
      <c r="FY114" s="64">
        <f t="shared" si="286"/>
        <v>24</v>
      </c>
      <c r="FZ114" s="64">
        <f t="shared" si="286"/>
        <v>18</v>
      </c>
      <c r="GA114" s="64">
        <f t="shared" si="286"/>
        <v>36</v>
      </c>
      <c r="GB114" s="64">
        <f t="shared" si="286"/>
        <v>30</v>
      </c>
      <c r="GC114" s="64">
        <f t="shared" si="286"/>
        <v>24</v>
      </c>
      <c r="GD114" s="64">
        <f t="shared" si="286"/>
        <v>42</v>
      </c>
      <c r="GE114" s="64">
        <f t="shared" si="286"/>
        <v>36</v>
      </c>
      <c r="GF114" s="64">
        <f t="shared" si="286"/>
        <v>30</v>
      </c>
      <c r="GG114" s="64">
        <f t="shared" si="286"/>
        <v>48</v>
      </c>
      <c r="GH114" s="64">
        <f t="shared" si="286"/>
        <v>42</v>
      </c>
      <c r="GI114" s="64">
        <f t="shared" si="286"/>
        <v>36</v>
      </c>
      <c r="GJ114" s="64"/>
      <c r="GK114" s="64"/>
      <c r="GL114" s="64"/>
      <c r="GM114" s="64"/>
      <c r="GN114" s="64"/>
      <c r="GO114" s="64"/>
      <c r="GP114" s="64"/>
      <c r="GQ114" s="64"/>
      <c r="GR114" s="64" t="s">
        <v>241</v>
      </c>
      <c r="GS114" s="64">
        <v>0</v>
      </c>
      <c r="GT114" s="64">
        <f t="shared" ref="GT114:HP114" si="287">GT87/4*6</f>
        <v>0</v>
      </c>
      <c r="GU114" s="64">
        <f t="shared" si="287"/>
        <v>0</v>
      </c>
      <c r="GV114" s="64">
        <f t="shared" si="287"/>
        <v>0</v>
      </c>
      <c r="GW114" s="64">
        <f t="shared" si="287"/>
        <v>6</v>
      </c>
      <c r="GX114" s="64">
        <f t="shared" si="287"/>
        <v>0</v>
      </c>
      <c r="GY114" s="64">
        <f t="shared" si="287"/>
        <v>18</v>
      </c>
      <c r="GZ114" s="64">
        <f t="shared" si="287"/>
        <v>6</v>
      </c>
      <c r="HA114" s="64">
        <f t="shared" si="287"/>
        <v>0</v>
      </c>
      <c r="HB114" s="64">
        <f t="shared" si="287"/>
        <v>18</v>
      </c>
      <c r="HC114" s="64">
        <f t="shared" si="287"/>
        <v>12</v>
      </c>
      <c r="HD114" s="64">
        <f t="shared" si="287"/>
        <v>6</v>
      </c>
      <c r="HE114" s="64">
        <f t="shared" si="287"/>
        <v>0</v>
      </c>
      <c r="HF114" s="64">
        <f t="shared" si="287"/>
        <v>18</v>
      </c>
      <c r="HG114" s="64">
        <f t="shared" si="287"/>
        <v>12</v>
      </c>
      <c r="HH114" s="64">
        <f t="shared" si="287"/>
        <v>6</v>
      </c>
      <c r="HI114" s="64">
        <f t="shared" si="287"/>
        <v>18</v>
      </c>
      <c r="HJ114" s="64">
        <f t="shared" si="287"/>
        <v>12</v>
      </c>
      <c r="HK114" s="64">
        <f t="shared" si="287"/>
        <v>6</v>
      </c>
      <c r="HL114" s="64">
        <f t="shared" si="287"/>
        <v>0</v>
      </c>
      <c r="HM114" s="64">
        <f t="shared" si="287"/>
        <v>18</v>
      </c>
      <c r="HN114" s="64">
        <f t="shared" si="287"/>
        <v>12</v>
      </c>
      <c r="HO114" s="64">
        <f t="shared" si="287"/>
        <v>6</v>
      </c>
      <c r="HP114" s="64">
        <f t="shared" si="287"/>
        <v>0</v>
      </c>
      <c r="HS114" s="68" t="s">
        <v>241</v>
      </c>
      <c r="HT114" s="68">
        <v>0</v>
      </c>
      <c r="HU114" s="64">
        <f t="shared" ref="HU114:IQ114" si="288">HU87/4*6</f>
        <v>0</v>
      </c>
      <c r="HV114" s="64">
        <f t="shared" si="288"/>
        <v>0</v>
      </c>
      <c r="HW114" s="64">
        <f t="shared" si="288"/>
        <v>6</v>
      </c>
      <c r="HX114" s="64">
        <f t="shared" si="288"/>
        <v>0</v>
      </c>
      <c r="HY114" s="64">
        <f t="shared" si="288"/>
        <v>18</v>
      </c>
      <c r="HZ114" s="64">
        <f t="shared" si="288"/>
        <v>12</v>
      </c>
      <c r="IA114" s="64">
        <f t="shared" si="288"/>
        <v>6</v>
      </c>
      <c r="IB114" s="64">
        <f t="shared" si="288"/>
        <v>18</v>
      </c>
      <c r="IC114" s="64">
        <f t="shared" si="288"/>
        <v>12</v>
      </c>
      <c r="ID114" s="64">
        <f t="shared" si="288"/>
        <v>6</v>
      </c>
      <c r="IE114" s="64">
        <f t="shared" si="288"/>
        <v>0</v>
      </c>
      <c r="IF114" s="64">
        <f t="shared" si="288"/>
        <v>18</v>
      </c>
      <c r="IG114" s="64">
        <f t="shared" si="288"/>
        <v>6</v>
      </c>
      <c r="IH114" s="64">
        <f t="shared" si="288"/>
        <v>0</v>
      </c>
      <c r="II114" s="64">
        <f t="shared" si="288"/>
        <v>18</v>
      </c>
      <c r="IJ114" s="64">
        <f t="shared" si="288"/>
        <v>12</v>
      </c>
      <c r="IK114" s="64">
        <f t="shared" si="288"/>
        <v>6</v>
      </c>
      <c r="IL114" s="64">
        <f t="shared" si="288"/>
        <v>18</v>
      </c>
      <c r="IM114" s="64">
        <f t="shared" si="288"/>
        <v>12</v>
      </c>
      <c r="IN114" s="64">
        <f t="shared" si="288"/>
        <v>6</v>
      </c>
      <c r="IO114" s="64">
        <f t="shared" si="288"/>
        <v>0</v>
      </c>
      <c r="IP114" s="64">
        <f t="shared" si="288"/>
        <v>18</v>
      </c>
      <c r="IQ114" s="64">
        <f t="shared" si="288"/>
        <v>6</v>
      </c>
      <c r="IR114" s="71"/>
    </row>
    <row r="115" spans="1:252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>
        <f>INDEX(cenník!$C$2:$I$568,MATCH($L115,cenník!$B$2:$B$557,0),MATCH(M$2,cenník!$C$1:$I$1,0))</f>
        <v>897300</v>
      </c>
      <c r="N115" s="11" t="str">
        <f>INDEX(cenník!$C$2:$I$568,MATCH($L115,cenník!$B$2:$B$557,0),MATCH(N$2,cenník!$C$1:$I$1,0))</f>
        <v>ks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6">
        <f>INDEX(cenník!$C$2:$I$568,MATCH($L115,cenník!$B$2:$B$557,0),MATCH(P$2,cenník!$C$1:$I$1,0))</f>
        <v>0.56999999999999995</v>
      </c>
      <c r="Q115" s="36">
        <f t="shared" si="273"/>
        <v>0</v>
      </c>
      <c r="R115" s="37">
        <f t="shared" si="263"/>
        <v>0</v>
      </c>
      <c r="S115" s="36">
        <f t="shared" si="264"/>
        <v>0.56999999999999995</v>
      </c>
      <c r="T115" s="36">
        <f t="shared" si="274"/>
        <v>0</v>
      </c>
      <c r="U115" s="36">
        <f>INDEX(cenník!$C$2:$I$568,MATCH($L115,cenník!$B$2:$B$557,0),MATCH(U$2,cenník!$C$1:$I$1,0))*O115</f>
        <v>0</v>
      </c>
      <c r="V115" s="85"/>
      <c r="W115" s="64"/>
      <c r="X115" s="64"/>
      <c r="Y115" s="64"/>
      <c r="Z115" s="64"/>
      <c r="AA115" s="64"/>
      <c r="AB115" s="64"/>
      <c r="AC115" s="64"/>
      <c r="AD115" s="64"/>
      <c r="AE115" s="64"/>
      <c r="AF115" s="64"/>
      <c r="AG115" s="64" t="s">
        <v>104</v>
      </c>
      <c r="AH115" s="64">
        <v>6600</v>
      </c>
      <c r="AI115" s="64">
        <v>4</v>
      </c>
      <c r="AJ115" s="64">
        <f>AH115*AI115</f>
        <v>26400</v>
      </c>
      <c r="AK115" s="64">
        <v>191.1</v>
      </c>
      <c r="AL115" s="64">
        <f>AI115*AK115</f>
        <v>764.4</v>
      </c>
      <c r="AM115" s="64">
        <f>AI115*6</f>
        <v>24</v>
      </c>
      <c r="AP115" s="64" t="s">
        <v>351</v>
      </c>
      <c r="AQ115" s="64" t="s">
        <v>292</v>
      </c>
      <c r="AR115" s="64" t="s">
        <v>295</v>
      </c>
      <c r="AS115" s="64" t="s">
        <v>293</v>
      </c>
      <c r="AT115" s="64" t="s">
        <v>293</v>
      </c>
      <c r="AV115" s="64" t="s">
        <v>351</v>
      </c>
      <c r="AW115" s="64" t="s">
        <v>292</v>
      </c>
      <c r="AX115" s="64" t="s">
        <v>84</v>
      </c>
      <c r="AY115" s="64" t="s">
        <v>84</v>
      </c>
      <c r="AZ115" s="64" t="s">
        <v>84</v>
      </c>
      <c r="BG115" s="64"/>
      <c r="BH115" s="64" t="s">
        <v>17</v>
      </c>
      <c r="BI115" s="64">
        <f>(BI88/2)*3</f>
        <v>0</v>
      </c>
      <c r="BJ115" s="64">
        <v>0</v>
      </c>
      <c r="BK115" s="64">
        <v>0</v>
      </c>
      <c r="BL115" s="64">
        <v>0</v>
      </c>
      <c r="BM115" s="64">
        <v>0</v>
      </c>
      <c r="BN115" s="64">
        <v>6</v>
      </c>
      <c r="BO115" s="64">
        <v>6</v>
      </c>
      <c r="BP115" s="64">
        <v>6</v>
      </c>
      <c r="BQ115" s="64">
        <v>6</v>
      </c>
      <c r="BR115" s="64">
        <v>12</v>
      </c>
      <c r="BS115" s="64">
        <v>6</v>
      </c>
      <c r="BT115" s="64">
        <v>12</v>
      </c>
      <c r="BU115" s="64">
        <v>12</v>
      </c>
      <c r="BV115" s="64">
        <v>12</v>
      </c>
      <c r="BW115" s="64">
        <v>12</v>
      </c>
      <c r="BX115" s="64">
        <v>12</v>
      </c>
      <c r="BY115" s="64">
        <v>12</v>
      </c>
      <c r="BZ115" s="64">
        <v>12</v>
      </c>
      <c r="CA115" s="64">
        <v>18</v>
      </c>
      <c r="CB115" s="64">
        <v>18</v>
      </c>
      <c r="CC115" s="64">
        <v>18</v>
      </c>
      <c r="CD115" s="64">
        <v>18</v>
      </c>
      <c r="CE115" s="64">
        <v>24</v>
      </c>
      <c r="CF115" s="64">
        <v>18</v>
      </c>
      <c r="CG115" s="64"/>
      <c r="CH115" s="64"/>
      <c r="CI115" s="64"/>
      <c r="CJ115" s="64"/>
      <c r="CK115" s="64"/>
      <c r="CL115" s="64"/>
      <c r="CM115" s="64"/>
      <c r="CN115" s="64" t="s">
        <v>17</v>
      </c>
      <c r="CO115" s="64">
        <v>0</v>
      </c>
      <c r="CP115" s="64">
        <f t="shared" si="280"/>
        <v>0</v>
      </c>
      <c r="CQ115" s="64">
        <f t="shared" si="280"/>
        <v>0</v>
      </c>
      <c r="CR115" s="64">
        <f t="shared" si="280"/>
        <v>0</v>
      </c>
      <c r="CS115" s="64">
        <f t="shared" si="280"/>
        <v>6</v>
      </c>
      <c r="CT115" s="64">
        <f t="shared" si="280"/>
        <v>6</v>
      </c>
      <c r="CU115" s="64">
        <f t="shared" si="280"/>
        <v>6</v>
      </c>
      <c r="CV115" s="64">
        <f t="shared" si="280"/>
        <v>6</v>
      </c>
      <c r="CW115" s="64">
        <f t="shared" si="280"/>
        <v>12</v>
      </c>
      <c r="CX115" s="64">
        <f t="shared" si="280"/>
        <v>6</v>
      </c>
      <c r="CY115" s="64">
        <f t="shared" si="280"/>
        <v>12</v>
      </c>
      <c r="CZ115" s="64">
        <f t="shared" si="280"/>
        <v>12</v>
      </c>
      <c r="DA115" s="64">
        <f t="shared" si="280"/>
        <v>12</v>
      </c>
      <c r="DB115" s="64">
        <f t="shared" si="280"/>
        <v>12</v>
      </c>
      <c r="DC115" s="64">
        <f t="shared" si="280"/>
        <v>18</v>
      </c>
      <c r="DD115" s="64">
        <f t="shared" si="280"/>
        <v>12</v>
      </c>
      <c r="DE115" s="64">
        <f t="shared" si="280"/>
        <v>18</v>
      </c>
      <c r="DF115" s="64">
        <f t="shared" si="280"/>
        <v>18</v>
      </c>
      <c r="DG115" s="64">
        <f t="shared" si="280"/>
        <v>18</v>
      </c>
      <c r="DH115" s="64">
        <f t="shared" si="280"/>
        <v>18</v>
      </c>
      <c r="DI115" s="64">
        <f t="shared" si="280"/>
        <v>24</v>
      </c>
      <c r="DJ115" s="64">
        <f t="shared" si="280"/>
        <v>18</v>
      </c>
      <c r="DK115" s="64">
        <f t="shared" si="280"/>
        <v>24</v>
      </c>
      <c r="DL115" s="64">
        <f t="shared" si="280"/>
        <v>24</v>
      </c>
      <c r="DM115" s="64"/>
      <c r="DN115" s="64"/>
      <c r="DO115" s="64"/>
      <c r="DP115" s="64"/>
      <c r="DQ115" s="80"/>
      <c r="DR115" s="80">
        <v>21</v>
      </c>
      <c r="DS115" s="80"/>
      <c r="DT115" s="64"/>
      <c r="DU115" s="64"/>
      <c r="DV115" s="64"/>
      <c r="DW115" s="64"/>
      <c r="DX115" s="64"/>
      <c r="DY115" s="64"/>
      <c r="DZ115" s="64"/>
      <c r="EA115" s="64"/>
      <c r="EB115" s="64"/>
      <c r="EC115" s="64"/>
      <c r="ED115" s="64"/>
      <c r="EE115" s="64"/>
      <c r="EF115" s="64"/>
      <c r="EG115" s="64"/>
      <c r="EH115" s="64"/>
      <c r="EI115" s="64"/>
      <c r="EJ115" s="69"/>
      <c r="EK115" s="72" t="s">
        <v>364</v>
      </c>
      <c r="EL115" s="64">
        <v>0</v>
      </c>
      <c r="EM115" s="64">
        <f>((SUM(EM113:EM114)/6)-1)*6</f>
        <v>0</v>
      </c>
      <c r="EN115" s="64">
        <f t="shared" ref="EN115:FI115" si="289">((SUM(EN113:EN114)/6)-1)*6</f>
        <v>0</v>
      </c>
      <c r="EO115" s="64">
        <v>0</v>
      </c>
      <c r="EP115" s="64">
        <f t="shared" si="289"/>
        <v>6</v>
      </c>
      <c r="EQ115" s="64">
        <f t="shared" si="289"/>
        <v>6</v>
      </c>
      <c r="ER115" s="64">
        <f t="shared" si="289"/>
        <v>6</v>
      </c>
      <c r="ES115" s="64">
        <f t="shared" si="289"/>
        <v>12</v>
      </c>
      <c r="ET115" s="64">
        <f t="shared" si="289"/>
        <v>12</v>
      </c>
      <c r="EU115" s="64">
        <f t="shared" si="289"/>
        <v>12</v>
      </c>
      <c r="EV115" s="64">
        <f t="shared" si="289"/>
        <v>18</v>
      </c>
      <c r="EW115" s="64">
        <f t="shared" si="289"/>
        <v>18</v>
      </c>
      <c r="EX115" s="64">
        <f t="shared" si="289"/>
        <v>18</v>
      </c>
      <c r="EY115" s="64">
        <f t="shared" si="289"/>
        <v>18</v>
      </c>
      <c r="EZ115" s="64">
        <f t="shared" si="289"/>
        <v>24</v>
      </c>
      <c r="FA115" s="64">
        <f t="shared" si="289"/>
        <v>24</v>
      </c>
      <c r="FB115" s="64">
        <f t="shared" si="289"/>
        <v>24</v>
      </c>
      <c r="FC115" s="64">
        <f t="shared" si="289"/>
        <v>30</v>
      </c>
      <c r="FD115" s="64">
        <f t="shared" si="289"/>
        <v>30</v>
      </c>
      <c r="FE115" s="64">
        <f t="shared" si="289"/>
        <v>30</v>
      </c>
      <c r="FF115" s="64">
        <f t="shared" si="289"/>
        <v>36</v>
      </c>
      <c r="FG115" s="64">
        <f t="shared" si="289"/>
        <v>36</v>
      </c>
      <c r="FH115" s="64">
        <f t="shared" si="289"/>
        <v>36</v>
      </c>
      <c r="FI115" s="64">
        <f t="shared" si="289"/>
        <v>42</v>
      </c>
      <c r="FJ115" s="64"/>
      <c r="FK115" s="72" t="s">
        <v>364</v>
      </c>
      <c r="FL115" s="64">
        <v>0</v>
      </c>
      <c r="FM115" s="64">
        <f>((SUM(FM113:FM114)/6)-1)*6</f>
        <v>0</v>
      </c>
      <c r="FN115" s="64">
        <v>0</v>
      </c>
      <c r="FO115" s="64">
        <v>0</v>
      </c>
      <c r="FP115" s="64">
        <f t="shared" ref="FP115:GI115" si="290">((SUM(FP113:FP114)/6)-1)*6</f>
        <v>6</v>
      </c>
      <c r="FQ115" s="64">
        <f t="shared" si="290"/>
        <v>6</v>
      </c>
      <c r="FR115" s="64">
        <f t="shared" si="290"/>
        <v>12</v>
      </c>
      <c r="FS115" s="64">
        <f t="shared" si="290"/>
        <v>12</v>
      </c>
      <c r="FT115" s="64">
        <f t="shared" si="290"/>
        <v>12</v>
      </c>
      <c r="FU115" s="64">
        <f t="shared" si="290"/>
        <v>18</v>
      </c>
      <c r="FV115" s="64">
        <f t="shared" si="290"/>
        <v>18</v>
      </c>
      <c r="FW115" s="64">
        <f t="shared" si="290"/>
        <v>18</v>
      </c>
      <c r="FX115" s="64">
        <f t="shared" si="290"/>
        <v>24</v>
      </c>
      <c r="FY115" s="64">
        <f t="shared" si="290"/>
        <v>24</v>
      </c>
      <c r="FZ115" s="64">
        <f t="shared" si="290"/>
        <v>24</v>
      </c>
      <c r="GA115" s="64">
        <f t="shared" si="290"/>
        <v>30</v>
      </c>
      <c r="GB115" s="64">
        <f t="shared" si="290"/>
        <v>30</v>
      </c>
      <c r="GC115" s="64">
        <f t="shared" si="290"/>
        <v>30</v>
      </c>
      <c r="GD115" s="64">
        <f t="shared" si="290"/>
        <v>36</v>
      </c>
      <c r="GE115" s="64">
        <f t="shared" si="290"/>
        <v>36</v>
      </c>
      <c r="GF115" s="64">
        <f t="shared" si="290"/>
        <v>36</v>
      </c>
      <c r="GG115" s="64">
        <f t="shared" si="290"/>
        <v>42</v>
      </c>
      <c r="GH115" s="64">
        <f t="shared" si="290"/>
        <v>42</v>
      </c>
      <c r="GI115" s="64">
        <f t="shared" si="290"/>
        <v>42</v>
      </c>
      <c r="GJ115" s="64"/>
      <c r="GK115" s="64"/>
      <c r="GL115" s="64"/>
      <c r="GM115" s="64"/>
      <c r="GN115" s="64"/>
      <c r="GO115" s="64"/>
      <c r="GP115" s="64"/>
      <c r="GQ115" s="64"/>
      <c r="GR115" s="72" t="s">
        <v>364</v>
      </c>
      <c r="GS115" s="64">
        <v>0</v>
      </c>
      <c r="GT115" s="64">
        <f t="shared" ref="GT115:HP115" si="291">GT88/4*6</f>
        <v>0</v>
      </c>
      <c r="GU115" s="64">
        <f t="shared" si="291"/>
        <v>0</v>
      </c>
      <c r="GV115" s="64">
        <f t="shared" si="291"/>
        <v>0</v>
      </c>
      <c r="GW115" s="64">
        <f t="shared" si="291"/>
        <v>6</v>
      </c>
      <c r="GX115" s="64">
        <f t="shared" si="291"/>
        <v>6</v>
      </c>
      <c r="GY115" s="64">
        <f t="shared" si="291"/>
        <v>12</v>
      </c>
      <c r="GZ115" s="64">
        <f t="shared" si="291"/>
        <v>12</v>
      </c>
      <c r="HA115" s="64">
        <f t="shared" si="291"/>
        <v>12</v>
      </c>
      <c r="HB115" s="64">
        <f t="shared" si="291"/>
        <v>18</v>
      </c>
      <c r="HC115" s="64">
        <f t="shared" si="291"/>
        <v>18</v>
      </c>
      <c r="HD115" s="64">
        <f t="shared" si="291"/>
        <v>18</v>
      </c>
      <c r="HE115" s="64">
        <f t="shared" si="291"/>
        <v>18</v>
      </c>
      <c r="HF115" s="64">
        <f t="shared" si="291"/>
        <v>24</v>
      </c>
      <c r="HG115" s="64">
        <f t="shared" si="291"/>
        <v>24</v>
      </c>
      <c r="HH115" s="64">
        <f t="shared" si="291"/>
        <v>24</v>
      </c>
      <c r="HI115" s="64">
        <f t="shared" si="291"/>
        <v>30</v>
      </c>
      <c r="HJ115" s="64">
        <f t="shared" si="291"/>
        <v>30</v>
      </c>
      <c r="HK115" s="64">
        <f t="shared" si="291"/>
        <v>30</v>
      </c>
      <c r="HL115" s="64">
        <f t="shared" si="291"/>
        <v>30</v>
      </c>
      <c r="HM115" s="64">
        <f t="shared" si="291"/>
        <v>36</v>
      </c>
      <c r="HN115" s="64">
        <f t="shared" si="291"/>
        <v>36</v>
      </c>
      <c r="HO115" s="64">
        <f t="shared" si="291"/>
        <v>36</v>
      </c>
      <c r="HP115" s="64">
        <f t="shared" si="291"/>
        <v>36</v>
      </c>
      <c r="HS115" s="68" t="s">
        <v>242</v>
      </c>
      <c r="HT115" s="68">
        <v>0</v>
      </c>
      <c r="HU115" s="64">
        <f t="shared" ref="HU115:IQ115" si="292">HU88/4*6</f>
        <v>0</v>
      </c>
      <c r="HV115" s="64">
        <f t="shared" si="292"/>
        <v>0</v>
      </c>
      <c r="HW115" s="64">
        <f t="shared" si="292"/>
        <v>6</v>
      </c>
      <c r="HX115" s="64">
        <f t="shared" si="292"/>
        <v>6</v>
      </c>
      <c r="HY115" s="64">
        <f t="shared" si="292"/>
        <v>12</v>
      </c>
      <c r="HZ115" s="64">
        <f t="shared" si="292"/>
        <v>12</v>
      </c>
      <c r="IA115" s="64">
        <f t="shared" si="292"/>
        <v>12</v>
      </c>
      <c r="IB115" s="64">
        <f t="shared" si="292"/>
        <v>18</v>
      </c>
      <c r="IC115" s="64">
        <f t="shared" si="292"/>
        <v>18</v>
      </c>
      <c r="ID115" s="64">
        <f t="shared" si="292"/>
        <v>18</v>
      </c>
      <c r="IE115" s="64">
        <f t="shared" si="292"/>
        <v>18</v>
      </c>
      <c r="IF115" s="64">
        <f t="shared" si="292"/>
        <v>24</v>
      </c>
      <c r="IG115" s="64">
        <f t="shared" si="292"/>
        <v>24</v>
      </c>
      <c r="IH115" s="64">
        <f t="shared" si="292"/>
        <v>24</v>
      </c>
      <c r="II115" s="64">
        <f t="shared" si="292"/>
        <v>30</v>
      </c>
      <c r="IJ115" s="64">
        <f t="shared" si="292"/>
        <v>30</v>
      </c>
      <c r="IK115" s="64">
        <f t="shared" si="292"/>
        <v>30</v>
      </c>
      <c r="IL115" s="64">
        <f t="shared" si="292"/>
        <v>36</v>
      </c>
      <c r="IM115" s="64">
        <f t="shared" si="292"/>
        <v>36</v>
      </c>
      <c r="IN115" s="64">
        <f t="shared" si="292"/>
        <v>36</v>
      </c>
      <c r="IO115" s="64">
        <f t="shared" si="292"/>
        <v>36</v>
      </c>
      <c r="IP115" s="64">
        <f t="shared" si="292"/>
        <v>42</v>
      </c>
      <c r="IQ115" s="64">
        <f t="shared" si="292"/>
        <v>42</v>
      </c>
      <c r="IR115" s="71"/>
    </row>
    <row r="116" spans="1:252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>
        <f>INDEX(cenník!$C$2:$I$568,MATCH($L116,cenník!$B$2:$B$557,0),MATCH(M$2,cenník!$C$1:$I$1,0))</f>
        <v>898530</v>
      </c>
      <c r="N116" s="11" t="str">
        <f>INDEX(cenník!$C$2:$I$568,MATCH($L116,cenník!$B$2:$B$557,0),MATCH(N$2,cenník!$C$1:$I$1,0))</f>
        <v>ks</v>
      </c>
      <c r="O116" s="11">
        <f>SUM(O114:O115)</f>
        <v>0</v>
      </c>
      <c r="P116" s="36">
        <f>INDEX(cenník!$C$2:$I$568,MATCH($L116,cenník!$B$2:$B$557,0),MATCH(P$2,cenník!$C$1:$I$1,0))</f>
        <v>0.18</v>
      </c>
      <c r="Q116" s="36">
        <f t="shared" si="273"/>
        <v>0</v>
      </c>
      <c r="R116" s="37">
        <f t="shared" si="263"/>
        <v>0</v>
      </c>
      <c r="S116" s="36">
        <f t="shared" si="264"/>
        <v>0.18</v>
      </c>
      <c r="T116" s="36">
        <f t="shared" si="274"/>
        <v>0</v>
      </c>
      <c r="U116" s="36">
        <f>INDEX(cenník!$C$2:$I$568,MATCH($L116,cenník!$B$2:$B$557,0),MATCH(U$2,cenník!$C$1:$I$1,0))*O116</f>
        <v>0</v>
      </c>
      <c r="V116" s="85"/>
      <c r="AC116" s="64"/>
      <c r="AD116" s="64"/>
      <c r="AE116" s="64"/>
      <c r="AF116" s="64"/>
      <c r="AG116" s="64" t="s">
        <v>103</v>
      </c>
      <c r="AH116" s="64">
        <v>4400</v>
      </c>
      <c r="AI116" s="64">
        <v>0</v>
      </c>
      <c r="AJ116" s="64">
        <f>AH116*AI116</f>
        <v>0</v>
      </c>
      <c r="AK116" s="64">
        <v>127.4</v>
      </c>
      <c r="AL116" s="64">
        <f>AI116*AK116</f>
        <v>0</v>
      </c>
      <c r="AM116" s="64">
        <f>AI116*6</f>
        <v>0</v>
      </c>
      <c r="AP116" s="64" t="s">
        <v>352</v>
      </c>
      <c r="AQ116" s="64" t="s">
        <v>292</v>
      </c>
      <c r="AR116" s="64" t="s">
        <v>295</v>
      </c>
      <c r="AS116" s="64" t="s">
        <v>293</v>
      </c>
      <c r="AT116" s="64" t="s">
        <v>293</v>
      </c>
      <c r="AV116" s="64" t="s">
        <v>352</v>
      </c>
      <c r="AW116" s="64" t="s">
        <v>292</v>
      </c>
      <c r="AX116" s="64" t="s">
        <v>84</v>
      </c>
      <c r="AY116" s="64" t="s">
        <v>84</v>
      </c>
      <c r="AZ116" s="64" t="s">
        <v>84</v>
      </c>
      <c r="BG116" s="64"/>
      <c r="BH116" s="64"/>
      <c r="BI116" s="64"/>
      <c r="BJ116" s="64"/>
      <c r="BK116" s="64"/>
      <c r="BL116" s="64"/>
      <c r="BM116" s="64"/>
      <c r="BN116" s="64"/>
      <c r="BO116" s="64"/>
      <c r="BP116" s="64"/>
      <c r="BQ116" s="64"/>
      <c r="BR116" s="64"/>
      <c r="BS116" s="64"/>
      <c r="BT116" s="64"/>
      <c r="BU116" s="64"/>
      <c r="BV116" s="64"/>
      <c r="BW116" s="64"/>
      <c r="BX116" s="64"/>
      <c r="BY116" s="64"/>
      <c r="BZ116" s="64"/>
      <c r="CA116" s="64"/>
      <c r="CB116" s="64"/>
      <c r="CC116" s="64"/>
      <c r="CD116" s="64"/>
      <c r="CE116" s="64"/>
      <c r="CF116" s="64"/>
      <c r="CG116" s="64"/>
      <c r="CH116" s="64"/>
      <c r="CI116" s="64"/>
      <c r="CJ116" s="64"/>
      <c r="CK116" s="64"/>
      <c r="CL116" s="64"/>
      <c r="CM116" s="64"/>
      <c r="CN116" s="64"/>
      <c r="CO116" s="64"/>
      <c r="CP116" s="64"/>
      <c r="CQ116" s="64"/>
      <c r="CR116" s="64"/>
      <c r="CS116" s="64"/>
      <c r="CT116" s="64"/>
      <c r="CU116" s="64"/>
      <c r="CV116" s="64"/>
      <c r="CW116" s="64"/>
      <c r="CX116" s="64"/>
      <c r="CY116" s="64"/>
      <c r="CZ116" s="64"/>
      <c r="DA116" s="64"/>
      <c r="DB116" s="64"/>
      <c r="DC116" s="64"/>
      <c r="DD116" s="64"/>
      <c r="DE116" s="64"/>
      <c r="DF116" s="64"/>
      <c r="DG116" s="64"/>
      <c r="DH116" s="64"/>
      <c r="DI116" s="64"/>
      <c r="DJ116" s="64"/>
      <c r="DK116" s="64"/>
      <c r="DL116" s="64"/>
      <c r="DM116" s="64"/>
      <c r="DN116" s="64"/>
      <c r="DO116" s="64"/>
      <c r="DP116" s="64"/>
      <c r="DQ116" s="80"/>
      <c r="DR116" s="80">
        <v>24</v>
      </c>
      <c r="DS116" s="80"/>
      <c r="DT116" s="64"/>
      <c r="DU116" s="64"/>
      <c r="DV116" s="64"/>
      <c r="DW116" s="64"/>
      <c r="DX116" s="64"/>
      <c r="DY116" s="64"/>
      <c r="DZ116" s="64"/>
      <c r="EA116" s="64"/>
      <c r="EB116" s="64"/>
      <c r="EC116" s="64"/>
      <c r="ED116" s="64"/>
      <c r="EE116" s="64"/>
      <c r="EF116" s="64"/>
      <c r="EG116" s="64"/>
      <c r="EH116" s="64"/>
      <c r="EI116" s="64"/>
      <c r="EJ116" s="69"/>
      <c r="GJ116" s="64"/>
      <c r="GK116" s="64"/>
      <c r="GL116" s="64"/>
      <c r="GM116" s="64"/>
      <c r="GN116" s="64"/>
      <c r="GO116" s="64"/>
      <c r="GP116" s="64"/>
      <c r="GQ116" s="64"/>
      <c r="GR116" s="64" t="s">
        <v>324</v>
      </c>
      <c r="GS116" s="64">
        <v>0</v>
      </c>
      <c r="GT116" s="64">
        <f t="shared" ref="GT116:HP116" si="293">GT89/4*6</f>
        <v>0</v>
      </c>
      <c r="GU116" s="64">
        <f t="shared" si="293"/>
        <v>0</v>
      </c>
      <c r="GV116" s="64">
        <f t="shared" si="293"/>
        <v>0</v>
      </c>
      <c r="GW116" s="64">
        <f t="shared" si="293"/>
        <v>6</v>
      </c>
      <c r="GX116" s="64">
        <f t="shared" si="293"/>
        <v>6</v>
      </c>
      <c r="GY116" s="64">
        <f t="shared" si="293"/>
        <v>12</v>
      </c>
      <c r="GZ116" s="64">
        <f t="shared" si="293"/>
        <v>12</v>
      </c>
      <c r="HA116" s="64">
        <f t="shared" si="293"/>
        <v>12</v>
      </c>
      <c r="HB116" s="64">
        <f t="shared" si="293"/>
        <v>18</v>
      </c>
      <c r="HC116" s="64">
        <f t="shared" si="293"/>
        <v>18</v>
      </c>
      <c r="HD116" s="64">
        <f t="shared" si="293"/>
        <v>18</v>
      </c>
      <c r="HE116" s="64">
        <f t="shared" si="293"/>
        <v>18</v>
      </c>
      <c r="HF116" s="64">
        <f t="shared" si="293"/>
        <v>24</v>
      </c>
      <c r="HG116" s="64">
        <f t="shared" si="293"/>
        <v>24</v>
      </c>
      <c r="HH116" s="64">
        <f t="shared" si="293"/>
        <v>24</v>
      </c>
      <c r="HI116" s="64">
        <f t="shared" si="293"/>
        <v>30</v>
      </c>
      <c r="HJ116" s="64">
        <f t="shared" si="293"/>
        <v>30</v>
      </c>
      <c r="HK116" s="64">
        <f t="shared" si="293"/>
        <v>30</v>
      </c>
      <c r="HL116" s="64">
        <f t="shared" si="293"/>
        <v>30</v>
      </c>
      <c r="HM116" s="64">
        <f t="shared" si="293"/>
        <v>36</v>
      </c>
      <c r="HN116" s="64">
        <f t="shared" si="293"/>
        <v>36</v>
      </c>
      <c r="HO116" s="64">
        <f t="shared" si="293"/>
        <v>36</v>
      </c>
      <c r="HP116" s="64">
        <f t="shared" si="293"/>
        <v>36</v>
      </c>
      <c r="HS116" s="68" t="s">
        <v>324</v>
      </c>
      <c r="HT116" s="68">
        <v>0</v>
      </c>
      <c r="HU116" s="64">
        <f t="shared" ref="HU116:IQ116" si="294">HU89/4*6</f>
        <v>0</v>
      </c>
      <c r="HV116" s="64">
        <f t="shared" si="294"/>
        <v>0</v>
      </c>
      <c r="HW116" s="64">
        <f t="shared" si="294"/>
        <v>6</v>
      </c>
      <c r="HX116" s="64">
        <f t="shared" si="294"/>
        <v>6</v>
      </c>
      <c r="HY116" s="64">
        <f t="shared" si="294"/>
        <v>12</v>
      </c>
      <c r="HZ116" s="64">
        <f t="shared" si="294"/>
        <v>12</v>
      </c>
      <c r="IA116" s="64">
        <f t="shared" si="294"/>
        <v>12</v>
      </c>
      <c r="IB116" s="64">
        <f t="shared" si="294"/>
        <v>18</v>
      </c>
      <c r="IC116" s="64">
        <f t="shared" si="294"/>
        <v>18</v>
      </c>
      <c r="ID116" s="64">
        <f t="shared" si="294"/>
        <v>18</v>
      </c>
      <c r="IE116" s="64">
        <f t="shared" si="294"/>
        <v>18</v>
      </c>
      <c r="IF116" s="64">
        <f t="shared" si="294"/>
        <v>24</v>
      </c>
      <c r="IG116" s="64">
        <f t="shared" si="294"/>
        <v>24</v>
      </c>
      <c r="IH116" s="64">
        <f t="shared" si="294"/>
        <v>24</v>
      </c>
      <c r="II116" s="64">
        <f t="shared" si="294"/>
        <v>30</v>
      </c>
      <c r="IJ116" s="64">
        <f t="shared" si="294"/>
        <v>30</v>
      </c>
      <c r="IK116" s="64">
        <f t="shared" si="294"/>
        <v>30</v>
      </c>
      <c r="IL116" s="64">
        <f t="shared" si="294"/>
        <v>36</v>
      </c>
      <c r="IM116" s="64">
        <f t="shared" si="294"/>
        <v>36</v>
      </c>
      <c r="IN116" s="64">
        <f t="shared" si="294"/>
        <v>36</v>
      </c>
      <c r="IO116" s="64">
        <f t="shared" si="294"/>
        <v>36</v>
      </c>
      <c r="IP116" s="64">
        <f t="shared" si="294"/>
        <v>42</v>
      </c>
      <c r="IQ116" s="64">
        <f t="shared" si="294"/>
        <v>42</v>
      </c>
      <c r="IR116" s="71"/>
    </row>
    <row r="117" spans="1:252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244</v>
      </c>
      <c r="M117" s="11">
        <f>INDEX(cenník!$C$2:$I$568,MATCH($L117,cenník!$B$2:$B$557,0),MATCH(M$2,cenník!$C$1:$I$1,0))</f>
        <v>166794</v>
      </c>
      <c r="N117" s="11" t="str">
        <f>INDEX(cenník!$C$2:$I$568,MATCH($L117,cenník!$B$2:$B$557,0),MATCH(N$2,cenník!$C$1:$I$1,0))</f>
        <v>100ks</v>
      </c>
      <c r="O117" s="11">
        <f>ROUNDUP(O116/100,0)</f>
        <v>0</v>
      </c>
      <c r="P117" s="36">
        <f>INDEX(cenník!$C$2:$I$568,MATCH($L117,cenník!$B$2:$B$557,0),MATCH(P$2,cenník!$C$1:$I$1,0))</f>
        <v>1.38</v>
      </c>
      <c r="Q117" s="36">
        <f t="shared" si="273"/>
        <v>0</v>
      </c>
      <c r="R117" s="37">
        <f t="shared" si="263"/>
        <v>0</v>
      </c>
      <c r="S117" s="36">
        <f t="shared" si="264"/>
        <v>1.38</v>
      </c>
      <c r="T117" s="36">
        <f t="shared" si="274"/>
        <v>0</v>
      </c>
      <c r="U117" s="36">
        <f>INDEX(cenník!$C$2:$I$568,MATCH($L117,cenník!$B$2:$B$557,0),MATCH(U$2,cenník!$C$1:$I$1,0))*O117</f>
        <v>0</v>
      </c>
      <c r="V117" s="85"/>
      <c r="AC117" s="64"/>
      <c r="AD117" s="64"/>
      <c r="AE117" s="64"/>
      <c r="AF117" s="64"/>
      <c r="AG117" s="64" t="s">
        <v>16</v>
      </c>
      <c r="AH117" s="64">
        <v>3300</v>
      </c>
      <c r="AI117" s="64">
        <v>1</v>
      </c>
      <c r="AJ117" s="64">
        <f>AH117*AI117</f>
        <v>3300</v>
      </c>
      <c r="AK117" s="64">
        <v>95.55</v>
      </c>
      <c r="AL117" s="64">
        <f>AI117*AK117</f>
        <v>95.55</v>
      </c>
      <c r="AM117" s="64">
        <f>AI117*6</f>
        <v>6</v>
      </c>
      <c r="AP117" s="64" t="s">
        <v>386</v>
      </c>
      <c r="AQ117" s="64" t="s">
        <v>292</v>
      </c>
      <c r="AR117" s="64" t="s">
        <v>295</v>
      </c>
      <c r="AS117" s="64" t="s">
        <v>293</v>
      </c>
      <c r="AT117" s="64" t="s">
        <v>293</v>
      </c>
      <c r="AV117" s="64" t="s">
        <v>386</v>
      </c>
      <c r="AW117" s="64" t="s">
        <v>292</v>
      </c>
      <c r="AX117" s="64" t="s">
        <v>84</v>
      </c>
      <c r="AY117" s="64" t="s">
        <v>84</v>
      </c>
      <c r="AZ117" s="64" t="s">
        <v>84</v>
      </c>
      <c r="BG117" s="64"/>
      <c r="BH117" s="64" t="s">
        <v>60</v>
      </c>
      <c r="BI117" s="64">
        <v>0</v>
      </c>
      <c r="BJ117" s="64">
        <v>9</v>
      </c>
      <c r="BK117" s="64">
        <v>12</v>
      </c>
      <c r="BL117" s="64">
        <v>15</v>
      </c>
      <c r="BM117" s="64">
        <v>18</v>
      </c>
      <c r="BN117" s="64">
        <v>21</v>
      </c>
      <c r="BO117" s="64">
        <v>24</v>
      </c>
      <c r="BP117" s="64">
        <v>27</v>
      </c>
      <c r="BQ117" s="64">
        <v>30</v>
      </c>
      <c r="BR117" s="64">
        <v>33</v>
      </c>
      <c r="BS117" s="64">
        <v>36</v>
      </c>
      <c r="BT117" s="64">
        <v>39</v>
      </c>
      <c r="BU117" s="64">
        <v>42</v>
      </c>
      <c r="BV117" s="64">
        <v>45</v>
      </c>
      <c r="BW117" s="64">
        <v>48</v>
      </c>
      <c r="BX117" s="64">
        <v>51</v>
      </c>
      <c r="BY117" s="64">
        <v>54</v>
      </c>
      <c r="BZ117" s="64">
        <v>57</v>
      </c>
      <c r="CA117" s="64">
        <v>60</v>
      </c>
      <c r="CB117" s="64">
        <v>63</v>
      </c>
      <c r="CC117" s="64">
        <v>66</v>
      </c>
      <c r="CD117" s="64">
        <v>69</v>
      </c>
      <c r="CE117" s="64">
        <v>72</v>
      </c>
      <c r="CF117" s="64">
        <v>75</v>
      </c>
      <c r="CG117" s="64"/>
      <c r="CH117" s="64"/>
      <c r="CI117" s="64"/>
      <c r="CJ117" s="64"/>
      <c r="CK117" s="64"/>
      <c r="CL117" s="64"/>
      <c r="CM117" s="64"/>
      <c r="CN117" s="64" t="s">
        <v>205</v>
      </c>
      <c r="CO117" s="64">
        <v>0</v>
      </c>
      <c r="CP117" s="64">
        <v>9</v>
      </c>
      <c r="CQ117" s="64">
        <v>12</v>
      </c>
      <c r="CR117" s="64">
        <v>15</v>
      </c>
      <c r="CS117" s="64">
        <v>18</v>
      </c>
      <c r="CT117" s="64">
        <v>21</v>
      </c>
      <c r="CU117" s="64">
        <v>24</v>
      </c>
      <c r="CV117" s="64">
        <v>27</v>
      </c>
      <c r="CW117" s="64">
        <v>30</v>
      </c>
      <c r="CX117" s="64">
        <v>33</v>
      </c>
      <c r="CY117" s="64">
        <v>36</v>
      </c>
      <c r="CZ117" s="64">
        <v>39</v>
      </c>
      <c r="DA117" s="64">
        <v>42</v>
      </c>
      <c r="DB117" s="64">
        <v>45</v>
      </c>
      <c r="DC117" s="64">
        <v>48</v>
      </c>
      <c r="DD117" s="64">
        <v>51</v>
      </c>
      <c r="DE117" s="64">
        <v>54</v>
      </c>
      <c r="DF117" s="64">
        <v>57</v>
      </c>
      <c r="DG117" s="64">
        <v>60</v>
      </c>
      <c r="DH117" s="64">
        <v>63</v>
      </c>
      <c r="DI117" s="64">
        <v>66</v>
      </c>
      <c r="DJ117" s="64">
        <v>69</v>
      </c>
      <c r="DK117" s="64">
        <v>72</v>
      </c>
      <c r="DL117" s="64">
        <v>75</v>
      </c>
      <c r="DM117" s="64"/>
      <c r="DN117" s="64"/>
      <c r="DO117" s="64"/>
      <c r="DP117" s="64"/>
      <c r="DQ117" s="80"/>
      <c r="DR117" s="80">
        <v>27</v>
      </c>
      <c r="DS117" s="80"/>
      <c r="DT117" s="64"/>
      <c r="DU117" s="64"/>
      <c r="DV117" s="64"/>
      <c r="DW117" s="64"/>
      <c r="DX117" s="64"/>
      <c r="DY117" s="64"/>
      <c r="DZ117" s="64"/>
      <c r="EA117" s="64"/>
      <c r="EB117" s="64"/>
      <c r="EC117" s="64"/>
      <c r="ED117" s="64"/>
      <c r="EE117" s="64"/>
      <c r="EF117" s="64"/>
      <c r="EG117" s="64"/>
      <c r="EH117" s="64"/>
      <c r="EI117" s="64"/>
      <c r="EJ117" s="69"/>
      <c r="EK117" s="64" t="s">
        <v>60</v>
      </c>
      <c r="EL117" s="64">
        <v>0</v>
      </c>
      <c r="EM117" s="64">
        <v>9</v>
      </c>
      <c r="EN117" s="64">
        <v>12</v>
      </c>
      <c r="EO117" s="64">
        <v>15</v>
      </c>
      <c r="EP117" s="64">
        <v>18</v>
      </c>
      <c r="EQ117" s="64">
        <v>21</v>
      </c>
      <c r="ER117" s="64">
        <v>24</v>
      </c>
      <c r="ES117" s="64">
        <v>27</v>
      </c>
      <c r="ET117" s="64">
        <v>30</v>
      </c>
      <c r="EU117" s="64">
        <v>33</v>
      </c>
      <c r="EV117" s="64">
        <v>36</v>
      </c>
      <c r="EW117" s="64">
        <v>39</v>
      </c>
      <c r="EX117" s="64">
        <v>42</v>
      </c>
      <c r="EY117" s="64">
        <v>45</v>
      </c>
      <c r="EZ117" s="64">
        <v>48</v>
      </c>
      <c r="FA117" s="64">
        <v>51</v>
      </c>
      <c r="FB117" s="64">
        <v>54</v>
      </c>
      <c r="FC117" s="64">
        <v>57</v>
      </c>
      <c r="FD117" s="64">
        <v>60</v>
      </c>
      <c r="FE117" s="64">
        <v>63</v>
      </c>
      <c r="FF117" s="64">
        <v>66</v>
      </c>
      <c r="FG117" s="64">
        <v>69</v>
      </c>
      <c r="FH117" s="64">
        <v>72</v>
      </c>
      <c r="FI117" s="64">
        <v>75</v>
      </c>
      <c r="FJ117" s="64"/>
      <c r="FK117" s="64" t="s">
        <v>205</v>
      </c>
      <c r="FL117" s="64">
        <v>0</v>
      </c>
      <c r="FM117" s="64">
        <v>9</v>
      </c>
      <c r="FN117" s="64">
        <v>12</v>
      </c>
      <c r="FO117" s="64">
        <v>15</v>
      </c>
      <c r="FP117" s="64">
        <v>18</v>
      </c>
      <c r="FQ117" s="64">
        <v>21</v>
      </c>
      <c r="FR117" s="64">
        <v>24</v>
      </c>
      <c r="FS117" s="64">
        <v>27</v>
      </c>
      <c r="FT117" s="64">
        <v>30</v>
      </c>
      <c r="FU117" s="64">
        <v>33</v>
      </c>
      <c r="FV117" s="64">
        <v>36</v>
      </c>
      <c r="FW117" s="64">
        <v>39</v>
      </c>
      <c r="FX117" s="64">
        <v>42</v>
      </c>
      <c r="FY117" s="64">
        <v>45</v>
      </c>
      <c r="FZ117" s="64">
        <v>48</v>
      </c>
      <c r="GA117" s="64">
        <v>51</v>
      </c>
      <c r="GB117" s="64">
        <v>54</v>
      </c>
      <c r="GC117" s="64">
        <v>57</v>
      </c>
      <c r="GD117" s="64">
        <v>60</v>
      </c>
      <c r="GE117" s="64">
        <v>63</v>
      </c>
      <c r="GF117" s="64">
        <v>66</v>
      </c>
      <c r="GG117" s="64">
        <v>69</v>
      </c>
      <c r="GH117" s="64">
        <v>72</v>
      </c>
      <c r="GI117" s="64">
        <v>75</v>
      </c>
      <c r="GJ117" s="64"/>
      <c r="GK117" s="64"/>
      <c r="GL117" s="64"/>
      <c r="GM117" s="64"/>
      <c r="GN117" s="64"/>
      <c r="GO117" s="64"/>
      <c r="GP117" s="64"/>
      <c r="GQ117" s="64"/>
      <c r="GR117" s="64"/>
      <c r="GS117" s="64"/>
      <c r="GT117" s="64"/>
      <c r="GU117" s="64"/>
      <c r="GV117" s="64"/>
      <c r="GW117" s="64"/>
      <c r="GX117" s="64"/>
      <c r="GY117" s="64"/>
      <c r="GZ117" s="64"/>
      <c r="HA117" s="64"/>
      <c r="HB117" s="64"/>
      <c r="HC117" s="64"/>
      <c r="HD117" s="64"/>
      <c r="HE117" s="64"/>
      <c r="HF117" s="64"/>
      <c r="HG117" s="64"/>
      <c r="HH117" s="64"/>
      <c r="IR117" s="71"/>
    </row>
    <row r="118" spans="1:252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243</v>
      </c>
      <c r="M118" s="11">
        <f>INDEX(cenník!$C$2:$I$568,MATCH($L118,cenník!$B$2:$B$557,0),MATCH(M$2,cenník!$C$1:$I$1,0))</f>
        <v>660245</v>
      </c>
      <c r="N118" s="11" t="str">
        <f>INDEX(cenník!$C$2:$I$568,MATCH($L118,cenník!$B$2:$B$557,0),MATCH(N$2,cenník!$C$1:$I$1,0))</f>
        <v>ks</v>
      </c>
      <c r="O118" s="11">
        <f>O116</f>
        <v>0</v>
      </c>
      <c r="P118" s="36">
        <f>INDEX(cenník!$C$2:$I$568,MATCH($L118,cenník!$B$2:$B$557,0),MATCH(P$2,cenník!$C$1:$I$1,0))</f>
        <v>0.55000000000000004</v>
      </c>
      <c r="Q118" s="36">
        <f t="shared" si="273"/>
        <v>0</v>
      </c>
      <c r="R118" s="37">
        <f t="shared" si="263"/>
        <v>0</v>
      </c>
      <c r="S118" s="36">
        <f t="shared" si="264"/>
        <v>0.55000000000000004</v>
      </c>
      <c r="T118" s="36">
        <f t="shared" si="274"/>
        <v>0</v>
      </c>
      <c r="U118" s="36">
        <f>INDEX(cenník!$C$2:$I$568,MATCH($L118,cenník!$B$2:$B$557,0),MATCH(U$2,cenník!$C$1:$I$1,0))*O118</f>
        <v>0</v>
      </c>
      <c r="V118" s="85"/>
      <c r="AC118" s="64"/>
      <c r="AD118" s="64"/>
      <c r="AE118" s="64"/>
      <c r="AF118" s="64"/>
      <c r="AG118" s="64"/>
      <c r="AH118" s="64" t="s">
        <v>125</v>
      </c>
      <c r="AI118" s="64">
        <f>IF(SUM(AI115:AI117)=0,0,IF(SUM(AI115:AI117)=1,0,IF(SUM(AI115:AI117)&gt;1,(SUM(AI115:AI117)-1),0)))</f>
        <v>4</v>
      </c>
      <c r="AJ118" s="64"/>
      <c r="AK118" s="64">
        <v>7.1</v>
      </c>
      <c r="AL118" s="64">
        <f>AI118*AK118</f>
        <v>28.4</v>
      </c>
      <c r="AM118" s="64">
        <f>AI118*6</f>
        <v>24</v>
      </c>
      <c r="AP118" s="64" t="s">
        <v>387</v>
      </c>
      <c r="AQ118" s="64" t="s">
        <v>292</v>
      </c>
      <c r="AR118" s="64" t="s">
        <v>295</v>
      </c>
      <c r="AS118" s="64" t="s">
        <v>293</v>
      </c>
      <c r="AT118" s="64" t="s">
        <v>293</v>
      </c>
      <c r="AV118" s="64" t="s">
        <v>387</v>
      </c>
      <c r="AW118" s="64" t="s">
        <v>292</v>
      </c>
      <c r="AX118" s="64" t="s">
        <v>84</v>
      </c>
      <c r="AY118" s="64" t="s">
        <v>84</v>
      </c>
      <c r="AZ118" s="64" t="s">
        <v>84</v>
      </c>
      <c r="BA118" s="64"/>
      <c r="BB118" s="64"/>
      <c r="BC118" s="64"/>
      <c r="BD118" s="64"/>
      <c r="BE118" s="64"/>
      <c r="BF118" s="64"/>
      <c r="BG118" s="64"/>
      <c r="BH118" s="64" t="s">
        <v>104</v>
      </c>
      <c r="BI118" s="64">
        <f>(BI91/2)*3</f>
        <v>0</v>
      </c>
      <c r="BJ118" s="64">
        <v>0</v>
      </c>
      <c r="BK118" s="64">
        <v>0</v>
      </c>
      <c r="BL118" s="64">
        <v>6</v>
      </c>
      <c r="BM118" s="64">
        <v>6</v>
      </c>
      <c r="BN118" s="64">
        <v>0</v>
      </c>
      <c r="BO118" s="64">
        <v>0</v>
      </c>
      <c r="BP118" s="64">
        <v>6</v>
      </c>
      <c r="BQ118" s="64">
        <v>6</v>
      </c>
      <c r="BR118" s="64">
        <v>0</v>
      </c>
      <c r="BS118" s="64">
        <v>12</v>
      </c>
      <c r="BT118" s="64">
        <v>6</v>
      </c>
      <c r="BU118" s="64">
        <v>6</v>
      </c>
      <c r="BV118" s="64">
        <v>12</v>
      </c>
      <c r="BW118" s="64">
        <v>12</v>
      </c>
      <c r="BX118" s="64">
        <v>6</v>
      </c>
      <c r="BY118" s="64">
        <v>18</v>
      </c>
      <c r="BZ118" s="64">
        <v>12</v>
      </c>
      <c r="CA118" s="64">
        <v>12</v>
      </c>
      <c r="CB118" s="64">
        <v>18</v>
      </c>
      <c r="CC118" s="64">
        <v>18</v>
      </c>
      <c r="CD118" s="64">
        <v>12</v>
      </c>
      <c r="CE118" s="64">
        <v>24</v>
      </c>
      <c r="CF118" s="64">
        <v>18</v>
      </c>
      <c r="CG118" s="64"/>
      <c r="CH118" s="64"/>
      <c r="CI118" s="64"/>
      <c r="CJ118" s="64"/>
      <c r="CK118" s="64"/>
      <c r="CL118" s="64"/>
      <c r="CM118" s="64"/>
      <c r="CN118" s="64" t="s">
        <v>104</v>
      </c>
      <c r="CO118" s="64">
        <v>0</v>
      </c>
      <c r="CP118" s="64">
        <f>IF(CP91=0,0,IF(CP91&gt;0,(CP91/4)*6,0))</f>
        <v>0</v>
      </c>
      <c r="CQ118" s="64">
        <f t="shared" ref="CQ118:DL118" si="295">IF(CQ91=0,0,IF(CQ91&gt;0,(CQ91/4)*6,0))</f>
        <v>6</v>
      </c>
      <c r="CR118" s="64">
        <f t="shared" si="295"/>
        <v>6</v>
      </c>
      <c r="CS118" s="64">
        <f t="shared" si="295"/>
        <v>0</v>
      </c>
      <c r="CT118" s="64">
        <f t="shared" si="295"/>
        <v>0</v>
      </c>
      <c r="CU118" s="64">
        <f t="shared" si="295"/>
        <v>6</v>
      </c>
      <c r="CV118" s="64">
        <f t="shared" si="295"/>
        <v>6</v>
      </c>
      <c r="CW118" s="64">
        <f t="shared" si="295"/>
        <v>0</v>
      </c>
      <c r="CX118" s="64">
        <f t="shared" si="295"/>
        <v>12</v>
      </c>
      <c r="CY118" s="64">
        <f t="shared" si="295"/>
        <v>6</v>
      </c>
      <c r="CZ118" s="64">
        <v>12</v>
      </c>
      <c r="DA118" s="64">
        <f t="shared" si="295"/>
        <v>12</v>
      </c>
      <c r="DB118" s="64">
        <f t="shared" si="295"/>
        <v>6</v>
      </c>
      <c r="DC118" s="64">
        <f t="shared" si="295"/>
        <v>18</v>
      </c>
      <c r="DD118" s="64">
        <f t="shared" si="295"/>
        <v>12</v>
      </c>
      <c r="DE118" s="64">
        <f t="shared" si="295"/>
        <v>12</v>
      </c>
      <c r="DF118" s="64">
        <f t="shared" si="295"/>
        <v>18</v>
      </c>
      <c r="DG118" s="64">
        <f t="shared" si="295"/>
        <v>18</v>
      </c>
      <c r="DH118" s="64">
        <f t="shared" si="295"/>
        <v>12</v>
      </c>
      <c r="DI118" s="64">
        <f t="shared" si="295"/>
        <v>24</v>
      </c>
      <c r="DJ118" s="64">
        <f t="shared" si="295"/>
        <v>18</v>
      </c>
      <c r="DK118" s="64">
        <f t="shared" si="295"/>
        <v>18</v>
      </c>
      <c r="DL118" s="64">
        <f t="shared" si="295"/>
        <v>24</v>
      </c>
      <c r="DM118" s="64"/>
      <c r="DN118" s="64"/>
      <c r="DO118" s="64"/>
      <c r="DP118" s="64"/>
      <c r="DQ118" s="80"/>
      <c r="DR118" s="80">
        <v>30</v>
      </c>
      <c r="DS118" s="80"/>
      <c r="DT118" s="64"/>
      <c r="DU118" s="64"/>
      <c r="DV118" s="64"/>
      <c r="DW118" s="64"/>
      <c r="DX118" s="64"/>
      <c r="DY118" s="64"/>
      <c r="DZ118" s="64"/>
      <c r="EA118" s="64"/>
      <c r="EB118" s="64"/>
      <c r="EC118" s="64"/>
      <c r="ED118" s="64"/>
      <c r="EE118" s="64"/>
      <c r="EF118" s="64"/>
      <c r="EG118" s="64"/>
      <c r="EH118" s="64"/>
      <c r="EI118" s="64"/>
      <c r="EJ118" s="69"/>
      <c r="EK118" s="68" t="s">
        <v>286</v>
      </c>
      <c r="EL118" s="64">
        <v>0</v>
      </c>
      <c r="EM118" s="64">
        <f>EM93/4*6</f>
        <v>0</v>
      </c>
      <c r="EN118" s="64">
        <f t="shared" ref="EN118:FI118" si="296">EN93/4*6</f>
        <v>0</v>
      </c>
      <c r="EO118" s="64">
        <f t="shared" si="296"/>
        <v>6</v>
      </c>
      <c r="EP118" s="64">
        <f t="shared" si="296"/>
        <v>0</v>
      </c>
      <c r="EQ118" s="64">
        <f t="shared" si="296"/>
        <v>0</v>
      </c>
      <c r="ER118" s="64">
        <f t="shared" si="296"/>
        <v>0</v>
      </c>
      <c r="ES118" s="64">
        <f t="shared" si="296"/>
        <v>0</v>
      </c>
      <c r="ET118" s="64">
        <f t="shared" si="296"/>
        <v>0</v>
      </c>
      <c r="EU118" s="64">
        <f t="shared" si="296"/>
        <v>0</v>
      </c>
      <c r="EV118" s="64">
        <f t="shared" si="296"/>
        <v>0</v>
      </c>
      <c r="EW118" s="64">
        <f t="shared" si="296"/>
        <v>0</v>
      </c>
      <c r="EX118" s="64">
        <f t="shared" si="296"/>
        <v>0</v>
      </c>
      <c r="EY118" s="64">
        <f t="shared" si="296"/>
        <v>0</v>
      </c>
      <c r="EZ118" s="64">
        <f t="shared" si="296"/>
        <v>0</v>
      </c>
      <c r="FA118" s="64">
        <f t="shared" si="296"/>
        <v>0</v>
      </c>
      <c r="FB118" s="64">
        <f t="shared" si="296"/>
        <v>0</v>
      </c>
      <c r="FC118" s="64">
        <f t="shared" si="296"/>
        <v>0</v>
      </c>
      <c r="FD118" s="64">
        <f t="shared" si="296"/>
        <v>0</v>
      </c>
      <c r="FE118" s="64">
        <f t="shared" si="296"/>
        <v>0</v>
      </c>
      <c r="FF118" s="64">
        <f t="shared" si="296"/>
        <v>0</v>
      </c>
      <c r="FG118" s="64">
        <f t="shared" si="296"/>
        <v>0</v>
      </c>
      <c r="FH118" s="64">
        <f t="shared" si="296"/>
        <v>0</v>
      </c>
      <c r="FI118" s="64">
        <f t="shared" si="296"/>
        <v>0</v>
      </c>
      <c r="FK118" s="68" t="s">
        <v>286</v>
      </c>
      <c r="FL118" s="64">
        <v>0</v>
      </c>
      <c r="FM118" s="64">
        <f>FM93/4*6</f>
        <v>0</v>
      </c>
      <c r="FN118" s="64">
        <f t="shared" ref="FN118:GI118" si="297">FN93/4*6</f>
        <v>6</v>
      </c>
      <c r="FO118" s="64">
        <f t="shared" si="297"/>
        <v>6</v>
      </c>
      <c r="FP118" s="64">
        <f t="shared" si="297"/>
        <v>0</v>
      </c>
      <c r="FQ118" s="64">
        <f t="shared" si="297"/>
        <v>0</v>
      </c>
      <c r="FR118" s="64">
        <f t="shared" si="297"/>
        <v>0</v>
      </c>
      <c r="FS118" s="64">
        <f t="shared" si="297"/>
        <v>0</v>
      </c>
      <c r="FT118" s="64">
        <f t="shared" si="297"/>
        <v>0</v>
      </c>
      <c r="FU118" s="64">
        <f t="shared" si="297"/>
        <v>0</v>
      </c>
      <c r="FV118" s="64">
        <f t="shared" si="297"/>
        <v>0</v>
      </c>
      <c r="FW118" s="64">
        <f t="shared" si="297"/>
        <v>0</v>
      </c>
      <c r="FX118" s="64">
        <f t="shared" si="297"/>
        <v>0</v>
      </c>
      <c r="FY118" s="64">
        <f t="shared" si="297"/>
        <v>0</v>
      </c>
      <c r="FZ118" s="64">
        <f t="shared" si="297"/>
        <v>0</v>
      </c>
      <c r="GA118" s="64">
        <f t="shared" si="297"/>
        <v>0</v>
      </c>
      <c r="GB118" s="64">
        <f t="shared" si="297"/>
        <v>0</v>
      </c>
      <c r="GC118" s="64">
        <f t="shared" si="297"/>
        <v>0</v>
      </c>
      <c r="GD118" s="64">
        <f t="shared" si="297"/>
        <v>0</v>
      </c>
      <c r="GE118" s="64">
        <f t="shared" si="297"/>
        <v>0</v>
      </c>
      <c r="GF118" s="64">
        <f t="shared" si="297"/>
        <v>0</v>
      </c>
      <c r="GG118" s="64">
        <f t="shared" si="297"/>
        <v>0</v>
      </c>
      <c r="GH118" s="64">
        <f t="shared" si="297"/>
        <v>0</v>
      </c>
      <c r="GI118" s="64">
        <f t="shared" si="297"/>
        <v>0</v>
      </c>
      <c r="GJ118" s="64"/>
      <c r="GK118" s="64"/>
      <c r="GL118" s="64"/>
      <c r="GM118" s="64"/>
      <c r="GN118" s="64"/>
      <c r="GO118" s="64"/>
      <c r="GP118" s="64"/>
      <c r="GQ118" s="64"/>
      <c r="GR118" s="64" t="s">
        <v>330</v>
      </c>
      <c r="GS118" s="64">
        <v>0</v>
      </c>
      <c r="GT118" s="64">
        <v>9</v>
      </c>
      <c r="GU118" s="64">
        <v>12</v>
      </c>
      <c r="GV118" s="64">
        <v>15</v>
      </c>
      <c r="GW118" s="64">
        <v>18</v>
      </c>
      <c r="GX118" s="64">
        <v>21</v>
      </c>
      <c r="GY118" s="64">
        <v>24</v>
      </c>
      <c r="GZ118" s="64">
        <v>27</v>
      </c>
      <c r="HA118" s="64">
        <v>30</v>
      </c>
      <c r="HB118" s="64">
        <v>33</v>
      </c>
      <c r="HC118" s="64">
        <v>36</v>
      </c>
      <c r="HD118" s="64">
        <v>39</v>
      </c>
      <c r="HE118" s="64">
        <v>42</v>
      </c>
      <c r="HF118" s="64">
        <v>45</v>
      </c>
      <c r="HG118" s="64">
        <v>48</v>
      </c>
      <c r="HH118" s="64">
        <v>51</v>
      </c>
      <c r="HI118" s="68">
        <v>54</v>
      </c>
      <c r="HJ118" s="68">
        <v>57</v>
      </c>
      <c r="HK118" s="68">
        <v>60</v>
      </c>
      <c r="HL118" s="68">
        <v>63</v>
      </c>
      <c r="HM118" s="68">
        <v>66</v>
      </c>
      <c r="HN118" s="68">
        <v>69</v>
      </c>
      <c r="HO118" s="68">
        <v>72</v>
      </c>
      <c r="HP118" s="68">
        <v>75</v>
      </c>
      <c r="HS118" s="68" t="s">
        <v>350</v>
      </c>
      <c r="HT118" s="68">
        <v>0</v>
      </c>
      <c r="HU118" s="68">
        <v>9</v>
      </c>
      <c r="HV118" s="68">
        <v>12</v>
      </c>
      <c r="HW118" s="68">
        <v>15</v>
      </c>
      <c r="HX118" s="68">
        <v>18</v>
      </c>
      <c r="HY118" s="68">
        <v>21</v>
      </c>
      <c r="HZ118" s="68">
        <v>24</v>
      </c>
      <c r="IA118" s="68">
        <v>27</v>
      </c>
      <c r="IB118" s="68">
        <v>30</v>
      </c>
      <c r="IC118" s="68">
        <v>33</v>
      </c>
      <c r="ID118" s="68">
        <v>36</v>
      </c>
      <c r="IE118" s="68">
        <v>39</v>
      </c>
      <c r="IF118" s="68">
        <v>42</v>
      </c>
      <c r="IG118" s="68">
        <v>45</v>
      </c>
      <c r="IH118" s="68">
        <v>48</v>
      </c>
      <c r="II118" s="68">
        <v>51</v>
      </c>
      <c r="IJ118" s="68">
        <v>54</v>
      </c>
      <c r="IK118" s="68">
        <v>57</v>
      </c>
      <c r="IL118" s="68">
        <v>60</v>
      </c>
      <c r="IM118" s="68">
        <v>63</v>
      </c>
      <c r="IN118" s="68">
        <v>66</v>
      </c>
      <c r="IO118" s="68">
        <v>69</v>
      </c>
      <c r="IP118" s="68">
        <v>72</v>
      </c>
      <c r="IQ118" s="68">
        <v>75</v>
      </c>
      <c r="IR118" s="71"/>
    </row>
    <row r="119" spans="1:252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371</v>
      </c>
      <c r="M119" s="11">
        <f>INDEX(cenník!$C$2:$I$568,MATCH($L119,cenník!$B$2:$B$557,0),MATCH(M$2,cenník!$C$1:$I$1,0))</f>
        <v>6510443</v>
      </c>
      <c r="N119" s="11" t="str">
        <f>INDEX(cenník!$C$2:$I$568,MATCH($L119,cenník!$B$2:$B$557,0),MATCH(N$2,cenník!$C$1:$I$1,0))</f>
        <v>100ks</v>
      </c>
      <c r="O119" s="11">
        <f>O120</f>
        <v>0</v>
      </c>
      <c r="P119" s="36">
        <f>INDEX(cenník!$C$2:$I$568,MATCH($L119,cenník!$B$2:$B$557,0),MATCH(P$2,cenník!$C$1:$I$1,0))</f>
        <v>15.05</v>
      </c>
      <c r="Q119" s="36">
        <f t="shared" ref="Q119" si="298">O119*P119</f>
        <v>0</v>
      </c>
      <c r="R119" s="37">
        <f t="shared" si="263"/>
        <v>0</v>
      </c>
      <c r="S119" s="36">
        <f t="shared" si="264"/>
        <v>15.05</v>
      </c>
      <c r="T119" s="36">
        <f t="shared" ref="T119" si="299">O119*S119</f>
        <v>0</v>
      </c>
      <c r="U119" s="36">
        <f>INDEX(cenník!$C$2:$I$568,MATCH($L119,cenník!$B$2:$B$557,0),MATCH(U$2,cenník!$C$1:$I$1,0))*O119</f>
        <v>0</v>
      </c>
      <c r="V119" s="85"/>
      <c r="AC119" s="64"/>
      <c r="AD119" s="64"/>
      <c r="AE119" s="64"/>
      <c r="AF119" s="64"/>
      <c r="AG119" s="64"/>
      <c r="AH119" s="64"/>
      <c r="AI119" s="64"/>
      <c r="AJ119" s="64">
        <f>SUM(AJ115:AJ117)</f>
        <v>29700</v>
      </c>
      <c r="AK119" s="64"/>
      <c r="AL119" s="64">
        <f>SUM(AL115:AL118)</f>
        <v>888.34999999999991</v>
      </c>
      <c r="AM119" s="64"/>
      <c r="AX119" s="64"/>
      <c r="AY119" s="64"/>
      <c r="AZ119" s="64"/>
      <c r="BA119" s="64"/>
      <c r="BB119" s="64"/>
      <c r="BC119" s="64"/>
      <c r="BD119" s="64"/>
      <c r="BE119" s="64"/>
      <c r="BF119" s="64"/>
      <c r="BG119" s="64"/>
      <c r="BH119" s="64" t="s">
        <v>103</v>
      </c>
      <c r="BI119" s="64">
        <f>(BI92/2)*3</f>
        <v>0</v>
      </c>
      <c r="BJ119" s="64">
        <v>0</v>
      </c>
      <c r="BK119" s="64">
        <v>6</v>
      </c>
      <c r="BL119" s="64">
        <v>0</v>
      </c>
      <c r="BM119" s="64">
        <v>0</v>
      </c>
      <c r="BN119" s="64">
        <v>6</v>
      </c>
      <c r="BO119" s="64">
        <v>12</v>
      </c>
      <c r="BP119" s="64">
        <v>0</v>
      </c>
      <c r="BQ119" s="64">
        <v>6</v>
      </c>
      <c r="BR119" s="64">
        <v>12</v>
      </c>
      <c r="BS119" s="64">
        <v>0</v>
      </c>
      <c r="BT119" s="64">
        <v>6</v>
      </c>
      <c r="BU119" s="64">
        <v>12</v>
      </c>
      <c r="BV119" s="64">
        <v>0</v>
      </c>
      <c r="BW119" s="64">
        <v>6</v>
      </c>
      <c r="BX119" s="64">
        <v>12</v>
      </c>
      <c r="BY119" s="64">
        <v>0</v>
      </c>
      <c r="BZ119" s="64">
        <v>6</v>
      </c>
      <c r="CA119" s="64">
        <v>12</v>
      </c>
      <c r="CB119" s="64">
        <v>0</v>
      </c>
      <c r="CC119" s="64">
        <v>6</v>
      </c>
      <c r="CD119" s="64">
        <v>12</v>
      </c>
      <c r="CE119" s="64">
        <v>0</v>
      </c>
      <c r="CF119" s="64">
        <v>6</v>
      </c>
      <c r="CG119" s="64"/>
      <c r="CH119" s="64"/>
      <c r="CI119" s="64"/>
      <c r="CJ119" s="64"/>
      <c r="CK119" s="64"/>
      <c r="CL119" s="64"/>
      <c r="CM119" s="64"/>
      <c r="CN119" s="64" t="s">
        <v>103</v>
      </c>
      <c r="CO119" s="64">
        <v>0</v>
      </c>
      <c r="CP119" s="64">
        <f t="shared" ref="CP119:DL121" si="300">IF(CP92=0,0,IF(CP92&gt;0,(CP92/4)*6,0))</f>
        <v>6</v>
      </c>
      <c r="CQ119" s="64">
        <f t="shared" si="300"/>
        <v>0</v>
      </c>
      <c r="CR119" s="64">
        <f t="shared" si="300"/>
        <v>0</v>
      </c>
      <c r="CS119" s="64">
        <f t="shared" si="300"/>
        <v>6</v>
      </c>
      <c r="CT119" s="64">
        <f t="shared" si="300"/>
        <v>12</v>
      </c>
      <c r="CU119" s="64">
        <f t="shared" si="300"/>
        <v>0</v>
      </c>
      <c r="CV119" s="64">
        <f t="shared" si="300"/>
        <v>6</v>
      </c>
      <c r="CW119" s="64">
        <f t="shared" si="300"/>
        <v>12</v>
      </c>
      <c r="CX119" s="64">
        <f t="shared" si="300"/>
        <v>0</v>
      </c>
      <c r="CY119" s="64">
        <f t="shared" si="300"/>
        <v>6</v>
      </c>
      <c r="CZ119" s="64">
        <v>0</v>
      </c>
      <c r="DA119" s="64">
        <f t="shared" si="300"/>
        <v>0</v>
      </c>
      <c r="DB119" s="64">
        <f t="shared" si="300"/>
        <v>12</v>
      </c>
      <c r="DC119" s="64">
        <f t="shared" si="300"/>
        <v>0</v>
      </c>
      <c r="DD119" s="64">
        <f t="shared" si="300"/>
        <v>6</v>
      </c>
      <c r="DE119" s="64">
        <f t="shared" si="300"/>
        <v>12</v>
      </c>
      <c r="DF119" s="64">
        <f t="shared" si="300"/>
        <v>0</v>
      </c>
      <c r="DG119" s="64">
        <f t="shared" si="300"/>
        <v>6</v>
      </c>
      <c r="DH119" s="64">
        <f t="shared" si="300"/>
        <v>12</v>
      </c>
      <c r="DI119" s="64">
        <f t="shared" si="300"/>
        <v>0</v>
      </c>
      <c r="DJ119" s="64">
        <f t="shared" si="300"/>
        <v>6</v>
      </c>
      <c r="DK119" s="64">
        <f t="shared" si="300"/>
        <v>12</v>
      </c>
      <c r="DL119" s="64">
        <f t="shared" si="300"/>
        <v>0</v>
      </c>
      <c r="DM119" s="64"/>
      <c r="DN119" s="64"/>
      <c r="DO119" s="64"/>
      <c r="DP119" s="64"/>
      <c r="DQ119" s="80"/>
      <c r="DR119" s="80">
        <v>33</v>
      </c>
      <c r="DS119" s="80"/>
      <c r="DT119" s="64"/>
      <c r="DU119" s="64"/>
      <c r="DV119" s="64"/>
      <c r="DW119" s="64"/>
      <c r="DX119" s="64"/>
      <c r="DY119" s="64"/>
      <c r="DZ119" s="64"/>
      <c r="EA119" s="64"/>
      <c r="EB119" s="64"/>
      <c r="EC119" s="64"/>
      <c r="ED119" s="64"/>
      <c r="EE119" s="64"/>
      <c r="EF119" s="64"/>
      <c r="EG119" s="64"/>
      <c r="EH119" s="64"/>
      <c r="EI119" s="64"/>
      <c r="EJ119" s="69"/>
      <c r="EK119" s="64" t="s">
        <v>240</v>
      </c>
      <c r="EL119" s="64">
        <v>0</v>
      </c>
      <c r="EM119" s="64">
        <f>EM94/4*6</f>
        <v>0</v>
      </c>
      <c r="EN119" s="64">
        <f t="shared" ref="EN119:FI119" si="301">EN94/4*6</f>
        <v>6</v>
      </c>
      <c r="EO119" s="64">
        <f t="shared" si="301"/>
        <v>0</v>
      </c>
      <c r="EP119" s="64">
        <f t="shared" si="301"/>
        <v>0</v>
      </c>
      <c r="EQ119" s="64">
        <f t="shared" si="301"/>
        <v>6</v>
      </c>
      <c r="ER119" s="64">
        <f t="shared" si="301"/>
        <v>0</v>
      </c>
      <c r="ES119" s="64">
        <f t="shared" si="301"/>
        <v>0</v>
      </c>
      <c r="ET119" s="64">
        <f t="shared" si="301"/>
        <v>6</v>
      </c>
      <c r="EU119" s="64">
        <f t="shared" si="301"/>
        <v>12</v>
      </c>
      <c r="EV119" s="64">
        <f t="shared" si="301"/>
        <v>0</v>
      </c>
      <c r="EW119" s="64">
        <f t="shared" si="301"/>
        <v>6</v>
      </c>
      <c r="EX119" s="64">
        <f t="shared" si="301"/>
        <v>12</v>
      </c>
      <c r="EY119" s="64">
        <f t="shared" si="301"/>
        <v>0</v>
      </c>
      <c r="EZ119" s="64">
        <f t="shared" si="301"/>
        <v>6</v>
      </c>
      <c r="FA119" s="64">
        <f t="shared" si="301"/>
        <v>12</v>
      </c>
      <c r="FB119" s="64">
        <f t="shared" si="301"/>
        <v>0</v>
      </c>
      <c r="FC119" s="64">
        <f t="shared" si="301"/>
        <v>6</v>
      </c>
      <c r="FD119" s="64">
        <f t="shared" si="301"/>
        <v>12</v>
      </c>
      <c r="FE119" s="64">
        <f t="shared" si="301"/>
        <v>0</v>
      </c>
      <c r="FF119" s="64">
        <f t="shared" si="301"/>
        <v>6</v>
      </c>
      <c r="FG119" s="64">
        <f t="shared" si="301"/>
        <v>12</v>
      </c>
      <c r="FH119" s="64">
        <f t="shared" si="301"/>
        <v>0</v>
      </c>
      <c r="FI119" s="64">
        <f t="shared" si="301"/>
        <v>6</v>
      </c>
      <c r="FJ119" s="64"/>
      <c r="FK119" s="64" t="s">
        <v>240</v>
      </c>
      <c r="FL119" s="64">
        <v>0</v>
      </c>
      <c r="FM119" s="64">
        <f>FM94/4*6</f>
        <v>6</v>
      </c>
      <c r="FN119" s="64">
        <f t="shared" ref="FN119:GI119" si="302">FN94/4*6</f>
        <v>0</v>
      </c>
      <c r="FO119" s="64">
        <f t="shared" si="302"/>
        <v>0</v>
      </c>
      <c r="FP119" s="64">
        <f t="shared" si="302"/>
        <v>6</v>
      </c>
      <c r="FQ119" s="64">
        <f t="shared" si="302"/>
        <v>12</v>
      </c>
      <c r="FR119" s="64">
        <f t="shared" si="302"/>
        <v>0</v>
      </c>
      <c r="FS119" s="64">
        <f t="shared" si="302"/>
        <v>6</v>
      </c>
      <c r="FT119" s="64">
        <f t="shared" si="302"/>
        <v>12</v>
      </c>
      <c r="FU119" s="64">
        <f t="shared" si="302"/>
        <v>0</v>
      </c>
      <c r="FV119" s="64">
        <f t="shared" si="302"/>
        <v>6</v>
      </c>
      <c r="FW119" s="64">
        <f t="shared" si="302"/>
        <v>12</v>
      </c>
      <c r="FX119" s="64">
        <f t="shared" si="302"/>
        <v>0</v>
      </c>
      <c r="FY119" s="64">
        <f t="shared" si="302"/>
        <v>12</v>
      </c>
      <c r="FZ119" s="64">
        <f t="shared" si="302"/>
        <v>0</v>
      </c>
      <c r="GA119" s="64">
        <f t="shared" si="302"/>
        <v>6</v>
      </c>
      <c r="GB119" s="64">
        <f t="shared" si="302"/>
        <v>12</v>
      </c>
      <c r="GC119" s="64">
        <f t="shared" si="302"/>
        <v>0</v>
      </c>
      <c r="GD119" s="64">
        <f t="shared" si="302"/>
        <v>6</v>
      </c>
      <c r="GE119" s="64">
        <f t="shared" si="302"/>
        <v>12</v>
      </c>
      <c r="GF119" s="64">
        <f t="shared" si="302"/>
        <v>0</v>
      </c>
      <c r="GG119" s="64">
        <f t="shared" si="302"/>
        <v>6</v>
      </c>
      <c r="GH119" s="64">
        <f t="shared" si="302"/>
        <v>12</v>
      </c>
      <c r="GI119" s="64">
        <f t="shared" si="302"/>
        <v>0</v>
      </c>
      <c r="GJ119" s="64"/>
      <c r="GK119" s="64"/>
      <c r="GL119" s="64"/>
      <c r="GM119" s="64"/>
      <c r="GN119" s="64"/>
      <c r="GO119" s="64"/>
      <c r="GP119" s="64"/>
      <c r="GQ119" s="64"/>
      <c r="GR119" s="64" t="s">
        <v>286</v>
      </c>
      <c r="GS119" s="64">
        <v>0</v>
      </c>
      <c r="GT119" s="64">
        <f>GT92/4*6</f>
        <v>0</v>
      </c>
      <c r="GU119" s="64">
        <f t="shared" ref="GU119:HP119" si="303">GU92/4*6</f>
        <v>6</v>
      </c>
      <c r="GV119" s="64">
        <f t="shared" si="303"/>
        <v>6</v>
      </c>
      <c r="GW119" s="64">
        <f t="shared" si="303"/>
        <v>0</v>
      </c>
      <c r="GX119" s="64">
        <f t="shared" si="303"/>
        <v>0</v>
      </c>
      <c r="GY119" s="64">
        <f t="shared" si="303"/>
        <v>0</v>
      </c>
      <c r="GZ119" s="64">
        <f t="shared" si="303"/>
        <v>0</v>
      </c>
      <c r="HA119" s="64">
        <f t="shared" si="303"/>
        <v>0</v>
      </c>
      <c r="HB119" s="64">
        <f t="shared" si="303"/>
        <v>0</v>
      </c>
      <c r="HC119" s="64">
        <f t="shared" si="303"/>
        <v>0</v>
      </c>
      <c r="HD119" s="64">
        <f t="shared" si="303"/>
        <v>0</v>
      </c>
      <c r="HE119" s="64">
        <f t="shared" si="303"/>
        <v>0</v>
      </c>
      <c r="HF119" s="64">
        <f t="shared" si="303"/>
        <v>0</v>
      </c>
      <c r="HG119" s="64">
        <f t="shared" si="303"/>
        <v>0</v>
      </c>
      <c r="HH119" s="64">
        <f t="shared" si="303"/>
        <v>0</v>
      </c>
      <c r="HI119" s="64">
        <f t="shared" si="303"/>
        <v>0</v>
      </c>
      <c r="HJ119" s="64">
        <f t="shared" si="303"/>
        <v>0</v>
      </c>
      <c r="HK119" s="64">
        <f t="shared" si="303"/>
        <v>0</v>
      </c>
      <c r="HL119" s="64">
        <f t="shared" si="303"/>
        <v>0</v>
      </c>
      <c r="HM119" s="64">
        <f t="shared" si="303"/>
        <v>0</v>
      </c>
      <c r="HN119" s="64">
        <f t="shared" si="303"/>
        <v>0</v>
      </c>
      <c r="HO119" s="64">
        <f t="shared" si="303"/>
        <v>0</v>
      </c>
      <c r="HP119" s="64">
        <f t="shared" si="303"/>
        <v>0</v>
      </c>
      <c r="HS119" s="68" t="s">
        <v>286</v>
      </c>
      <c r="HT119" s="68">
        <v>0</v>
      </c>
      <c r="HU119" s="64">
        <f>HU92/4*6</f>
        <v>0</v>
      </c>
      <c r="HV119" s="64">
        <f t="shared" ref="HV119:IQ119" si="304">HV92/4*6</f>
        <v>6</v>
      </c>
      <c r="HW119" s="64">
        <f t="shared" si="304"/>
        <v>0</v>
      </c>
      <c r="HX119" s="64">
        <f t="shared" si="304"/>
        <v>0</v>
      </c>
      <c r="HY119" s="64">
        <f t="shared" si="304"/>
        <v>0</v>
      </c>
      <c r="HZ119" s="64">
        <f t="shared" si="304"/>
        <v>0</v>
      </c>
      <c r="IA119" s="64">
        <f t="shared" si="304"/>
        <v>0</v>
      </c>
      <c r="IB119" s="64">
        <f t="shared" si="304"/>
        <v>0</v>
      </c>
      <c r="IC119" s="64">
        <f t="shared" si="304"/>
        <v>0</v>
      </c>
      <c r="ID119" s="64">
        <f t="shared" si="304"/>
        <v>0</v>
      </c>
      <c r="IE119" s="64">
        <f t="shared" si="304"/>
        <v>0</v>
      </c>
      <c r="IF119" s="64">
        <f t="shared" si="304"/>
        <v>0</v>
      </c>
      <c r="IG119" s="64">
        <f t="shared" si="304"/>
        <v>0</v>
      </c>
      <c r="IH119" s="64">
        <f t="shared" si="304"/>
        <v>0</v>
      </c>
      <c r="II119" s="64">
        <f t="shared" si="304"/>
        <v>0</v>
      </c>
      <c r="IJ119" s="64">
        <f t="shared" si="304"/>
        <v>0</v>
      </c>
      <c r="IK119" s="64">
        <f t="shared" si="304"/>
        <v>0</v>
      </c>
      <c r="IL119" s="64">
        <f t="shared" si="304"/>
        <v>0</v>
      </c>
      <c r="IM119" s="64">
        <f t="shared" si="304"/>
        <v>0</v>
      </c>
      <c r="IN119" s="64">
        <f t="shared" si="304"/>
        <v>0</v>
      </c>
      <c r="IO119" s="64">
        <f t="shared" si="304"/>
        <v>0</v>
      </c>
      <c r="IP119" s="64">
        <f t="shared" si="304"/>
        <v>0</v>
      </c>
      <c r="IQ119" s="64">
        <f t="shared" si="304"/>
        <v>0</v>
      </c>
      <c r="IR119" s="71"/>
    </row>
    <row r="120" spans="1:252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150</v>
      </c>
      <c r="M120" s="11">
        <f>INDEX(cenník!$C$2:$I$568,MATCH($L120,cenník!$B$2:$B$557,0),MATCH(M$2,cenník!$C$1:$I$1,0))</f>
        <v>651643</v>
      </c>
      <c r="N120" s="11" t="str">
        <f>INDEX(cenník!$C$2:$I$568,MATCH($L120,cenník!$B$2:$B$557,0),MATCH(N$2,cenník!$C$1:$I$1,0))</f>
        <v>100ks</v>
      </c>
      <c r="O120" s="11">
        <f>ROUNDUP(((O101*11)+(O108*2)+(O100*9)+(O113*8)+E104+(O126*2)+(O107*3)+(O127*2))/100,0)</f>
        <v>0</v>
      </c>
      <c r="P120" s="36">
        <f>INDEX(cenník!$C$2:$I$568,MATCH($L120,cenník!$B$2:$B$557,0),MATCH(P$2,cenník!$C$1:$I$1,0))</f>
        <v>49.87</v>
      </c>
      <c r="Q120" s="36">
        <f t="shared" si="273"/>
        <v>0</v>
      </c>
      <c r="R120" s="37">
        <f t="shared" si="263"/>
        <v>0</v>
      </c>
      <c r="S120" s="36">
        <f t="shared" si="264"/>
        <v>49.87</v>
      </c>
      <c r="T120" s="36">
        <f t="shared" si="274"/>
        <v>0</v>
      </c>
      <c r="U120" s="36">
        <f>INDEX(cenník!$C$2:$I$568,MATCH($L120,cenník!$B$2:$B$557,0),MATCH(U$2,cenník!$C$1:$I$1,0))*O120</f>
        <v>0</v>
      </c>
      <c r="V120" s="85"/>
      <c r="AC120" s="64"/>
      <c r="AD120" s="64"/>
      <c r="AE120" s="64"/>
      <c r="AF120" s="64"/>
      <c r="AG120" s="64"/>
      <c r="AH120" s="64">
        <f>(AB122-1)*3150</f>
        <v>-3150</v>
      </c>
      <c r="AI120" s="64"/>
      <c r="AJ120" s="64"/>
      <c r="AK120" s="64"/>
      <c r="AL120" s="64"/>
      <c r="AM120" s="64"/>
      <c r="AX120" s="64"/>
      <c r="AY120" s="64"/>
      <c r="AZ120" s="64"/>
      <c r="BA120" s="64"/>
      <c r="BB120" s="64"/>
      <c r="BC120" s="64"/>
      <c r="BD120" s="64"/>
      <c r="BE120" s="64"/>
      <c r="BF120" s="64"/>
      <c r="BG120" s="64"/>
      <c r="BH120" s="64" t="s">
        <v>16</v>
      </c>
      <c r="BI120" s="64">
        <f>(BI93/2)*3</f>
        <v>0</v>
      </c>
      <c r="BJ120" s="64">
        <v>6</v>
      </c>
      <c r="BK120" s="64">
        <v>0</v>
      </c>
      <c r="BL120" s="64">
        <v>0</v>
      </c>
      <c r="BM120" s="64">
        <v>0</v>
      </c>
      <c r="BN120" s="64">
        <v>6</v>
      </c>
      <c r="BO120" s="64">
        <v>0</v>
      </c>
      <c r="BP120" s="64">
        <v>6</v>
      </c>
      <c r="BQ120" s="64">
        <v>0</v>
      </c>
      <c r="BR120" s="64">
        <v>6</v>
      </c>
      <c r="BS120" s="64">
        <v>0</v>
      </c>
      <c r="BT120" s="64">
        <v>6</v>
      </c>
      <c r="BU120" s="64">
        <v>0</v>
      </c>
      <c r="BV120" s="64">
        <v>6</v>
      </c>
      <c r="BW120" s="64">
        <v>0</v>
      </c>
      <c r="BX120" s="64">
        <v>6</v>
      </c>
      <c r="BY120" s="64">
        <v>0</v>
      </c>
      <c r="BZ120" s="64">
        <v>6</v>
      </c>
      <c r="CA120" s="64">
        <v>0</v>
      </c>
      <c r="CB120" s="64">
        <v>6</v>
      </c>
      <c r="CC120" s="64">
        <v>0</v>
      </c>
      <c r="CD120" s="64">
        <v>6</v>
      </c>
      <c r="CE120" s="64">
        <v>0</v>
      </c>
      <c r="CF120" s="64">
        <v>6</v>
      </c>
      <c r="CG120" s="64"/>
      <c r="CH120" s="64"/>
      <c r="CI120" s="64"/>
      <c r="CJ120" s="64"/>
      <c r="CK120" s="64"/>
      <c r="CL120" s="64"/>
      <c r="CM120" s="64"/>
      <c r="CN120" s="64" t="s">
        <v>16</v>
      </c>
      <c r="CO120" s="64">
        <v>0</v>
      </c>
      <c r="CP120" s="64">
        <f t="shared" si="300"/>
        <v>0</v>
      </c>
      <c r="CQ120" s="64">
        <f t="shared" si="300"/>
        <v>0</v>
      </c>
      <c r="CR120" s="64">
        <f t="shared" si="300"/>
        <v>0</v>
      </c>
      <c r="CS120" s="64">
        <f t="shared" si="300"/>
        <v>6</v>
      </c>
      <c r="CT120" s="64">
        <f t="shared" si="300"/>
        <v>0</v>
      </c>
      <c r="CU120" s="64">
        <f t="shared" si="300"/>
        <v>6</v>
      </c>
      <c r="CV120" s="64">
        <f t="shared" si="300"/>
        <v>0</v>
      </c>
      <c r="CW120" s="64">
        <f t="shared" si="300"/>
        <v>6</v>
      </c>
      <c r="CX120" s="64">
        <f t="shared" si="300"/>
        <v>0</v>
      </c>
      <c r="CY120" s="64">
        <f t="shared" si="300"/>
        <v>6</v>
      </c>
      <c r="CZ120" s="64">
        <v>6</v>
      </c>
      <c r="DA120" s="64">
        <f t="shared" si="300"/>
        <v>6</v>
      </c>
      <c r="DB120" s="64">
        <f t="shared" si="300"/>
        <v>6</v>
      </c>
      <c r="DC120" s="64">
        <f t="shared" si="300"/>
        <v>0</v>
      </c>
      <c r="DD120" s="64">
        <f t="shared" si="300"/>
        <v>6</v>
      </c>
      <c r="DE120" s="64">
        <f t="shared" si="300"/>
        <v>0</v>
      </c>
      <c r="DF120" s="64">
        <f t="shared" si="300"/>
        <v>6</v>
      </c>
      <c r="DG120" s="64">
        <f t="shared" si="300"/>
        <v>0</v>
      </c>
      <c r="DH120" s="64">
        <f t="shared" si="300"/>
        <v>6</v>
      </c>
      <c r="DI120" s="64">
        <f t="shared" si="300"/>
        <v>0</v>
      </c>
      <c r="DJ120" s="64">
        <f t="shared" si="300"/>
        <v>6</v>
      </c>
      <c r="DK120" s="64">
        <f t="shared" si="300"/>
        <v>0</v>
      </c>
      <c r="DL120" s="64">
        <f t="shared" si="300"/>
        <v>6</v>
      </c>
      <c r="DM120" s="64"/>
      <c r="DN120" s="64"/>
      <c r="DO120" s="64"/>
      <c r="DP120" s="64"/>
      <c r="DQ120" s="80"/>
      <c r="DR120" s="80">
        <v>36</v>
      </c>
      <c r="DS120" s="80"/>
      <c r="DT120" s="64"/>
      <c r="DU120" s="64"/>
      <c r="DV120" s="64"/>
      <c r="DW120" s="64"/>
      <c r="DX120" s="64"/>
      <c r="DY120" s="64"/>
      <c r="DZ120" s="64"/>
      <c r="EA120" s="64"/>
      <c r="EB120" s="64"/>
      <c r="EC120" s="64"/>
      <c r="ED120" s="64"/>
      <c r="EE120" s="64"/>
      <c r="EF120" s="64"/>
      <c r="EG120" s="64"/>
      <c r="EH120" s="64"/>
      <c r="EI120" s="64"/>
      <c r="EJ120" s="69"/>
      <c r="EK120" s="64" t="s">
        <v>241</v>
      </c>
      <c r="EL120" s="64">
        <v>0</v>
      </c>
      <c r="EM120" s="64">
        <f>EM95/4*6</f>
        <v>6</v>
      </c>
      <c r="EN120" s="64">
        <f t="shared" ref="EN120:FI120" si="305">EN95/4*6</f>
        <v>0</v>
      </c>
      <c r="EO120" s="64">
        <f t="shared" si="305"/>
        <v>0</v>
      </c>
      <c r="EP120" s="64">
        <f t="shared" si="305"/>
        <v>12</v>
      </c>
      <c r="EQ120" s="64">
        <f t="shared" si="305"/>
        <v>6</v>
      </c>
      <c r="ER120" s="64">
        <f t="shared" si="305"/>
        <v>18</v>
      </c>
      <c r="ES120" s="64">
        <f t="shared" si="305"/>
        <v>18</v>
      </c>
      <c r="ET120" s="64">
        <f t="shared" si="305"/>
        <v>12</v>
      </c>
      <c r="EU120" s="64">
        <f t="shared" si="305"/>
        <v>6</v>
      </c>
      <c r="EV120" s="64">
        <f t="shared" si="305"/>
        <v>24</v>
      </c>
      <c r="EW120" s="64">
        <f t="shared" si="305"/>
        <v>18</v>
      </c>
      <c r="EX120" s="64">
        <f t="shared" si="305"/>
        <v>12</v>
      </c>
      <c r="EY120" s="64">
        <f t="shared" si="305"/>
        <v>30</v>
      </c>
      <c r="EZ120" s="64">
        <f t="shared" si="305"/>
        <v>24</v>
      </c>
      <c r="FA120" s="64">
        <f t="shared" si="305"/>
        <v>18</v>
      </c>
      <c r="FB120" s="64">
        <f t="shared" si="305"/>
        <v>36</v>
      </c>
      <c r="FC120" s="64">
        <f t="shared" si="305"/>
        <v>30</v>
      </c>
      <c r="FD120" s="64">
        <f t="shared" si="305"/>
        <v>24</v>
      </c>
      <c r="FE120" s="64">
        <f t="shared" si="305"/>
        <v>42</v>
      </c>
      <c r="FF120" s="64">
        <f t="shared" si="305"/>
        <v>36</v>
      </c>
      <c r="FG120" s="64">
        <f t="shared" si="305"/>
        <v>30</v>
      </c>
      <c r="FH120" s="64">
        <f t="shared" si="305"/>
        <v>48</v>
      </c>
      <c r="FI120" s="64">
        <f t="shared" si="305"/>
        <v>42</v>
      </c>
      <c r="FJ120" s="64"/>
      <c r="FK120" s="64" t="s">
        <v>241</v>
      </c>
      <c r="FL120" s="64">
        <v>0</v>
      </c>
      <c r="FM120" s="64">
        <f>FM95/4*6</f>
        <v>0</v>
      </c>
      <c r="FN120" s="64">
        <f t="shared" ref="FN120:GI120" si="306">FN95/4*6</f>
        <v>0</v>
      </c>
      <c r="FO120" s="64">
        <f t="shared" si="306"/>
        <v>0</v>
      </c>
      <c r="FP120" s="64">
        <f t="shared" si="306"/>
        <v>6</v>
      </c>
      <c r="FQ120" s="64">
        <f t="shared" si="306"/>
        <v>0</v>
      </c>
      <c r="FR120" s="64">
        <f t="shared" si="306"/>
        <v>18</v>
      </c>
      <c r="FS120" s="64">
        <f t="shared" si="306"/>
        <v>12</v>
      </c>
      <c r="FT120" s="64">
        <f t="shared" si="306"/>
        <v>6</v>
      </c>
      <c r="FU120" s="64">
        <f t="shared" si="306"/>
        <v>24</v>
      </c>
      <c r="FV120" s="64">
        <f t="shared" si="306"/>
        <v>18</v>
      </c>
      <c r="FW120" s="64">
        <f t="shared" si="306"/>
        <v>12</v>
      </c>
      <c r="FX120" s="64">
        <f t="shared" si="306"/>
        <v>30</v>
      </c>
      <c r="FY120" s="64">
        <f t="shared" si="306"/>
        <v>18</v>
      </c>
      <c r="FZ120" s="64">
        <f t="shared" si="306"/>
        <v>36</v>
      </c>
      <c r="GA120" s="64">
        <f t="shared" si="306"/>
        <v>30</v>
      </c>
      <c r="GB120" s="64">
        <f t="shared" si="306"/>
        <v>24</v>
      </c>
      <c r="GC120" s="64">
        <f t="shared" si="306"/>
        <v>42</v>
      </c>
      <c r="GD120" s="64">
        <f t="shared" si="306"/>
        <v>36</v>
      </c>
      <c r="GE120" s="64">
        <f t="shared" si="306"/>
        <v>30</v>
      </c>
      <c r="GF120" s="64">
        <f t="shared" si="306"/>
        <v>48</v>
      </c>
      <c r="GG120" s="64">
        <f t="shared" si="306"/>
        <v>42</v>
      </c>
      <c r="GH120" s="64">
        <f t="shared" si="306"/>
        <v>36</v>
      </c>
      <c r="GI120" s="64">
        <f t="shared" si="306"/>
        <v>54</v>
      </c>
      <c r="GJ120" s="64"/>
      <c r="GK120" s="64"/>
      <c r="GL120" s="64"/>
      <c r="GM120" s="64"/>
      <c r="GN120" s="64"/>
      <c r="GO120" s="64"/>
      <c r="GP120" s="64"/>
      <c r="GQ120" s="64"/>
      <c r="GR120" s="64" t="s">
        <v>240</v>
      </c>
      <c r="GS120" s="64">
        <v>0</v>
      </c>
      <c r="GT120" s="64">
        <f t="shared" ref="GT120:HP120" si="307">GT93/4*6</f>
        <v>6</v>
      </c>
      <c r="GU120" s="64">
        <f t="shared" si="307"/>
        <v>0</v>
      </c>
      <c r="GV120" s="64">
        <f t="shared" si="307"/>
        <v>0</v>
      </c>
      <c r="GW120" s="64">
        <f t="shared" si="307"/>
        <v>6</v>
      </c>
      <c r="GX120" s="64">
        <f t="shared" si="307"/>
        <v>0</v>
      </c>
      <c r="GY120" s="64">
        <f t="shared" si="307"/>
        <v>6</v>
      </c>
      <c r="GZ120" s="64">
        <f t="shared" si="307"/>
        <v>12</v>
      </c>
      <c r="HA120" s="64">
        <f t="shared" si="307"/>
        <v>18</v>
      </c>
      <c r="HB120" s="64">
        <f t="shared" si="307"/>
        <v>6</v>
      </c>
      <c r="HC120" s="64">
        <f t="shared" si="307"/>
        <v>12</v>
      </c>
      <c r="HD120" s="64">
        <f t="shared" si="307"/>
        <v>24</v>
      </c>
      <c r="HE120" s="64">
        <f t="shared" si="307"/>
        <v>12</v>
      </c>
      <c r="HF120" s="64">
        <f t="shared" si="307"/>
        <v>18</v>
      </c>
      <c r="HG120" s="64">
        <f t="shared" si="307"/>
        <v>24</v>
      </c>
      <c r="HH120" s="64">
        <f t="shared" si="307"/>
        <v>30</v>
      </c>
      <c r="HI120" s="64">
        <f t="shared" si="307"/>
        <v>18</v>
      </c>
      <c r="HJ120" s="64">
        <f t="shared" si="307"/>
        <v>30</v>
      </c>
      <c r="HK120" s="64">
        <f t="shared" si="307"/>
        <v>36</v>
      </c>
      <c r="HL120" s="64">
        <f t="shared" si="307"/>
        <v>24</v>
      </c>
      <c r="HM120" s="64">
        <f t="shared" si="307"/>
        <v>30</v>
      </c>
      <c r="HN120" s="64">
        <f t="shared" si="307"/>
        <v>36</v>
      </c>
      <c r="HO120" s="64">
        <f t="shared" si="307"/>
        <v>42</v>
      </c>
      <c r="HP120" s="64">
        <f t="shared" si="307"/>
        <v>30</v>
      </c>
      <c r="HS120" s="68" t="s">
        <v>240</v>
      </c>
      <c r="HT120" s="68">
        <v>0</v>
      </c>
      <c r="HU120" s="64">
        <f t="shared" ref="HU120:IQ120" si="308">HU93/4*6</f>
        <v>6</v>
      </c>
      <c r="HV120" s="64">
        <f t="shared" si="308"/>
        <v>0</v>
      </c>
      <c r="HW120" s="64">
        <f t="shared" si="308"/>
        <v>6</v>
      </c>
      <c r="HX120" s="64">
        <f t="shared" si="308"/>
        <v>12</v>
      </c>
      <c r="HY120" s="64">
        <f t="shared" si="308"/>
        <v>0</v>
      </c>
      <c r="HZ120" s="64">
        <f t="shared" si="308"/>
        <v>12</v>
      </c>
      <c r="IA120" s="64">
        <f t="shared" si="308"/>
        <v>18</v>
      </c>
      <c r="IB120" s="64">
        <f t="shared" si="308"/>
        <v>6</v>
      </c>
      <c r="IC120" s="64">
        <f t="shared" si="308"/>
        <v>12</v>
      </c>
      <c r="ID120" s="64">
        <f t="shared" si="308"/>
        <v>24</v>
      </c>
      <c r="IE120" s="64">
        <f t="shared" si="308"/>
        <v>12</v>
      </c>
      <c r="IF120" s="64">
        <f t="shared" si="308"/>
        <v>18</v>
      </c>
      <c r="IG120" s="64">
        <f t="shared" si="308"/>
        <v>24</v>
      </c>
      <c r="IH120" s="64">
        <f t="shared" si="308"/>
        <v>30</v>
      </c>
      <c r="II120" s="64">
        <f t="shared" si="308"/>
        <v>24</v>
      </c>
      <c r="IJ120" s="64">
        <f t="shared" si="308"/>
        <v>30</v>
      </c>
      <c r="IK120" s="64">
        <f t="shared" si="308"/>
        <v>36</v>
      </c>
      <c r="IL120" s="64">
        <f t="shared" si="308"/>
        <v>24</v>
      </c>
      <c r="IM120" s="64">
        <f t="shared" si="308"/>
        <v>36</v>
      </c>
      <c r="IN120" s="64">
        <f t="shared" si="308"/>
        <v>42</v>
      </c>
      <c r="IO120" s="64">
        <f t="shared" si="308"/>
        <v>30</v>
      </c>
      <c r="IP120" s="64">
        <f t="shared" si="308"/>
        <v>36</v>
      </c>
      <c r="IQ120" s="64">
        <f t="shared" si="308"/>
        <v>48</v>
      </c>
      <c r="IR120" s="71"/>
    </row>
    <row r="121" spans="1:252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65</v>
      </c>
      <c r="M121" s="11">
        <f>INDEX(cenník!$C$2:$I$568,MATCH($L121,cenník!$B$2:$B$557,0),MATCH(M$2,cenník!$C$1:$I$1,0))</f>
        <v>897303</v>
      </c>
      <c r="N121" s="11" t="str">
        <f>INDEX(cenník!$C$2:$I$568,MATCH($L121,cenník!$B$2:$B$557,0),MATCH(N$2,cenník!$C$1:$I$1,0))</f>
        <v>ks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6">
        <f>INDEX(cenník!$C$2:$I$568,MATCH($L121,cenník!$B$2:$B$557,0),MATCH(P$2,cenník!$C$1:$I$1,0))</f>
        <v>0.83</v>
      </c>
      <c r="Q121" s="36">
        <f t="shared" si="273"/>
        <v>0</v>
      </c>
      <c r="R121" s="37">
        <f t="shared" si="263"/>
        <v>0</v>
      </c>
      <c r="S121" s="36">
        <f t="shared" si="264"/>
        <v>0.83</v>
      </c>
      <c r="T121" s="36">
        <f t="shared" si="274"/>
        <v>0</v>
      </c>
      <c r="U121" s="36">
        <f>INDEX(cenník!$C$2:$I$568,MATCH($L121,cenník!$B$2:$B$557,0),MATCH(U$2,cenník!$C$1:$I$1,0))*O121</f>
        <v>0</v>
      </c>
      <c r="V121" s="85"/>
      <c r="W121" s="82"/>
      <c r="X121" s="82"/>
      <c r="Y121" s="82"/>
      <c r="Z121" s="82"/>
      <c r="AA121" s="83" t="s">
        <v>124</v>
      </c>
      <c r="AB121" s="84" t="s">
        <v>126</v>
      </c>
      <c r="AC121" s="64"/>
      <c r="AD121" s="64"/>
      <c r="AE121" s="64"/>
      <c r="AF121" s="64"/>
      <c r="AG121" s="64"/>
      <c r="AH121" s="64"/>
      <c r="AI121" s="64"/>
      <c r="AJ121" s="64">
        <f>2*6.6</f>
        <v>13.2</v>
      </c>
      <c r="AK121" s="64"/>
      <c r="AL121" s="64"/>
      <c r="AM121" s="64"/>
      <c r="AO121" s="84" t="s">
        <v>126</v>
      </c>
      <c r="AP121" s="83" t="s">
        <v>345</v>
      </c>
      <c r="AQ121" s="64"/>
      <c r="AX121" s="64"/>
      <c r="AY121" s="64"/>
      <c r="AZ121" s="64"/>
      <c r="BA121" s="64"/>
      <c r="BB121" s="64"/>
      <c r="BC121" s="64"/>
      <c r="BD121" s="64"/>
      <c r="BE121" s="64"/>
      <c r="BF121" s="64"/>
      <c r="BG121" s="64"/>
      <c r="BH121" s="64" t="s">
        <v>17</v>
      </c>
      <c r="BI121" s="64">
        <f>(BI94/2)*3</f>
        <v>0</v>
      </c>
      <c r="BJ121" s="64">
        <v>0</v>
      </c>
      <c r="BK121" s="64">
        <v>0</v>
      </c>
      <c r="BL121" s="64">
        <v>0</v>
      </c>
      <c r="BM121" s="64">
        <v>0</v>
      </c>
      <c r="BN121" s="64">
        <v>6</v>
      </c>
      <c r="BO121" s="64">
        <v>6</v>
      </c>
      <c r="BP121" s="64">
        <v>6</v>
      </c>
      <c r="BQ121" s="64">
        <v>6</v>
      </c>
      <c r="BR121" s="64">
        <v>12</v>
      </c>
      <c r="BS121" s="64">
        <v>6</v>
      </c>
      <c r="BT121" s="64">
        <v>12</v>
      </c>
      <c r="BU121" s="64">
        <v>12</v>
      </c>
      <c r="BV121" s="64">
        <v>12</v>
      </c>
      <c r="BW121" s="64">
        <v>12</v>
      </c>
      <c r="BX121" s="64">
        <v>18</v>
      </c>
      <c r="BY121" s="64">
        <v>12</v>
      </c>
      <c r="BZ121" s="64">
        <v>18</v>
      </c>
      <c r="CA121" s="64">
        <v>18</v>
      </c>
      <c r="CB121" s="64">
        <v>18</v>
      </c>
      <c r="CC121" s="64">
        <v>18</v>
      </c>
      <c r="CD121" s="64">
        <v>24</v>
      </c>
      <c r="CE121" s="64">
        <v>18</v>
      </c>
      <c r="CF121" s="64">
        <v>24</v>
      </c>
      <c r="CG121" s="64"/>
      <c r="CH121" s="64"/>
      <c r="CI121" s="64"/>
      <c r="CJ121" s="64"/>
      <c r="CK121" s="64"/>
      <c r="CL121" s="64"/>
      <c r="CM121" s="64"/>
      <c r="CN121" s="64" t="s">
        <v>17</v>
      </c>
      <c r="CO121" s="64">
        <v>0</v>
      </c>
      <c r="CP121" s="64">
        <f t="shared" si="300"/>
        <v>0</v>
      </c>
      <c r="CQ121" s="64">
        <f t="shared" si="300"/>
        <v>0</v>
      </c>
      <c r="CR121" s="64">
        <f t="shared" si="300"/>
        <v>0</v>
      </c>
      <c r="CS121" s="64">
        <f t="shared" si="300"/>
        <v>6</v>
      </c>
      <c r="CT121" s="64">
        <f t="shared" si="300"/>
        <v>6</v>
      </c>
      <c r="CU121" s="64">
        <f t="shared" si="300"/>
        <v>6</v>
      </c>
      <c r="CV121" s="64">
        <f t="shared" si="300"/>
        <v>6</v>
      </c>
      <c r="CW121" s="64">
        <f t="shared" si="300"/>
        <v>12</v>
      </c>
      <c r="CX121" s="64">
        <f t="shared" si="300"/>
        <v>6</v>
      </c>
      <c r="CY121" s="64">
        <f t="shared" si="300"/>
        <v>12</v>
      </c>
      <c r="CZ121" s="64">
        <v>12</v>
      </c>
      <c r="DA121" s="64">
        <f t="shared" si="300"/>
        <v>12</v>
      </c>
      <c r="DB121" s="64">
        <f t="shared" si="300"/>
        <v>18</v>
      </c>
      <c r="DC121" s="64">
        <f t="shared" si="300"/>
        <v>12</v>
      </c>
      <c r="DD121" s="64">
        <f t="shared" si="300"/>
        <v>18</v>
      </c>
      <c r="DE121" s="64">
        <f t="shared" si="300"/>
        <v>18</v>
      </c>
      <c r="DF121" s="64">
        <f t="shared" si="300"/>
        <v>18</v>
      </c>
      <c r="DG121" s="64">
        <f t="shared" si="300"/>
        <v>18</v>
      </c>
      <c r="DH121" s="64">
        <f t="shared" si="300"/>
        <v>24</v>
      </c>
      <c r="DI121" s="64">
        <f t="shared" si="300"/>
        <v>18</v>
      </c>
      <c r="DJ121" s="64">
        <f t="shared" si="300"/>
        <v>24</v>
      </c>
      <c r="DK121" s="64">
        <f t="shared" si="300"/>
        <v>24</v>
      </c>
      <c r="DL121" s="64">
        <f t="shared" si="300"/>
        <v>24</v>
      </c>
      <c r="DM121" s="64"/>
      <c r="DN121" s="64"/>
      <c r="DO121" s="64"/>
      <c r="DP121" s="64"/>
      <c r="DQ121" s="80"/>
      <c r="DR121" s="80">
        <v>39</v>
      </c>
      <c r="DS121" s="80"/>
      <c r="DT121" s="64"/>
      <c r="DU121" s="64"/>
      <c r="DV121" s="64"/>
      <c r="DW121" s="64"/>
      <c r="DX121" s="64"/>
      <c r="DY121" s="64"/>
      <c r="DZ121" s="64"/>
      <c r="EA121" s="64"/>
      <c r="EB121" s="64"/>
      <c r="EC121" s="64"/>
      <c r="ED121" s="64"/>
      <c r="EE121" s="64"/>
      <c r="EF121" s="64"/>
      <c r="EG121" s="64"/>
      <c r="EH121" s="64"/>
      <c r="EI121" s="64"/>
      <c r="EJ121" s="69"/>
      <c r="EK121" s="72" t="s">
        <v>364</v>
      </c>
      <c r="EL121" s="64">
        <v>0</v>
      </c>
      <c r="EM121" s="64">
        <f>((SUM(EM119:EM120)/6)-1)*6</f>
        <v>0</v>
      </c>
      <c r="EN121" s="64">
        <f>((SUM(EN119:EN120)/6)-1)*6</f>
        <v>0</v>
      </c>
      <c r="EO121" s="64">
        <v>0</v>
      </c>
      <c r="EP121" s="64">
        <f t="shared" ref="EP121:FI121" si="309">((SUM(EP119:EP120)/6)-1)*6</f>
        <v>6</v>
      </c>
      <c r="EQ121" s="64">
        <f t="shared" si="309"/>
        <v>6</v>
      </c>
      <c r="ER121" s="64">
        <f t="shared" si="309"/>
        <v>12</v>
      </c>
      <c r="ES121" s="64">
        <f t="shared" si="309"/>
        <v>12</v>
      </c>
      <c r="ET121" s="64">
        <f t="shared" si="309"/>
        <v>12</v>
      </c>
      <c r="EU121" s="64">
        <f t="shared" si="309"/>
        <v>12</v>
      </c>
      <c r="EV121" s="64">
        <f t="shared" si="309"/>
        <v>18</v>
      </c>
      <c r="EW121" s="64">
        <f t="shared" si="309"/>
        <v>18</v>
      </c>
      <c r="EX121" s="64">
        <f t="shared" si="309"/>
        <v>18</v>
      </c>
      <c r="EY121" s="64">
        <f t="shared" si="309"/>
        <v>24</v>
      </c>
      <c r="EZ121" s="64">
        <f t="shared" si="309"/>
        <v>24</v>
      </c>
      <c r="FA121" s="64">
        <f t="shared" si="309"/>
        <v>24</v>
      </c>
      <c r="FB121" s="64">
        <f t="shared" si="309"/>
        <v>30</v>
      </c>
      <c r="FC121" s="64">
        <f t="shared" si="309"/>
        <v>30</v>
      </c>
      <c r="FD121" s="64">
        <f t="shared" si="309"/>
        <v>30</v>
      </c>
      <c r="FE121" s="64">
        <f t="shared" si="309"/>
        <v>36</v>
      </c>
      <c r="FF121" s="64">
        <f t="shared" si="309"/>
        <v>36</v>
      </c>
      <c r="FG121" s="64">
        <f t="shared" si="309"/>
        <v>36</v>
      </c>
      <c r="FH121" s="64">
        <f t="shared" si="309"/>
        <v>42</v>
      </c>
      <c r="FI121" s="64">
        <f t="shared" si="309"/>
        <v>42</v>
      </c>
      <c r="FJ121" s="64"/>
      <c r="FK121" s="72" t="s">
        <v>364</v>
      </c>
      <c r="FL121" s="64">
        <v>0</v>
      </c>
      <c r="FM121" s="64">
        <f>((SUM(FM119:FM120)/6)-1)*6</f>
        <v>0</v>
      </c>
      <c r="FN121" s="64">
        <v>0</v>
      </c>
      <c r="FO121" s="64">
        <v>0</v>
      </c>
      <c r="FP121" s="64">
        <f t="shared" ref="FP121:GI121" si="310">((SUM(FP119:FP120)/6)-1)*6</f>
        <v>6</v>
      </c>
      <c r="FQ121" s="64">
        <f t="shared" si="310"/>
        <v>6</v>
      </c>
      <c r="FR121" s="64">
        <f t="shared" si="310"/>
        <v>12</v>
      </c>
      <c r="FS121" s="64">
        <f t="shared" si="310"/>
        <v>12</v>
      </c>
      <c r="FT121" s="64">
        <f t="shared" si="310"/>
        <v>12</v>
      </c>
      <c r="FU121" s="64">
        <f t="shared" si="310"/>
        <v>18</v>
      </c>
      <c r="FV121" s="64">
        <f t="shared" si="310"/>
        <v>18</v>
      </c>
      <c r="FW121" s="64">
        <f t="shared" si="310"/>
        <v>18</v>
      </c>
      <c r="FX121" s="64">
        <f t="shared" si="310"/>
        <v>24</v>
      </c>
      <c r="FY121" s="64">
        <f t="shared" si="310"/>
        <v>24</v>
      </c>
      <c r="FZ121" s="64">
        <f t="shared" si="310"/>
        <v>30</v>
      </c>
      <c r="GA121" s="64">
        <f t="shared" si="310"/>
        <v>30</v>
      </c>
      <c r="GB121" s="64">
        <f t="shared" si="310"/>
        <v>30</v>
      </c>
      <c r="GC121" s="64">
        <f t="shared" si="310"/>
        <v>36</v>
      </c>
      <c r="GD121" s="64">
        <f t="shared" si="310"/>
        <v>36</v>
      </c>
      <c r="GE121" s="64">
        <f t="shared" si="310"/>
        <v>36</v>
      </c>
      <c r="GF121" s="64">
        <f t="shared" si="310"/>
        <v>42</v>
      </c>
      <c r="GG121" s="64">
        <f t="shared" si="310"/>
        <v>42</v>
      </c>
      <c r="GH121" s="64">
        <f t="shared" si="310"/>
        <v>42</v>
      </c>
      <c r="GI121" s="64">
        <f t="shared" si="310"/>
        <v>48</v>
      </c>
      <c r="GJ121" s="64"/>
      <c r="GK121" s="64"/>
      <c r="GL121" s="64"/>
      <c r="GM121" s="64"/>
      <c r="GN121" s="64"/>
      <c r="GO121" s="64"/>
      <c r="GP121" s="64"/>
      <c r="GQ121" s="64"/>
      <c r="GR121" s="64" t="s">
        <v>241</v>
      </c>
      <c r="GS121" s="64">
        <v>0</v>
      </c>
      <c r="GT121" s="64">
        <f t="shared" ref="GT121:HP121" si="311">GT94/4*6</f>
        <v>0</v>
      </c>
      <c r="GU121" s="64">
        <f t="shared" si="311"/>
        <v>0</v>
      </c>
      <c r="GV121" s="64">
        <f t="shared" si="311"/>
        <v>0</v>
      </c>
      <c r="GW121" s="64">
        <f t="shared" si="311"/>
        <v>6</v>
      </c>
      <c r="GX121" s="64">
        <f t="shared" si="311"/>
        <v>18</v>
      </c>
      <c r="GY121" s="64">
        <f t="shared" si="311"/>
        <v>12</v>
      </c>
      <c r="GZ121" s="64">
        <f t="shared" si="311"/>
        <v>6</v>
      </c>
      <c r="HA121" s="64">
        <f t="shared" si="311"/>
        <v>0</v>
      </c>
      <c r="HB121" s="64">
        <f t="shared" si="311"/>
        <v>18</v>
      </c>
      <c r="HC121" s="64">
        <f t="shared" si="311"/>
        <v>12</v>
      </c>
      <c r="HD121" s="64">
        <f t="shared" si="311"/>
        <v>0</v>
      </c>
      <c r="HE121" s="64">
        <f t="shared" si="311"/>
        <v>18</v>
      </c>
      <c r="HF121" s="64">
        <f t="shared" si="311"/>
        <v>12</v>
      </c>
      <c r="HG121" s="64">
        <f t="shared" si="311"/>
        <v>6</v>
      </c>
      <c r="HH121" s="64">
        <f t="shared" si="311"/>
        <v>0</v>
      </c>
      <c r="HI121" s="64">
        <f t="shared" si="311"/>
        <v>18</v>
      </c>
      <c r="HJ121" s="64">
        <f t="shared" si="311"/>
        <v>6</v>
      </c>
      <c r="HK121" s="64">
        <f t="shared" si="311"/>
        <v>0</v>
      </c>
      <c r="HL121" s="64">
        <f t="shared" si="311"/>
        <v>18</v>
      </c>
      <c r="HM121" s="64">
        <f t="shared" si="311"/>
        <v>12</v>
      </c>
      <c r="HN121" s="64">
        <f t="shared" si="311"/>
        <v>6</v>
      </c>
      <c r="HO121" s="64">
        <f t="shared" si="311"/>
        <v>0</v>
      </c>
      <c r="HP121" s="64">
        <f t="shared" si="311"/>
        <v>18</v>
      </c>
      <c r="HS121" s="68" t="s">
        <v>241</v>
      </c>
      <c r="HT121" s="68">
        <v>0</v>
      </c>
      <c r="HU121" s="64">
        <f t="shared" ref="HU121:IQ121" si="312">HU94/4*6</f>
        <v>0</v>
      </c>
      <c r="HV121" s="64">
        <f t="shared" si="312"/>
        <v>0</v>
      </c>
      <c r="HW121" s="64">
        <f t="shared" si="312"/>
        <v>6</v>
      </c>
      <c r="HX121" s="64">
        <f t="shared" si="312"/>
        <v>0</v>
      </c>
      <c r="HY121" s="64">
        <f t="shared" si="312"/>
        <v>18</v>
      </c>
      <c r="HZ121" s="64">
        <f t="shared" si="312"/>
        <v>6</v>
      </c>
      <c r="IA121" s="64">
        <f t="shared" si="312"/>
        <v>0</v>
      </c>
      <c r="IB121" s="64">
        <f t="shared" si="312"/>
        <v>18</v>
      </c>
      <c r="IC121" s="64">
        <f t="shared" si="312"/>
        <v>12</v>
      </c>
      <c r="ID121" s="64">
        <f t="shared" si="312"/>
        <v>0</v>
      </c>
      <c r="IE121" s="64">
        <f t="shared" si="312"/>
        <v>18</v>
      </c>
      <c r="IF121" s="64">
        <f t="shared" si="312"/>
        <v>12</v>
      </c>
      <c r="IG121" s="64">
        <f t="shared" si="312"/>
        <v>6</v>
      </c>
      <c r="IH121" s="64">
        <f t="shared" si="312"/>
        <v>0</v>
      </c>
      <c r="II121" s="64">
        <f t="shared" si="312"/>
        <v>12</v>
      </c>
      <c r="IJ121" s="64">
        <f t="shared" si="312"/>
        <v>6</v>
      </c>
      <c r="IK121" s="64">
        <f t="shared" si="312"/>
        <v>0</v>
      </c>
      <c r="IL121" s="64">
        <f t="shared" si="312"/>
        <v>18</v>
      </c>
      <c r="IM121" s="64">
        <f t="shared" si="312"/>
        <v>6</v>
      </c>
      <c r="IN121" s="64">
        <f t="shared" si="312"/>
        <v>0</v>
      </c>
      <c r="IO121" s="64">
        <f t="shared" si="312"/>
        <v>18</v>
      </c>
      <c r="IP121" s="64">
        <f t="shared" si="312"/>
        <v>12</v>
      </c>
      <c r="IQ121" s="64">
        <f t="shared" si="312"/>
        <v>0</v>
      </c>
      <c r="IR121" s="71"/>
    </row>
    <row r="122" spans="1:252" x14ac:dyDescent="0.2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245</v>
      </c>
      <c r="M122" s="11">
        <f>INDEX(cenník!$C$2:$I$568,MATCH($L122,cenník!$B$2:$B$557,0),MATCH(M$2,cenník!$C$1:$I$1,0))</f>
        <v>897311</v>
      </c>
      <c r="N122" s="11" t="str">
        <f>INDEX(cenník!$C$2:$I$568,MATCH($L122,cenník!$B$2:$B$557,0),MATCH(N$2,cenník!$C$1:$I$1,0))</f>
        <v>ks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6">
        <f>INDEX(cenník!$C$2:$I$568,MATCH($L122,cenník!$B$2:$B$557,0),MATCH(P$2,cenník!$C$1:$I$1,0))</f>
        <v>1.9</v>
      </c>
      <c r="Q122" s="36">
        <f t="shared" si="273"/>
        <v>0</v>
      </c>
      <c r="R122" s="37">
        <f t="shared" si="263"/>
        <v>0</v>
      </c>
      <c r="S122" s="36">
        <f t="shared" si="264"/>
        <v>1.9</v>
      </c>
      <c r="T122" s="36">
        <f t="shared" si="274"/>
        <v>0</v>
      </c>
      <c r="U122" s="36">
        <f>INDEX(cenník!$C$2:$I$568,MATCH($L122,cenník!$B$2:$B$557,0),MATCH(U$2,cenník!$C$1:$I$1,0))*O122</f>
        <v>0</v>
      </c>
      <c r="V122" s="85"/>
      <c r="W122" s="82"/>
      <c r="X122" s="82"/>
      <c r="Y122" s="82"/>
      <c r="Z122" s="82"/>
      <c r="AA122" s="64">
        <f t="shared" ref="AA122:AA137" si="313">(VLOOKUP(AO122,$AY$5:$BA$9,3,1))*C130</f>
        <v>0</v>
      </c>
      <c r="AB122" s="64">
        <f t="shared" ref="AB122:AB137" si="31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64"/>
      <c r="AD122" s="64"/>
      <c r="AE122" s="64"/>
      <c r="AF122" s="64"/>
      <c r="AG122" s="64"/>
      <c r="AH122" s="64"/>
      <c r="AI122" s="64"/>
      <c r="AJ122" s="64"/>
      <c r="AK122" s="64"/>
      <c r="AL122" s="64"/>
      <c r="AM122" s="64"/>
      <c r="AN122" s="64"/>
      <c r="AO122" s="64">
        <f t="shared" ref="AO122:AO137" si="315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64"/>
      <c r="AQ122" s="64" t="s">
        <v>515</v>
      </c>
      <c r="AR122" s="68" t="s">
        <v>516</v>
      </c>
      <c r="AS122" s="68" t="s">
        <v>483</v>
      </c>
      <c r="AT122" s="68" t="s">
        <v>517</v>
      </c>
      <c r="AX122" s="64"/>
      <c r="AY122" s="64"/>
      <c r="AZ122" s="64"/>
      <c r="BA122" s="64"/>
      <c r="BB122" s="64"/>
      <c r="BC122" s="64"/>
      <c r="BD122" s="64"/>
      <c r="BE122" s="64"/>
      <c r="BF122" s="64"/>
      <c r="BG122" s="64"/>
      <c r="BH122" s="64"/>
      <c r="BI122" s="64"/>
      <c r="BJ122" s="64"/>
      <c r="BK122" s="64"/>
      <c r="BL122" s="64"/>
      <c r="BM122" s="64"/>
      <c r="BN122" s="64"/>
      <c r="BO122" s="64"/>
      <c r="BP122" s="64"/>
      <c r="BQ122" s="64"/>
      <c r="BR122" s="64"/>
      <c r="BS122" s="64"/>
      <c r="BT122" s="64"/>
      <c r="BU122" s="64"/>
      <c r="BV122" s="64"/>
      <c r="BW122" s="64"/>
      <c r="BX122" s="64"/>
      <c r="BY122" s="64"/>
      <c r="BZ122" s="64"/>
      <c r="CA122" s="64"/>
      <c r="CB122" s="64"/>
      <c r="CC122" s="64"/>
      <c r="CD122" s="64"/>
      <c r="CE122" s="64"/>
      <c r="CF122" s="64"/>
      <c r="CG122" s="64"/>
      <c r="CH122" s="64"/>
      <c r="CI122" s="64"/>
      <c r="CJ122" s="64"/>
      <c r="CK122" s="64"/>
      <c r="CL122" s="64"/>
      <c r="CM122" s="64"/>
      <c r="CN122" s="64"/>
      <c r="CO122" s="64"/>
      <c r="CP122" s="64"/>
      <c r="CQ122" s="64"/>
      <c r="CR122" s="64"/>
      <c r="CS122" s="64"/>
      <c r="CT122" s="64"/>
      <c r="CU122" s="64"/>
      <c r="CV122" s="64"/>
      <c r="CW122" s="64"/>
      <c r="CX122" s="64"/>
      <c r="CY122" s="64"/>
      <c r="CZ122" s="64"/>
      <c r="DA122" s="64"/>
      <c r="DB122" s="64"/>
      <c r="DC122" s="64"/>
      <c r="DD122" s="64"/>
      <c r="DE122" s="64"/>
      <c r="DF122" s="64"/>
      <c r="DG122" s="64"/>
      <c r="DH122" s="64"/>
      <c r="DI122" s="64"/>
      <c r="DJ122" s="64"/>
      <c r="DK122" s="64"/>
      <c r="DL122" s="64"/>
      <c r="DM122" s="64"/>
      <c r="DN122" s="64"/>
      <c r="DO122" s="64"/>
      <c r="DP122" s="64"/>
      <c r="DQ122" s="80"/>
      <c r="DR122" s="80">
        <v>42</v>
      </c>
      <c r="DS122" s="80"/>
      <c r="DT122" s="64"/>
      <c r="DU122" s="64"/>
      <c r="DV122" s="64"/>
      <c r="DW122" s="64"/>
      <c r="DX122" s="64"/>
      <c r="DY122" s="64"/>
      <c r="DZ122" s="64"/>
      <c r="EA122" s="64"/>
      <c r="EB122" s="64"/>
      <c r="EC122" s="64"/>
      <c r="ED122" s="64"/>
      <c r="EE122" s="64"/>
      <c r="EF122" s="64"/>
      <c r="EG122" s="64"/>
      <c r="EH122" s="64"/>
      <c r="EI122" s="64"/>
      <c r="EJ122" s="69"/>
      <c r="GJ122" s="64"/>
      <c r="GK122" s="64"/>
      <c r="GL122" s="64"/>
      <c r="GM122" s="64"/>
      <c r="GN122" s="64"/>
      <c r="GO122" s="64"/>
      <c r="GP122" s="64"/>
      <c r="GQ122" s="64"/>
      <c r="GR122" s="72" t="s">
        <v>364</v>
      </c>
      <c r="GS122" s="64">
        <v>0</v>
      </c>
      <c r="GT122" s="64">
        <f t="shared" ref="GT122:HO122" si="316">GT95/4*6</f>
        <v>0</v>
      </c>
      <c r="GU122" s="64">
        <f t="shared" si="316"/>
        <v>0</v>
      </c>
      <c r="GV122" s="64">
        <f t="shared" si="316"/>
        <v>0</v>
      </c>
      <c r="GW122" s="64">
        <f t="shared" si="316"/>
        <v>6</v>
      </c>
      <c r="GX122" s="64">
        <f t="shared" si="316"/>
        <v>12</v>
      </c>
      <c r="GY122" s="64">
        <f t="shared" si="316"/>
        <v>12</v>
      </c>
      <c r="GZ122" s="64">
        <f t="shared" si="316"/>
        <v>12</v>
      </c>
      <c r="HA122" s="64">
        <f t="shared" si="316"/>
        <v>12</v>
      </c>
      <c r="HB122" s="64">
        <f t="shared" si="316"/>
        <v>18</v>
      </c>
      <c r="HC122" s="64">
        <f t="shared" si="316"/>
        <v>18</v>
      </c>
      <c r="HD122" s="64">
        <f t="shared" si="316"/>
        <v>18</v>
      </c>
      <c r="HE122" s="64">
        <f t="shared" si="316"/>
        <v>24</v>
      </c>
      <c r="HF122" s="64">
        <f t="shared" si="316"/>
        <v>24</v>
      </c>
      <c r="HG122" s="64">
        <f t="shared" si="316"/>
        <v>24</v>
      </c>
      <c r="HH122" s="64">
        <f t="shared" si="316"/>
        <v>24</v>
      </c>
      <c r="HI122" s="64">
        <f t="shared" si="316"/>
        <v>30</v>
      </c>
      <c r="HJ122" s="64">
        <f t="shared" si="316"/>
        <v>30</v>
      </c>
      <c r="HK122" s="64">
        <f t="shared" si="316"/>
        <v>30</v>
      </c>
      <c r="HL122" s="64">
        <f t="shared" si="316"/>
        <v>36</v>
      </c>
      <c r="HM122" s="64">
        <f t="shared" si="316"/>
        <v>36</v>
      </c>
      <c r="HN122" s="64">
        <f t="shared" si="316"/>
        <v>36</v>
      </c>
      <c r="HO122" s="64">
        <f t="shared" si="316"/>
        <v>36</v>
      </c>
      <c r="HP122" s="64">
        <f>HP95/4*6</f>
        <v>42</v>
      </c>
      <c r="HS122" s="68" t="s">
        <v>242</v>
      </c>
      <c r="HT122" s="68">
        <v>0</v>
      </c>
      <c r="HU122" s="64">
        <f t="shared" ref="HU122:IQ122" si="317">HU95/4*6</f>
        <v>0</v>
      </c>
      <c r="HV122" s="64">
        <f t="shared" si="317"/>
        <v>0</v>
      </c>
      <c r="HW122" s="64">
        <f t="shared" si="317"/>
        <v>6</v>
      </c>
      <c r="HX122" s="64">
        <f t="shared" si="317"/>
        <v>6</v>
      </c>
      <c r="HY122" s="64">
        <f t="shared" si="317"/>
        <v>12</v>
      </c>
      <c r="HZ122" s="64">
        <f t="shared" si="317"/>
        <v>12</v>
      </c>
      <c r="IA122" s="64">
        <f t="shared" si="317"/>
        <v>12</v>
      </c>
      <c r="IB122" s="64">
        <f t="shared" si="317"/>
        <v>18</v>
      </c>
      <c r="IC122" s="64">
        <f t="shared" si="317"/>
        <v>18</v>
      </c>
      <c r="ID122" s="64">
        <f t="shared" si="317"/>
        <v>18</v>
      </c>
      <c r="IE122" s="64">
        <f t="shared" si="317"/>
        <v>24</v>
      </c>
      <c r="IF122" s="64">
        <f t="shared" si="317"/>
        <v>24</v>
      </c>
      <c r="IG122" s="64">
        <f t="shared" si="317"/>
        <v>24</v>
      </c>
      <c r="IH122" s="64">
        <f t="shared" si="317"/>
        <v>24</v>
      </c>
      <c r="II122" s="64">
        <f t="shared" si="317"/>
        <v>30</v>
      </c>
      <c r="IJ122" s="64">
        <f t="shared" si="317"/>
        <v>30</v>
      </c>
      <c r="IK122" s="64">
        <f t="shared" si="317"/>
        <v>30</v>
      </c>
      <c r="IL122" s="64">
        <f t="shared" si="317"/>
        <v>36</v>
      </c>
      <c r="IM122" s="64">
        <f t="shared" si="317"/>
        <v>36</v>
      </c>
      <c r="IN122" s="64">
        <f t="shared" si="317"/>
        <v>36</v>
      </c>
      <c r="IO122" s="64">
        <f t="shared" si="317"/>
        <v>42</v>
      </c>
      <c r="IP122" s="64">
        <f t="shared" si="317"/>
        <v>42</v>
      </c>
      <c r="IQ122" s="64">
        <f t="shared" si="317"/>
        <v>42</v>
      </c>
      <c r="IR122" s="71"/>
    </row>
    <row r="123" spans="1:252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127</v>
      </c>
      <c r="M123" s="11">
        <f>INDEX(cenník!$C$2:$I$568,MATCH($L123,cenník!$B$2:$B$557,0),MATCH(M$2,cenník!$C$1:$I$1,0))</f>
        <v>890111</v>
      </c>
      <c r="N123" s="11" t="str">
        <f>INDEX(cenník!$C$2:$I$568,MATCH($L123,cenník!$B$2:$B$557,0),MATCH(N$2,cenník!$C$1:$I$1,0))</f>
        <v>100ks</v>
      </c>
      <c r="O123" s="11">
        <f>ROUNDUP((O99*4)/100,0)</f>
        <v>0</v>
      </c>
      <c r="P123" s="36">
        <f>INDEX(cenník!$C$2:$I$568,MATCH($L123,cenník!$B$2:$B$557,0),MATCH(P$2,cenník!$C$1:$I$1,0))</f>
        <v>60.37</v>
      </c>
      <c r="Q123" s="36">
        <f t="shared" si="273"/>
        <v>0</v>
      </c>
      <c r="R123" s="37">
        <f t="shared" si="263"/>
        <v>0</v>
      </c>
      <c r="S123" s="36">
        <f t="shared" si="264"/>
        <v>60.37</v>
      </c>
      <c r="T123" s="36">
        <f t="shared" si="274"/>
        <v>0</v>
      </c>
      <c r="U123" s="36">
        <f>INDEX(cenník!$C$2:$I$568,MATCH($L123,cenník!$B$2:$B$557,0),MATCH(U$2,cenník!$C$1:$I$1,0))*O123</f>
        <v>0</v>
      </c>
      <c r="V123" s="85"/>
      <c r="W123" s="72" t="s">
        <v>17</v>
      </c>
      <c r="X123" s="64" t="s">
        <v>104</v>
      </c>
      <c r="Y123" s="64" t="s">
        <v>103</v>
      </c>
      <c r="Z123" s="64" t="s">
        <v>16</v>
      </c>
      <c r="AA123" s="64">
        <f t="shared" si="313"/>
        <v>0</v>
      </c>
      <c r="AB123" s="64">
        <f t="shared" si="314"/>
        <v>0</v>
      </c>
      <c r="AC123" s="64"/>
      <c r="AD123" s="64"/>
      <c r="AE123" s="64"/>
      <c r="AF123" s="64"/>
      <c r="AG123" s="64"/>
      <c r="AH123" s="64"/>
      <c r="AI123" s="64"/>
      <c r="AJ123" s="64"/>
      <c r="AK123" s="64"/>
      <c r="AL123" s="64"/>
      <c r="AM123" s="64"/>
      <c r="AN123" s="64"/>
      <c r="AO123" s="64">
        <f t="shared" si="315"/>
        <v>1</v>
      </c>
      <c r="AP123" s="64" t="s">
        <v>56</v>
      </c>
      <c r="AQ123" s="64" t="s">
        <v>295</v>
      </c>
      <c r="AR123" s="68" t="s">
        <v>294</v>
      </c>
      <c r="AS123" s="68" t="s">
        <v>292</v>
      </c>
      <c r="AT123" s="68" t="s">
        <v>292</v>
      </c>
      <c r="AX123" s="64"/>
      <c r="AY123" s="64"/>
      <c r="AZ123" s="64"/>
      <c r="BA123" s="64"/>
      <c r="BB123" s="64"/>
      <c r="BC123" s="64"/>
      <c r="BD123" s="64"/>
      <c r="BE123" s="64"/>
      <c r="BF123" s="64"/>
      <c r="BG123" s="64"/>
      <c r="BH123" s="64"/>
      <c r="BI123" s="64"/>
      <c r="BJ123" s="64"/>
      <c r="BK123" s="64"/>
      <c r="BL123" s="64"/>
      <c r="BM123" s="64"/>
      <c r="BN123" s="64"/>
      <c r="BO123" s="64"/>
      <c r="BP123" s="64"/>
      <c r="BQ123" s="64"/>
      <c r="BR123" s="64"/>
      <c r="BS123" s="64"/>
      <c r="BT123" s="64"/>
      <c r="BU123" s="64"/>
      <c r="BV123" s="64"/>
      <c r="BW123" s="64"/>
      <c r="BX123" s="64"/>
      <c r="BY123" s="64"/>
      <c r="BZ123" s="64"/>
      <c r="CA123" s="64"/>
      <c r="CB123" s="64"/>
      <c r="CC123" s="64"/>
      <c r="CD123" s="64"/>
      <c r="CE123" s="64"/>
      <c r="CF123" s="64"/>
      <c r="CG123" s="64"/>
      <c r="CH123" s="64"/>
      <c r="CI123" s="64"/>
      <c r="CJ123" s="64"/>
      <c r="CK123" s="64"/>
      <c r="CL123" s="64"/>
      <c r="CM123" s="64"/>
      <c r="CN123" s="64"/>
      <c r="CO123" s="64"/>
      <c r="CP123" s="64"/>
      <c r="CQ123" s="64"/>
      <c r="CR123" s="64"/>
      <c r="CS123" s="64"/>
      <c r="CT123" s="64"/>
      <c r="CU123" s="64"/>
      <c r="CV123" s="64"/>
      <c r="CW123" s="64"/>
      <c r="CX123" s="64"/>
      <c r="CY123" s="64"/>
      <c r="CZ123" s="64"/>
      <c r="DA123" s="64"/>
      <c r="DB123" s="64"/>
      <c r="DC123" s="64"/>
      <c r="DD123" s="64"/>
      <c r="DE123" s="64"/>
      <c r="DF123" s="64"/>
      <c r="DG123" s="64"/>
      <c r="DH123" s="64"/>
      <c r="DI123" s="64"/>
      <c r="DJ123" s="64"/>
      <c r="DK123" s="64"/>
      <c r="DL123" s="64"/>
      <c r="DM123" s="64"/>
      <c r="DN123" s="64"/>
      <c r="DO123" s="64"/>
      <c r="DP123" s="64"/>
      <c r="DQ123" s="80"/>
      <c r="DR123" s="80">
        <v>45</v>
      </c>
      <c r="DS123" s="80"/>
      <c r="DT123" s="64"/>
      <c r="DU123" s="64"/>
      <c r="DV123" s="64"/>
      <c r="DW123" s="64"/>
      <c r="DX123" s="64"/>
      <c r="DY123" s="64"/>
      <c r="DZ123" s="64"/>
      <c r="EA123" s="64"/>
      <c r="EB123" s="64"/>
      <c r="EC123" s="64"/>
      <c r="ED123" s="64"/>
      <c r="EE123" s="64"/>
      <c r="EF123" s="64"/>
      <c r="EG123" s="64"/>
      <c r="EH123" s="64"/>
      <c r="EI123" s="64"/>
      <c r="EJ123" s="69"/>
      <c r="GJ123" s="64"/>
      <c r="GK123" s="64"/>
      <c r="GL123" s="64"/>
      <c r="GM123" s="64"/>
      <c r="GN123" s="64"/>
      <c r="GO123" s="64"/>
      <c r="GP123" s="64"/>
      <c r="GQ123" s="64"/>
      <c r="GR123" s="64" t="s">
        <v>324</v>
      </c>
      <c r="GS123" s="64">
        <v>0</v>
      </c>
      <c r="GT123" s="64">
        <f t="shared" ref="GT123:HP123" si="318">GT96/4*6</f>
        <v>0</v>
      </c>
      <c r="GU123" s="64">
        <f t="shared" si="318"/>
        <v>0</v>
      </c>
      <c r="GV123" s="64">
        <f t="shared" si="318"/>
        <v>0</v>
      </c>
      <c r="GW123" s="64">
        <f t="shared" si="318"/>
        <v>6</v>
      </c>
      <c r="GX123" s="64">
        <f t="shared" si="318"/>
        <v>12</v>
      </c>
      <c r="GY123" s="64">
        <f t="shared" si="318"/>
        <v>12</v>
      </c>
      <c r="GZ123" s="64">
        <f t="shared" si="318"/>
        <v>12</v>
      </c>
      <c r="HA123" s="64">
        <f t="shared" si="318"/>
        <v>12</v>
      </c>
      <c r="HB123" s="64">
        <f t="shared" si="318"/>
        <v>18</v>
      </c>
      <c r="HC123" s="64">
        <f t="shared" si="318"/>
        <v>18</v>
      </c>
      <c r="HD123" s="64">
        <f t="shared" si="318"/>
        <v>18</v>
      </c>
      <c r="HE123" s="64">
        <f t="shared" si="318"/>
        <v>24</v>
      </c>
      <c r="HF123" s="64">
        <f t="shared" si="318"/>
        <v>24</v>
      </c>
      <c r="HG123" s="64">
        <f t="shared" si="318"/>
        <v>24</v>
      </c>
      <c r="HH123" s="64">
        <f t="shared" si="318"/>
        <v>24</v>
      </c>
      <c r="HI123" s="64">
        <f t="shared" si="318"/>
        <v>30</v>
      </c>
      <c r="HJ123" s="64">
        <f t="shared" si="318"/>
        <v>30</v>
      </c>
      <c r="HK123" s="64">
        <f t="shared" si="318"/>
        <v>30</v>
      </c>
      <c r="HL123" s="64">
        <f t="shared" si="318"/>
        <v>36</v>
      </c>
      <c r="HM123" s="64">
        <f t="shared" si="318"/>
        <v>36</v>
      </c>
      <c r="HN123" s="64">
        <f t="shared" si="318"/>
        <v>36</v>
      </c>
      <c r="HO123" s="64">
        <f t="shared" si="318"/>
        <v>36</v>
      </c>
      <c r="HP123" s="64">
        <f t="shared" si="318"/>
        <v>42</v>
      </c>
      <c r="HS123" s="68" t="s">
        <v>324</v>
      </c>
      <c r="HT123" s="68">
        <v>0</v>
      </c>
      <c r="HU123" s="64">
        <f t="shared" ref="HU123:IQ123" si="319">HU96/4*6</f>
        <v>0</v>
      </c>
      <c r="HV123" s="64">
        <f t="shared" si="319"/>
        <v>0</v>
      </c>
      <c r="HW123" s="64">
        <f t="shared" si="319"/>
        <v>6</v>
      </c>
      <c r="HX123" s="64">
        <f t="shared" si="319"/>
        <v>6</v>
      </c>
      <c r="HY123" s="64">
        <f t="shared" si="319"/>
        <v>12</v>
      </c>
      <c r="HZ123" s="64">
        <f t="shared" si="319"/>
        <v>12</v>
      </c>
      <c r="IA123" s="64">
        <f t="shared" si="319"/>
        <v>12</v>
      </c>
      <c r="IB123" s="64">
        <f t="shared" si="319"/>
        <v>18</v>
      </c>
      <c r="IC123" s="64">
        <f t="shared" si="319"/>
        <v>18</v>
      </c>
      <c r="ID123" s="64">
        <f t="shared" si="319"/>
        <v>18</v>
      </c>
      <c r="IE123" s="64">
        <f t="shared" si="319"/>
        <v>24</v>
      </c>
      <c r="IF123" s="64">
        <f t="shared" si="319"/>
        <v>24</v>
      </c>
      <c r="IG123" s="64">
        <f t="shared" si="319"/>
        <v>24</v>
      </c>
      <c r="IH123" s="64">
        <f t="shared" si="319"/>
        <v>24</v>
      </c>
      <c r="II123" s="64">
        <f t="shared" si="319"/>
        <v>30</v>
      </c>
      <c r="IJ123" s="64">
        <f t="shared" si="319"/>
        <v>30</v>
      </c>
      <c r="IK123" s="64">
        <f t="shared" si="319"/>
        <v>30</v>
      </c>
      <c r="IL123" s="64">
        <f t="shared" si="319"/>
        <v>36</v>
      </c>
      <c r="IM123" s="64">
        <f t="shared" si="319"/>
        <v>36</v>
      </c>
      <c r="IN123" s="64">
        <f t="shared" si="319"/>
        <v>36</v>
      </c>
      <c r="IO123" s="64">
        <f t="shared" si="319"/>
        <v>42</v>
      </c>
      <c r="IP123" s="64">
        <f t="shared" si="319"/>
        <v>42</v>
      </c>
      <c r="IQ123" s="64">
        <f t="shared" si="319"/>
        <v>42</v>
      </c>
      <c r="IR123" s="71"/>
    </row>
    <row r="124" spans="1:252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38" t="s">
        <v>336</v>
      </c>
      <c r="M124" s="11">
        <f>INDEX(cenník!$C$2:$I$568,MATCH($L124,cenník!$B$2:$B$557,0),MATCH(M$2,cenník!$C$1:$I$1,0))</f>
        <v>890504</v>
      </c>
      <c r="N124" s="11" t="str">
        <f>INDEX(cenník!$C$2:$I$568,MATCH($L124,cenník!$B$2:$B$557,0),MATCH(N$2,cenník!$C$1:$I$1,0))</f>
        <v>ks</v>
      </c>
      <c r="O124" s="11">
        <f>SUM(C98:C113)*8</f>
        <v>0</v>
      </c>
      <c r="P124" s="36">
        <f>INDEX(cenník!$C$2:$I$568,MATCH($L124,cenník!$B$2:$B$557,0),MATCH(P$2,cenník!$C$1:$I$1,0))</f>
        <v>1.59</v>
      </c>
      <c r="Q124" s="36">
        <f t="shared" si="273"/>
        <v>0</v>
      </c>
      <c r="R124" s="37">
        <f t="shared" si="263"/>
        <v>0</v>
      </c>
      <c r="S124" s="36">
        <f t="shared" si="264"/>
        <v>1.59</v>
      </c>
      <c r="T124" s="36">
        <f t="shared" si="274"/>
        <v>0</v>
      </c>
      <c r="U124" s="36">
        <f>INDEX(cenník!$C$2:$I$568,MATCH($L124,cenník!$B$2:$B$557,0),MATCH(U$2,cenník!$C$1:$I$1,0))*O124</f>
        <v>0</v>
      </c>
      <c r="V124" s="85"/>
      <c r="W124" s="87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87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87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87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64">
        <f t="shared" si="313"/>
        <v>0</v>
      </c>
      <c r="AB124" s="64">
        <f t="shared" si="314"/>
        <v>0</v>
      </c>
      <c r="AC124" s="64"/>
      <c r="AD124" s="64"/>
      <c r="AE124" s="64"/>
      <c r="AF124" s="64"/>
      <c r="AG124" s="64"/>
      <c r="AH124" s="64"/>
      <c r="AI124" s="64"/>
      <c r="AJ124" s="64"/>
      <c r="AK124" s="64"/>
      <c r="AL124" s="64"/>
      <c r="AM124" s="64"/>
      <c r="AN124" s="64"/>
      <c r="AO124" s="64">
        <f t="shared" si="315"/>
        <v>1</v>
      </c>
      <c r="AP124" s="64" t="s">
        <v>57</v>
      </c>
      <c r="AQ124" s="64" t="s">
        <v>295</v>
      </c>
      <c r="AR124" s="68" t="s">
        <v>294</v>
      </c>
      <c r="AS124" s="68" t="s">
        <v>292</v>
      </c>
      <c r="AT124" s="68" t="s">
        <v>292</v>
      </c>
      <c r="AX124" s="64"/>
      <c r="AY124" s="64"/>
      <c r="AZ124" s="64"/>
      <c r="BA124" s="64"/>
      <c r="BB124" s="64"/>
      <c r="BC124" s="64"/>
      <c r="BD124" s="64"/>
      <c r="BE124" s="64"/>
      <c r="BF124" s="64"/>
      <c r="BG124" s="64"/>
      <c r="BH124" s="64"/>
      <c r="BI124" s="64"/>
      <c r="BJ124" s="64"/>
      <c r="BK124" s="64"/>
      <c r="BL124" s="64"/>
      <c r="BM124" s="64"/>
      <c r="BN124" s="64"/>
      <c r="BO124" s="64"/>
      <c r="BP124" s="64"/>
      <c r="BQ124" s="64"/>
      <c r="BR124" s="64"/>
      <c r="BS124" s="64"/>
      <c r="BT124" s="64"/>
      <c r="BU124" s="64"/>
      <c r="BV124" s="64"/>
      <c r="BW124" s="64"/>
      <c r="BX124" s="64"/>
      <c r="BY124" s="64"/>
      <c r="BZ124" s="64"/>
      <c r="CA124" s="64"/>
      <c r="CB124" s="64"/>
      <c r="CC124" s="64"/>
      <c r="CD124" s="64"/>
      <c r="CE124" s="64"/>
      <c r="CF124" s="64"/>
      <c r="CG124" s="64"/>
      <c r="CH124" s="64"/>
      <c r="CI124" s="64"/>
      <c r="CJ124" s="64"/>
      <c r="CK124" s="64"/>
      <c r="CL124" s="64"/>
      <c r="CM124" s="64"/>
      <c r="CN124" s="64"/>
      <c r="CO124" s="64"/>
      <c r="CP124" s="64"/>
      <c r="CQ124" s="64"/>
      <c r="CR124" s="64"/>
      <c r="CS124" s="64"/>
      <c r="CT124" s="64"/>
      <c r="CU124" s="64"/>
      <c r="CV124" s="64"/>
      <c r="CW124" s="64"/>
      <c r="CX124" s="64"/>
      <c r="CY124" s="64"/>
      <c r="CZ124" s="64"/>
      <c r="DA124" s="64"/>
      <c r="DB124" s="64"/>
      <c r="DC124" s="64"/>
      <c r="DD124" s="64"/>
      <c r="DE124" s="64"/>
      <c r="DF124" s="64"/>
      <c r="DG124" s="64"/>
      <c r="DH124" s="64"/>
      <c r="DI124" s="64"/>
      <c r="DJ124" s="64"/>
      <c r="DK124" s="64"/>
      <c r="DL124" s="64"/>
      <c r="DM124" s="64"/>
      <c r="DN124" s="64"/>
      <c r="DO124" s="64"/>
      <c r="DP124" s="64"/>
      <c r="DQ124" s="80"/>
      <c r="DR124" s="80">
        <v>48</v>
      </c>
      <c r="DS124" s="80"/>
      <c r="DT124" s="64"/>
      <c r="DU124" s="64"/>
      <c r="DV124" s="64"/>
      <c r="DW124" s="64"/>
      <c r="DX124" s="64"/>
      <c r="DY124" s="64"/>
      <c r="DZ124" s="64"/>
      <c r="EA124" s="64"/>
      <c r="EB124" s="64"/>
      <c r="EC124" s="64"/>
      <c r="ED124" s="64"/>
      <c r="EE124" s="64"/>
      <c r="EF124" s="64"/>
      <c r="EG124" s="64"/>
      <c r="EH124" s="64"/>
      <c r="EI124" s="64"/>
      <c r="EJ124" s="69"/>
      <c r="EK124" s="64"/>
      <c r="EL124" s="64"/>
      <c r="EM124" s="64"/>
      <c r="EN124" s="64"/>
      <c r="EO124" s="64"/>
      <c r="EP124" s="64"/>
      <c r="EQ124" s="64"/>
      <c r="ER124" s="64"/>
      <c r="ES124" s="64"/>
      <c r="ET124" s="64"/>
      <c r="EU124" s="64"/>
      <c r="EV124" s="64"/>
      <c r="EW124" s="64"/>
      <c r="EX124" s="64"/>
      <c r="EY124" s="64"/>
      <c r="EZ124" s="64"/>
      <c r="FA124" s="64"/>
      <c r="FB124" s="64"/>
      <c r="FC124" s="64"/>
      <c r="FD124" s="64"/>
      <c r="FE124" s="64"/>
      <c r="FF124" s="64"/>
      <c r="FG124" s="64"/>
      <c r="FH124" s="64"/>
      <c r="FI124" s="64"/>
      <c r="FJ124" s="64"/>
      <c r="FK124" s="64"/>
      <c r="FL124" s="64"/>
      <c r="FM124" s="64"/>
      <c r="FN124" s="64"/>
      <c r="FO124" s="64"/>
      <c r="FP124" s="64"/>
      <c r="FQ124" s="64"/>
      <c r="FR124" s="64"/>
      <c r="FS124" s="64"/>
      <c r="FT124" s="64"/>
      <c r="FU124" s="64"/>
      <c r="FV124" s="64"/>
      <c r="FW124" s="64"/>
      <c r="FX124" s="64"/>
      <c r="FY124" s="64"/>
      <c r="FZ124" s="64"/>
      <c r="GA124" s="64"/>
      <c r="GB124" s="64"/>
      <c r="GC124" s="64"/>
      <c r="GD124" s="64"/>
      <c r="GE124" s="64"/>
      <c r="GF124" s="64"/>
      <c r="GG124" s="64"/>
      <c r="GH124" s="64"/>
      <c r="GI124" s="64"/>
      <c r="GJ124" s="64"/>
      <c r="GK124" s="64"/>
      <c r="GL124" s="64"/>
      <c r="GM124" s="64"/>
      <c r="GN124" s="64"/>
      <c r="GO124" s="64"/>
      <c r="GP124" s="64"/>
      <c r="GQ124" s="64"/>
      <c r="GR124" s="64"/>
      <c r="GS124" s="64"/>
      <c r="GT124" s="64"/>
      <c r="GU124" s="64"/>
      <c r="GV124" s="64"/>
      <c r="GW124" s="64"/>
      <c r="GX124" s="64"/>
      <c r="GY124" s="64"/>
      <c r="GZ124" s="64"/>
      <c r="HA124" s="64"/>
      <c r="HB124" s="64"/>
      <c r="HC124" s="64"/>
      <c r="HD124" s="64"/>
      <c r="HE124" s="64"/>
      <c r="HF124" s="64"/>
      <c r="HG124" s="64"/>
      <c r="HH124" s="64"/>
      <c r="IR124" s="71"/>
    </row>
    <row r="125" spans="1:252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514</v>
      </c>
      <c r="S125" s="36"/>
      <c r="V125" s="85"/>
      <c r="W125" s="87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87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87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87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64">
        <f t="shared" si="313"/>
        <v>0</v>
      </c>
      <c r="AB125" s="64">
        <f t="shared" si="314"/>
        <v>0</v>
      </c>
      <c r="AC125" s="64"/>
      <c r="AD125" s="64"/>
      <c r="AE125" s="64"/>
      <c r="AF125" s="64"/>
      <c r="AG125" s="64"/>
      <c r="AH125" s="64"/>
      <c r="AI125" s="64"/>
      <c r="AJ125" s="64"/>
      <c r="AK125" s="64"/>
      <c r="AL125" s="64"/>
      <c r="AM125" s="64"/>
      <c r="AN125" s="64"/>
      <c r="AO125" s="64">
        <f t="shared" si="315"/>
        <v>1</v>
      </c>
      <c r="AP125" s="64" t="s">
        <v>67</v>
      </c>
      <c r="AQ125" s="64" t="s">
        <v>295</v>
      </c>
      <c r="AR125" s="68" t="s">
        <v>294</v>
      </c>
      <c r="AS125" s="68" t="s">
        <v>293</v>
      </c>
      <c r="AT125" s="68" t="s">
        <v>293</v>
      </c>
      <c r="AX125" s="64"/>
      <c r="AY125" s="64"/>
      <c r="AZ125" s="64"/>
      <c r="BA125" s="64"/>
      <c r="BB125" s="64"/>
      <c r="BC125" s="64"/>
      <c r="BD125" s="64"/>
      <c r="BE125" s="64"/>
      <c r="BF125" s="64"/>
      <c r="BG125" s="64"/>
      <c r="BH125" s="64"/>
      <c r="BI125" s="64"/>
      <c r="BJ125" s="64"/>
      <c r="BK125" s="64"/>
      <c r="BL125" s="64"/>
      <c r="BM125" s="64"/>
      <c r="BN125" s="64"/>
      <c r="BO125" s="64"/>
      <c r="BP125" s="64"/>
      <c r="BQ125" s="64"/>
      <c r="BR125" s="64"/>
      <c r="BS125" s="64"/>
      <c r="BT125" s="64"/>
      <c r="BU125" s="64"/>
      <c r="BV125" s="64"/>
      <c r="BW125" s="64"/>
      <c r="BX125" s="64"/>
      <c r="BY125" s="64"/>
      <c r="BZ125" s="64"/>
      <c r="CA125" s="64"/>
      <c r="CB125" s="64"/>
      <c r="CC125" s="64"/>
      <c r="CD125" s="64"/>
      <c r="CE125" s="64"/>
      <c r="CF125" s="64"/>
      <c r="CG125" s="64"/>
      <c r="CH125" s="64"/>
      <c r="CI125" s="64"/>
      <c r="CJ125" s="64"/>
      <c r="CK125" s="64"/>
      <c r="CL125" s="64"/>
      <c r="CM125" s="64"/>
      <c r="CN125" s="64"/>
      <c r="CO125" s="64"/>
      <c r="CP125" s="64"/>
      <c r="CQ125" s="64"/>
      <c r="CR125" s="64"/>
      <c r="CS125" s="64"/>
      <c r="CT125" s="64"/>
      <c r="CU125" s="64"/>
      <c r="CV125" s="64"/>
      <c r="CW125" s="64"/>
      <c r="CX125" s="64"/>
      <c r="CY125" s="64"/>
      <c r="CZ125" s="64"/>
      <c r="DA125" s="64"/>
      <c r="DB125" s="64"/>
      <c r="DC125" s="64"/>
      <c r="DD125" s="64"/>
      <c r="DE125" s="64"/>
      <c r="DF125" s="64"/>
      <c r="DG125" s="64"/>
      <c r="DH125" s="64"/>
      <c r="DI125" s="64"/>
      <c r="DJ125" s="64"/>
      <c r="DK125" s="64"/>
      <c r="DL125" s="64"/>
      <c r="DM125" s="64"/>
      <c r="DN125" s="64"/>
      <c r="DO125" s="64"/>
      <c r="DP125" s="64"/>
      <c r="DQ125" s="80"/>
      <c r="DR125" s="80">
        <v>51</v>
      </c>
      <c r="DS125" s="80"/>
      <c r="DT125" s="64"/>
      <c r="DU125" s="64"/>
      <c r="DV125" s="64"/>
      <c r="DW125" s="64"/>
      <c r="DX125" s="64"/>
      <c r="DY125" s="64"/>
      <c r="DZ125" s="64"/>
      <c r="EA125" s="64"/>
      <c r="EB125" s="64"/>
      <c r="EC125" s="64"/>
      <c r="ED125" s="64"/>
      <c r="EE125" s="64"/>
      <c r="EF125" s="64"/>
      <c r="EG125" s="64"/>
      <c r="EH125" s="64"/>
      <c r="EI125" s="64"/>
      <c r="EJ125" s="69"/>
      <c r="EK125" s="64"/>
      <c r="EL125" s="64"/>
      <c r="EM125" s="64"/>
      <c r="EN125" s="64"/>
      <c r="EO125" s="64"/>
      <c r="EP125" s="64"/>
      <c r="EQ125" s="64"/>
      <c r="ER125" s="64"/>
      <c r="ES125" s="64"/>
      <c r="ET125" s="64"/>
      <c r="EU125" s="64"/>
      <c r="EV125" s="64"/>
      <c r="EW125" s="64"/>
      <c r="EX125" s="64"/>
      <c r="EY125" s="64"/>
      <c r="EZ125" s="64"/>
      <c r="FA125" s="64"/>
      <c r="FB125" s="64"/>
      <c r="FC125" s="64"/>
      <c r="FD125" s="64"/>
      <c r="FE125" s="64"/>
      <c r="FF125" s="64"/>
      <c r="FG125" s="64"/>
      <c r="FH125" s="64"/>
      <c r="FI125" s="64"/>
      <c r="FJ125" s="64"/>
      <c r="FK125" s="64"/>
      <c r="FL125" s="64"/>
      <c r="FM125" s="64"/>
      <c r="FN125" s="64"/>
      <c r="FO125" s="64"/>
      <c r="FP125" s="64"/>
      <c r="FQ125" s="64"/>
      <c r="FR125" s="64"/>
      <c r="FS125" s="64"/>
      <c r="FT125" s="64"/>
      <c r="FU125" s="64"/>
      <c r="FV125" s="64"/>
      <c r="FW125" s="64"/>
      <c r="FX125" s="64"/>
      <c r="FY125" s="64"/>
      <c r="FZ125" s="64"/>
      <c r="GA125" s="64"/>
      <c r="GB125" s="64"/>
      <c r="GC125" s="64"/>
      <c r="GD125" s="64"/>
      <c r="GE125" s="64"/>
      <c r="GF125" s="64"/>
      <c r="GG125" s="64"/>
      <c r="GH125" s="64"/>
      <c r="GI125" s="64"/>
      <c r="GJ125" s="64"/>
      <c r="GK125" s="64"/>
      <c r="GL125" s="64"/>
      <c r="GM125" s="64"/>
      <c r="GN125" s="64"/>
      <c r="GO125" s="64"/>
      <c r="GP125" s="64"/>
      <c r="GQ125" s="64"/>
      <c r="GR125" s="64"/>
      <c r="GS125" s="64"/>
      <c r="GT125" s="64"/>
      <c r="GU125" s="64"/>
      <c r="GV125" s="64"/>
      <c r="GW125" s="64"/>
      <c r="GX125" s="64"/>
      <c r="GY125" s="64"/>
      <c r="GZ125" s="64"/>
      <c r="HA125" s="64"/>
      <c r="HB125" s="64"/>
      <c r="HC125" s="64"/>
      <c r="HD125" s="64"/>
      <c r="HE125" s="64"/>
      <c r="HF125" s="64"/>
      <c r="HG125" s="64"/>
      <c r="HH125" s="64"/>
      <c r="HS125" s="68" t="s">
        <v>355</v>
      </c>
      <c r="HT125" s="68">
        <v>0</v>
      </c>
      <c r="HU125" s="68">
        <v>9</v>
      </c>
      <c r="HV125" s="68">
        <v>12</v>
      </c>
      <c r="HW125" s="68">
        <v>15</v>
      </c>
      <c r="HX125" s="68">
        <v>18</v>
      </c>
      <c r="HY125" s="68">
        <v>21</v>
      </c>
      <c r="HZ125" s="68">
        <v>24</v>
      </c>
      <c r="IA125" s="68">
        <v>27</v>
      </c>
      <c r="IB125" s="68">
        <v>30</v>
      </c>
      <c r="IC125" s="68">
        <v>33</v>
      </c>
      <c r="ID125" s="68">
        <v>36</v>
      </c>
      <c r="IE125" s="68">
        <v>39</v>
      </c>
      <c r="IF125" s="68">
        <v>42</v>
      </c>
      <c r="IG125" s="68">
        <v>45</v>
      </c>
      <c r="IH125" s="68">
        <v>48</v>
      </c>
      <c r="II125" s="68">
        <v>51</v>
      </c>
      <c r="IJ125" s="68">
        <v>54</v>
      </c>
      <c r="IK125" s="68">
        <v>57</v>
      </c>
      <c r="IL125" s="68">
        <v>60</v>
      </c>
      <c r="IM125" s="68">
        <v>63</v>
      </c>
      <c r="IN125" s="68">
        <v>66</v>
      </c>
      <c r="IO125" s="68">
        <v>69</v>
      </c>
      <c r="IP125" s="68">
        <v>72</v>
      </c>
      <c r="IQ125" s="68">
        <v>75</v>
      </c>
      <c r="IR125" s="71"/>
    </row>
    <row r="126" spans="1:252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CWT70H50/2,4NMC</v>
      </c>
      <c r="M126" s="11">
        <f>INDEX(cenník!$C$2:$I$568,MATCH($L126,cenník!$B$2:$B$557,0),MATCH(M$2,cenník!$C$1:$I$1,0))</f>
        <v>867824</v>
      </c>
      <c r="N126" s="11" t="str">
        <f>INDEX(cenník!$C$2:$I$568,MATCH($L126,cenník!$B$2:$B$557,0),MATCH(N$2,cenník!$C$1:$I$1,0))</f>
        <v>ks</v>
      </c>
      <c r="O126" s="11">
        <f>E102*2</f>
        <v>0</v>
      </c>
      <c r="P126" s="36">
        <f>INDEX(cenník!$C$2:$I$568,MATCH($L126,cenník!$B$2:$B$557,0),MATCH(P$2,cenník!$C$1:$I$1,0))</f>
        <v>41.99</v>
      </c>
      <c r="Q126" s="36">
        <f>O126*P126</f>
        <v>0</v>
      </c>
      <c r="R126" s="37">
        <f>$E$103</f>
        <v>0</v>
      </c>
      <c r="S126" s="36">
        <f>P126*((100-$E$103)/100)</f>
        <v>41.99</v>
      </c>
      <c r="T126" s="36">
        <f>O126*S126</f>
        <v>0</v>
      </c>
      <c r="U126" s="36">
        <f>INDEX(cenník!$C$2:$I$568,MATCH($L126,cenník!$B$2:$B$557,0),MATCH(U$2,cenník!$C$1:$I$1,0))*O126</f>
        <v>0</v>
      </c>
      <c r="V126" s="85"/>
      <c r="W126" s="87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87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87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87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64">
        <f t="shared" si="313"/>
        <v>0</v>
      </c>
      <c r="AB126" s="64">
        <f t="shared" si="314"/>
        <v>0</v>
      </c>
      <c r="AC126" s="64"/>
      <c r="AD126" s="64"/>
      <c r="AE126" s="64"/>
      <c r="AF126" s="64"/>
      <c r="AG126" s="64"/>
      <c r="AH126" s="64"/>
      <c r="AI126" s="64"/>
      <c r="AJ126" s="64"/>
      <c r="AK126" s="64"/>
      <c r="AL126" s="64"/>
      <c r="AM126" s="64"/>
      <c r="AN126" s="64"/>
      <c r="AO126" s="64">
        <f t="shared" si="315"/>
        <v>1</v>
      </c>
      <c r="AP126" s="64" t="s">
        <v>195</v>
      </c>
      <c r="AQ126" s="64" t="s">
        <v>295</v>
      </c>
      <c r="AR126" s="68" t="s">
        <v>294</v>
      </c>
      <c r="AS126" s="68" t="s">
        <v>293</v>
      </c>
      <c r="AT126" s="68" t="s">
        <v>293</v>
      </c>
      <c r="AX126" s="64"/>
      <c r="AY126" s="64"/>
      <c r="AZ126" s="64"/>
      <c r="BA126" s="64"/>
      <c r="BB126" s="64"/>
      <c r="BC126" s="64"/>
      <c r="BD126" s="64"/>
      <c r="BE126" s="64"/>
      <c r="BF126" s="64"/>
      <c r="BG126" s="64"/>
      <c r="BH126" s="64"/>
      <c r="BI126" s="64"/>
      <c r="BJ126" s="64"/>
      <c r="BK126" s="64"/>
      <c r="BL126" s="64"/>
      <c r="BM126" s="64"/>
      <c r="BN126" s="64"/>
      <c r="BO126" s="64"/>
      <c r="BP126" s="64"/>
      <c r="BQ126" s="64"/>
      <c r="BR126" s="64"/>
      <c r="BS126" s="64"/>
      <c r="BT126" s="64"/>
      <c r="BU126" s="64"/>
      <c r="BV126" s="64"/>
      <c r="BW126" s="64"/>
      <c r="BX126" s="64"/>
      <c r="BY126" s="64"/>
      <c r="BZ126" s="64"/>
      <c r="CA126" s="64"/>
      <c r="CB126" s="64"/>
      <c r="CC126" s="64"/>
      <c r="CD126" s="64"/>
      <c r="CE126" s="64"/>
      <c r="CF126" s="64"/>
      <c r="CG126" s="64"/>
      <c r="CH126" s="64"/>
      <c r="CI126" s="64"/>
      <c r="CJ126" s="64"/>
      <c r="CK126" s="64"/>
      <c r="CL126" s="64"/>
      <c r="CM126" s="64"/>
      <c r="CN126" s="64"/>
      <c r="CO126" s="64"/>
      <c r="CP126" s="64"/>
      <c r="CQ126" s="64"/>
      <c r="CR126" s="64"/>
      <c r="CS126" s="64"/>
      <c r="CT126" s="64"/>
      <c r="CU126" s="64"/>
      <c r="CV126" s="64"/>
      <c r="CW126" s="64"/>
      <c r="CX126" s="64"/>
      <c r="CY126" s="64"/>
      <c r="CZ126" s="64"/>
      <c r="DA126" s="64"/>
      <c r="DB126" s="64"/>
      <c r="DC126" s="64"/>
      <c r="DD126" s="64"/>
      <c r="DE126" s="64"/>
      <c r="DF126" s="64"/>
      <c r="DG126" s="64"/>
      <c r="DH126" s="64"/>
      <c r="DI126" s="64"/>
      <c r="DJ126" s="64"/>
      <c r="DK126" s="64"/>
      <c r="DL126" s="64"/>
      <c r="DM126" s="64"/>
      <c r="DN126" s="64"/>
      <c r="DO126" s="64"/>
      <c r="DP126" s="64"/>
      <c r="DQ126" s="80"/>
      <c r="DR126" s="80">
        <v>54</v>
      </c>
      <c r="DS126" s="80"/>
      <c r="DT126" s="64"/>
      <c r="DU126" s="64"/>
      <c r="DV126" s="64"/>
      <c r="DW126" s="64"/>
      <c r="DX126" s="64"/>
      <c r="DY126" s="64"/>
      <c r="DZ126" s="64"/>
      <c r="EA126" s="64"/>
      <c r="EB126" s="64"/>
      <c r="EC126" s="64"/>
      <c r="ED126" s="64"/>
      <c r="EE126" s="64"/>
      <c r="EF126" s="64"/>
      <c r="EG126" s="64"/>
      <c r="EH126" s="64"/>
      <c r="EI126" s="64"/>
      <c r="EJ126" s="69"/>
      <c r="EK126" s="64"/>
      <c r="EL126" s="64"/>
      <c r="EM126" s="64"/>
      <c r="EN126" s="64"/>
      <c r="EO126" s="64"/>
      <c r="EP126" s="64"/>
      <c r="EQ126" s="64"/>
      <c r="ER126" s="64"/>
      <c r="ES126" s="64"/>
      <c r="ET126" s="64"/>
      <c r="EU126" s="64"/>
      <c r="EV126" s="64"/>
      <c r="EW126" s="64"/>
      <c r="EX126" s="64"/>
      <c r="EY126" s="64"/>
      <c r="EZ126" s="64"/>
      <c r="FA126" s="64"/>
      <c r="FB126" s="64"/>
      <c r="FC126" s="64"/>
      <c r="FD126" s="64"/>
      <c r="FE126" s="64"/>
      <c r="FF126" s="64"/>
      <c r="FG126" s="64"/>
      <c r="FH126" s="64"/>
      <c r="FI126" s="64"/>
      <c r="FJ126" s="64"/>
      <c r="FK126" s="64"/>
      <c r="FL126" s="64"/>
      <c r="FM126" s="64"/>
      <c r="FN126" s="64"/>
      <c r="FO126" s="64"/>
      <c r="FP126" s="64"/>
      <c r="FQ126" s="64"/>
      <c r="FR126" s="64"/>
      <c r="FS126" s="64"/>
      <c r="FT126" s="64"/>
      <c r="FU126" s="64"/>
      <c r="FV126" s="64"/>
      <c r="FW126" s="64"/>
      <c r="FX126" s="64"/>
      <c r="FY126" s="64"/>
      <c r="FZ126" s="64"/>
      <c r="GA126" s="64"/>
      <c r="GB126" s="64"/>
      <c r="GC126" s="64"/>
      <c r="GD126" s="64"/>
      <c r="GE126" s="64"/>
      <c r="GF126" s="64"/>
      <c r="GG126" s="64"/>
      <c r="GH126" s="64"/>
      <c r="GI126" s="64"/>
      <c r="GJ126" s="64"/>
      <c r="GK126" s="64"/>
      <c r="GL126" s="64"/>
      <c r="GM126" s="64"/>
      <c r="GN126" s="64"/>
      <c r="GO126" s="64"/>
      <c r="GP126" s="64"/>
      <c r="GQ126" s="64"/>
      <c r="GR126" s="64"/>
      <c r="GS126" s="64"/>
      <c r="GT126" s="64"/>
      <c r="GU126" s="64"/>
      <c r="GV126" s="64"/>
      <c r="GW126" s="64"/>
      <c r="GX126" s="64"/>
      <c r="GY126" s="64"/>
      <c r="GZ126" s="64"/>
      <c r="HA126" s="64"/>
      <c r="HB126" s="64"/>
      <c r="HC126" s="64"/>
      <c r="HD126" s="64"/>
      <c r="HE126" s="64"/>
      <c r="HF126" s="64"/>
      <c r="HG126" s="64"/>
      <c r="HH126" s="64"/>
      <c r="HS126" s="68" t="s">
        <v>286</v>
      </c>
      <c r="HT126" s="68">
        <v>0</v>
      </c>
      <c r="HU126" s="64">
        <f>HU99/4*6</f>
        <v>0</v>
      </c>
      <c r="HV126" s="64">
        <f t="shared" ref="HV126:IQ126" si="320">HV99/4*6</f>
        <v>6</v>
      </c>
      <c r="HW126" s="64">
        <f t="shared" si="320"/>
        <v>0</v>
      </c>
      <c r="HX126" s="64">
        <f t="shared" si="320"/>
        <v>0</v>
      </c>
      <c r="HY126" s="64">
        <f t="shared" si="320"/>
        <v>0</v>
      </c>
      <c r="HZ126" s="64">
        <f t="shared" si="320"/>
        <v>0</v>
      </c>
      <c r="IA126" s="64">
        <f t="shared" si="320"/>
        <v>0</v>
      </c>
      <c r="IB126" s="64">
        <f t="shared" si="320"/>
        <v>0</v>
      </c>
      <c r="IC126" s="64">
        <f t="shared" si="320"/>
        <v>0</v>
      </c>
      <c r="ID126" s="64">
        <f t="shared" si="320"/>
        <v>0</v>
      </c>
      <c r="IE126" s="64">
        <f t="shared" si="320"/>
        <v>0</v>
      </c>
      <c r="IF126" s="64">
        <f t="shared" si="320"/>
        <v>0</v>
      </c>
      <c r="IG126" s="64">
        <f t="shared" si="320"/>
        <v>0</v>
      </c>
      <c r="IH126" s="64">
        <f t="shared" si="320"/>
        <v>0</v>
      </c>
      <c r="II126" s="64">
        <f t="shared" si="320"/>
        <v>0</v>
      </c>
      <c r="IJ126" s="64">
        <f t="shared" si="320"/>
        <v>0</v>
      </c>
      <c r="IK126" s="64">
        <f t="shared" si="320"/>
        <v>0</v>
      </c>
      <c r="IL126" s="64">
        <f t="shared" si="320"/>
        <v>0</v>
      </c>
      <c r="IM126" s="64">
        <f t="shared" si="320"/>
        <v>0</v>
      </c>
      <c r="IN126" s="64">
        <f t="shared" si="320"/>
        <v>0</v>
      </c>
      <c r="IO126" s="64">
        <f t="shared" si="320"/>
        <v>0</v>
      </c>
      <c r="IP126" s="64">
        <f t="shared" si="320"/>
        <v>0</v>
      </c>
      <c r="IQ126" s="64">
        <f t="shared" si="320"/>
        <v>0</v>
      </c>
      <c r="IR126" s="71"/>
    </row>
    <row r="127" spans="1:252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290</v>
      </c>
      <c r="M127" s="11">
        <f>INDEX(cenník!$C$2:$I$568,MATCH($L127,cenník!$B$2:$B$557,0),MATCH(M$2,cenník!$C$1:$I$1,0))</f>
        <v>867810</v>
      </c>
      <c r="N127" s="11" t="str">
        <f>INDEX(cenník!$C$2:$I$568,MATCH($L127,cenník!$B$2:$B$557,0),MATCH(N$2,cenník!$C$1:$I$1,0))</f>
        <v>ks</v>
      </c>
      <c r="O127" s="11">
        <f>E102*4</f>
        <v>0</v>
      </c>
      <c r="P127" s="36">
        <f>INDEX(cenník!$C$2:$I$568,MATCH($L127,cenník!$B$2:$B$557,0),MATCH(P$2,cenník!$C$1:$I$1,0))</f>
        <v>17.5</v>
      </c>
      <c r="Q127" s="36">
        <f>O127*P127</f>
        <v>0</v>
      </c>
      <c r="R127" s="37">
        <f>$E$103</f>
        <v>0</v>
      </c>
      <c r="S127" s="36">
        <f>P127*((100-$E$103)/100)</f>
        <v>17.5</v>
      </c>
      <c r="T127" s="36">
        <f>O127*S127</f>
        <v>0</v>
      </c>
      <c r="U127" s="36">
        <f>INDEX(cenník!$C$2:$I$568,MATCH($L127,cenník!$B$2:$B$557,0),MATCH(U$2,cenník!$C$1:$I$1,0))*O127</f>
        <v>0</v>
      </c>
      <c r="V127" s="85"/>
      <c r="W127" s="87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87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87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87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64">
        <f t="shared" si="313"/>
        <v>0</v>
      </c>
      <c r="AB127" s="64">
        <f t="shared" si="314"/>
        <v>0</v>
      </c>
      <c r="AC127" s="64"/>
      <c r="AD127" s="64"/>
      <c r="AE127" s="64"/>
      <c r="AF127" s="64"/>
      <c r="AG127" s="64"/>
      <c r="AH127" s="64"/>
      <c r="AI127" s="64"/>
      <c r="AJ127" s="64"/>
      <c r="AK127" s="64"/>
      <c r="AL127" s="64"/>
      <c r="AM127" s="64"/>
      <c r="AN127" s="64"/>
      <c r="AO127" s="64">
        <f t="shared" si="315"/>
        <v>1</v>
      </c>
      <c r="AP127" s="64" t="s">
        <v>197</v>
      </c>
      <c r="AQ127" s="64" t="s">
        <v>295</v>
      </c>
      <c r="AR127" s="68" t="s">
        <v>294</v>
      </c>
      <c r="AS127" s="68" t="s">
        <v>293</v>
      </c>
      <c r="AT127" s="68" t="s">
        <v>293</v>
      </c>
      <c r="AX127" s="64"/>
      <c r="AY127" s="64"/>
      <c r="AZ127" s="64"/>
      <c r="BA127" s="64"/>
      <c r="BB127" s="64"/>
      <c r="BC127" s="64"/>
      <c r="BD127" s="64"/>
      <c r="BE127" s="64"/>
      <c r="BF127" s="64"/>
      <c r="BG127" s="64"/>
      <c r="BH127" s="64"/>
      <c r="BI127" s="64"/>
      <c r="BJ127" s="64"/>
      <c r="BK127" s="64"/>
      <c r="BL127" s="64"/>
      <c r="BM127" s="64"/>
      <c r="BN127" s="64"/>
      <c r="BO127" s="64"/>
      <c r="BP127" s="64"/>
      <c r="BQ127" s="64"/>
      <c r="BR127" s="64"/>
      <c r="BS127" s="64"/>
      <c r="BT127" s="64"/>
      <c r="BU127" s="64"/>
      <c r="BV127" s="64"/>
      <c r="BW127" s="64"/>
      <c r="BX127" s="64"/>
      <c r="BY127" s="64"/>
      <c r="BZ127" s="64"/>
      <c r="CA127" s="64"/>
      <c r="CB127" s="64"/>
      <c r="CC127" s="64"/>
      <c r="CD127" s="64"/>
      <c r="CE127" s="64"/>
      <c r="CF127" s="64"/>
      <c r="CG127" s="64"/>
      <c r="CH127" s="64"/>
      <c r="CI127" s="64"/>
      <c r="CJ127" s="64"/>
      <c r="CK127" s="64"/>
      <c r="CL127" s="64"/>
      <c r="CM127" s="64"/>
      <c r="CN127" s="64"/>
      <c r="CO127" s="64"/>
      <c r="CP127" s="64"/>
      <c r="CQ127" s="64"/>
      <c r="CR127" s="64"/>
      <c r="CS127" s="64"/>
      <c r="CT127" s="64"/>
      <c r="CU127" s="64"/>
      <c r="CV127" s="64"/>
      <c r="CW127" s="64"/>
      <c r="CX127" s="64"/>
      <c r="CY127" s="64"/>
      <c r="CZ127" s="64"/>
      <c r="DA127" s="64"/>
      <c r="DB127" s="64"/>
      <c r="DC127" s="64"/>
      <c r="DD127" s="64"/>
      <c r="DE127" s="64"/>
      <c r="DF127" s="64"/>
      <c r="DG127" s="64"/>
      <c r="DH127" s="64"/>
      <c r="DI127" s="64"/>
      <c r="DJ127" s="64"/>
      <c r="DK127" s="64"/>
      <c r="DL127" s="64"/>
      <c r="DM127" s="64"/>
      <c r="DN127" s="64"/>
      <c r="DO127" s="64"/>
      <c r="DP127" s="64"/>
      <c r="DQ127" s="80"/>
      <c r="DR127" s="80">
        <v>57</v>
      </c>
      <c r="DS127" s="80"/>
      <c r="DT127" s="64"/>
      <c r="DU127" s="64"/>
      <c r="DV127" s="64"/>
      <c r="DW127" s="64"/>
      <c r="DX127" s="64"/>
      <c r="DY127" s="64"/>
      <c r="DZ127" s="64"/>
      <c r="EA127" s="64"/>
      <c r="EB127" s="64"/>
      <c r="EC127" s="64"/>
      <c r="ED127" s="64"/>
      <c r="EE127" s="64"/>
      <c r="EF127" s="64"/>
      <c r="EG127" s="64"/>
      <c r="EH127" s="64"/>
      <c r="EI127" s="64"/>
      <c r="EJ127" s="69"/>
      <c r="EK127" s="64"/>
      <c r="EL127" s="64"/>
      <c r="EM127" s="64"/>
      <c r="EN127" s="64"/>
      <c r="EO127" s="64"/>
      <c r="EP127" s="64"/>
      <c r="EQ127" s="64"/>
      <c r="ER127" s="64"/>
      <c r="ES127" s="64"/>
      <c r="ET127" s="64"/>
      <c r="EU127" s="64"/>
      <c r="EV127" s="64"/>
      <c r="EW127" s="64"/>
      <c r="EX127" s="64"/>
      <c r="EY127" s="64"/>
      <c r="EZ127" s="64"/>
      <c r="FA127" s="64"/>
      <c r="FB127" s="64"/>
      <c r="FC127" s="64"/>
      <c r="FD127" s="64"/>
      <c r="FE127" s="64"/>
      <c r="FF127" s="64"/>
      <c r="FG127" s="64"/>
      <c r="FH127" s="64"/>
      <c r="FI127" s="64"/>
      <c r="FJ127" s="64"/>
      <c r="FK127" s="64"/>
      <c r="FL127" s="64"/>
      <c r="FM127" s="64"/>
      <c r="FN127" s="64"/>
      <c r="FO127" s="64"/>
      <c r="FP127" s="64"/>
      <c r="FQ127" s="64"/>
      <c r="FR127" s="64"/>
      <c r="FS127" s="64"/>
      <c r="FT127" s="64"/>
      <c r="FU127" s="64"/>
      <c r="FV127" s="64"/>
      <c r="FW127" s="64"/>
      <c r="FX127" s="64"/>
      <c r="FY127" s="64"/>
      <c r="FZ127" s="64"/>
      <c r="GA127" s="64"/>
      <c r="GB127" s="64"/>
      <c r="GC127" s="64"/>
      <c r="GD127" s="64"/>
      <c r="GE127" s="64"/>
      <c r="GF127" s="64"/>
      <c r="GG127" s="64"/>
      <c r="GH127" s="64"/>
      <c r="GI127" s="64"/>
      <c r="GJ127" s="64"/>
      <c r="GK127" s="64"/>
      <c r="GL127" s="64"/>
      <c r="GM127" s="64"/>
      <c r="GN127" s="64"/>
      <c r="GO127" s="64"/>
      <c r="GP127" s="64"/>
      <c r="GQ127" s="64"/>
      <c r="GR127" s="64"/>
      <c r="GS127" s="64"/>
      <c r="GT127" s="64"/>
      <c r="GU127" s="64"/>
      <c r="GV127" s="64"/>
      <c r="GW127" s="64"/>
      <c r="GX127" s="64"/>
      <c r="GY127" s="64"/>
      <c r="GZ127" s="64"/>
      <c r="HA127" s="64"/>
      <c r="HB127" s="64"/>
      <c r="HC127" s="64"/>
      <c r="HD127" s="64"/>
      <c r="HE127" s="64"/>
      <c r="HF127" s="64"/>
      <c r="HG127" s="64"/>
      <c r="HH127" s="64"/>
      <c r="HS127" s="68" t="s">
        <v>240</v>
      </c>
      <c r="HT127" s="68">
        <v>0</v>
      </c>
      <c r="HU127" s="64">
        <f t="shared" ref="HU127:IQ127" si="321">HU100/4*6</f>
        <v>6</v>
      </c>
      <c r="HV127" s="64">
        <f t="shared" si="321"/>
        <v>0</v>
      </c>
      <c r="HW127" s="64">
        <f t="shared" si="321"/>
        <v>6</v>
      </c>
      <c r="HX127" s="64">
        <f t="shared" si="321"/>
        <v>12</v>
      </c>
      <c r="HY127" s="64">
        <f t="shared" si="321"/>
        <v>6</v>
      </c>
      <c r="HZ127" s="64">
        <f t="shared" si="321"/>
        <v>12</v>
      </c>
      <c r="IA127" s="64">
        <f t="shared" si="321"/>
        <v>18</v>
      </c>
      <c r="IB127" s="64">
        <f t="shared" si="321"/>
        <v>6</v>
      </c>
      <c r="IC127" s="64">
        <f t="shared" si="321"/>
        <v>18</v>
      </c>
      <c r="ID127" s="64">
        <f t="shared" si="321"/>
        <v>24</v>
      </c>
      <c r="IE127" s="64">
        <f t="shared" si="321"/>
        <v>12</v>
      </c>
      <c r="IF127" s="64">
        <f t="shared" si="321"/>
        <v>24</v>
      </c>
      <c r="IG127" s="64">
        <f t="shared" si="321"/>
        <v>30</v>
      </c>
      <c r="IH127" s="64">
        <f t="shared" si="321"/>
        <v>18</v>
      </c>
      <c r="II127" s="64">
        <f t="shared" si="321"/>
        <v>30</v>
      </c>
      <c r="IJ127" s="64">
        <f t="shared" si="321"/>
        <v>36</v>
      </c>
      <c r="IK127" s="64">
        <f t="shared" si="321"/>
        <v>24</v>
      </c>
      <c r="IL127" s="64">
        <f t="shared" si="321"/>
        <v>30</v>
      </c>
      <c r="IM127" s="64">
        <f t="shared" si="321"/>
        <v>42</v>
      </c>
      <c r="IN127" s="64">
        <f t="shared" si="321"/>
        <v>30</v>
      </c>
      <c r="IO127" s="64">
        <f t="shared" si="321"/>
        <v>36</v>
      </c>
      <c r="IP127" s="64">
        <f t="shared" si="321"/>
        <v>48</v>
      </c>
      <c r="IQ127" s="64">
        <f t="shared" si="321"/>
        <v>36</v>
      </c>
      <c r="IR127" s="71"/>
    </row>
    <row r="128" spans="1:252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3"/>
      <c r="N128" s="23"/>
      <c r="O128" s="23"/>
      <c r="P128" s="23"/>
      <c r="Q128" s="23"/>
      <c r="R128" s="23"/>
      <c r="S128" s="23"/>
      <c r="T128" s="36">
        <f>SUM(T99:T127)</f>
        <v>0</v>
      </c>
      <c r="U128" s="36">
        <f>SUM(U99:U127)</f>
        <v>0</v>
      </c>
      <c r="V128" s="85"/>
      <c r="W128" s="87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87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87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87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64">
        <f t="shared" si="313"/>
        <v>0</v>
      </c>
      <c r="AB128" s="64">
        <f t="shared" si="314"/>
        <v>0</v>
      </c>
      <c r="AC128" s="64"/>
      <c r="AD128" s="64"/>
      <c r="AE128" s="64"/>
      <c r="AF128" s="64"/>
      <c r="AG128" s="64"/>
      <c r="AH128" s="64"/>
      <c r="AI128" s="64"/>
      <c r="AJ128" s="64"/>
      <c r="AK128" s="64"/>
      <c r="AL128" s="64"/>
      <c r="AM128" s="64"/>
      <c r="AN128" s="64"/>
      <c r="AO128" s="64">
        <f t="shared" si="315"/>
        <v>1</v>
      </c>
      <c r="AP128" s="64" t="s">
        <v>196</v>
      </c>
      <c r="AQ128" s="64" t="s">
        <v>293</v>
      </c>
      <c r="AR128" s="68" t="s">
        <v>295</v>
      </c>
      <c r="AS128" s="68" t="s">
        <v>293</v>
      </c>
      <c r="AT128" s="68" t="s">
        <v>293</v>
      </c>
      <c r="AU128" s="64"/>
      <c r="AV128" s="64"/>
      <c r="AW128" s="64"/>
      <c r="AX128" s="64"/>
      <c r="AY128" s="64"/>
      <c r="AZ128" s="64"/>
      <c r="BA128" s="64"/>
      <c r="BB128" s="64"/>
      <c r="BC128" s="64"/>
      <c r="BD128" s="64"/>
      <c r="BE128" s="64"/>
      <c r="BF128" s="64"/>
      <c r="BG128" s="64"/>
      <c r="BH128" s="64"/>
      <c r="BI128" s="64"/>
      <c r="BJ128" s="64"/>
      <c r="BK128" s="64"/>
      <c r="BL128" s="64"/>
      <c r="BM128" s="64"/>
      <c r="BN128" s="64"/>
      <c r="BO128" s="64"/>
      <c r="BP128" s="64"/>
      <c r="BQ128" s="64"/>
      <c r="BR128" s="64"/>
      <c r="BS128" s="64"/>
      <c r="BT128" s="64"/>
      <c r="BU128" s="64"/>
      <c r="BV128" s="64"/>
      <c r="BW128" s="64"/>
      <c r="BX128" s="64"/>
      <c r="BY128" s="64"/>
      <c r="BZ128" s="64"/>
      <c r="CA128" s="64"/>
      <c r="CB128" s="64"/>
      <c r="CC128" s="64"/>
      <c r="CD128" s="64"/>
      <c r="CE128" s="64"/>
      <c r="CF128" s="64"/>
      <c r="CG128" s="64"/>
      <c r="CH128" s="64"/>
      <c r="CI128" s="64"/>
      <c r="CJ128" s="64"/>
      <c r="CK128" s="64"/>
      <c r="CL128" s="64"/>
      <c r="CM128" s="64"/>
      <c r="CN128" s="64"/>
      <c r="CO128" s="64"/>
      <c r="CP128" s="64"/>
      <c r="CQ128" s="64"/>
      <c r="CR128" s="64"/>
      <c r="CS128" s="64"/>
      <c r="CT128" s="64"/>
      <c r="CU128" s="64"/>
      <c r="CV128" s="64"/>
      <c r="CW128" s="64"/>
      <c r="CX128" s="64"/>
      <c r="CY128" s="64"/>
      <c r="CZ128" s="64"/>
      <c r="DA128" s="64"/>
      <c r="DB128" s="64"/>
      <c r="DC128" s="64"/>
      <c r="DD128" s="64"/>
      <c r="DE128" s="64"/>
      <c r="DF128" s="64"/>
      <c r="DG128" s="64"/>
      <c r="DH128" s="64"/>
      <c r="DI128" s="64"/>
      <c r="DJ128" s="64"/>
      <c r="DK128" s="64"/>
      <c r="DL128" s="64"/>
      <c r="DM128" s="64"/>
      <c r="DN128" s="64"/>
      <c r="DO128" s="64"/>
      <c r="DP128" s="64"/>
      <c r="DQ128" s="80"/>
      <c r="DR128" s="80">
        <v>60</v>
      </c>
      <c r="DS128" s="80"/>
      <c r="DT128" s="64"/>
      <c r="DU128" s="64"/>
      <c r="DV128" s="64"/>
      <c r="DW128" s="64"/>
      <c r="DX128" s="64"/>
      <c r="DY128" s="64"/>
      <c r="DZ128" s="64"/>
      <c r="EA128" s="64"/>
      <c r="EB128" s="64"/>
      <c r="EC128" s="64"/>
      <c r="ED128" s="64"/>
      <c r="EE128" s="64"/>
      <c r="EF128" s="64"/>
      <c r="EG128" s="64"/>
      <c r="EH128" s="64"/>
      <c r="EI128" s="64"/>
      <c r="EJ128" s="69"/>
      <c r="EK128" s="64"/>
      <c r="EL128" s="64"/>
      <c r="EM128" s="64"/>
      <c r="EN128" s="64"/>
      <c r="EO128" s="64"/>
      <c r="EP128" s="64"/>
      <c r="EQ128" s="64"/>
      <c r="ER128" s="64"/>
      <c r="ES128" s="64"/>
      <c r="ET128" s="64"/>
      <c r="EU128" s="64"/>
      <c r="EV128" s="64"/>
      <c r="EW128" s="64"/>
      <c r="EX128" s="64"/>
      <c r="EY128" s="64"/>
      <c r="EZ128" s="64"/>
      <c r="FA128" s="64"/>
      <c r="FB128" s="64"/>
      <c r="FC128" s="64"/>
      <c r="FD128" s="64"/>
      <c r="FE128" s="64"/>
      <c r="FF128" s="64"/>
      <c r="FG128" s="64"/>
      <c r="FH128" s="64"/>
      <c r="FI128" s="64"/>
      <c r="FJ128" s="64"/>
      <c r="FK128" s="64"/>
      <c r="FL128" s="64"/>
      <c r="FM128" s="64"/>
      <c r="FN128" s="64"/>
      <c r="FO128" s="64"/>
      <c r="FP128" s="64"/>
      <c r="FQ128" s="64"/>
      <c r="FR128" s="64"/>
      <c r="FS128" s="64"/>
      <c r="FT128" s="64"/>
      <c r="FU128" s="64"/>
      <c r="FV128" s="64"/>
      <c r="FW128" s="64"/>
      <c r="FX128" s="64"/>
      <c r="FY128" s="64"/>
      <c r="FZ128" s="64"/>
      <c r="GA128" s="64"/>
      <c r="GB128" s="64"/>
      <c r="GC128" s="64"/>
      <c r="GD128" s="64"/>
      <c r="GE128" s="64"/>
      <c r="GF128" s="64"/>
      <c r="GG128" s="64"/>
      <c r="GH128" s="64"/>
      <c r="GI128" s="64"/>
      <c r="GJ128" s="64"/>
      <c r="GK128" s="64"/>
      <c r="GL128" s="64"/>
      <c r="GM128" s="64"/>
      <c r="GN128" s="64"/>
      <c r="GO128" s="64"/>
      <c r="GP128" s="64"/>
      <c r="GQ128" s="64"/>
      <c r="GR128" s="64"/>
      <c r="GS128" s="64"/>
      <c r="GT128" s="64"/>
      <c r="GU128" s="64"/>
      <c r="GV128" s="64"/>
      <c r="GW128" s="64"/>
      <c r="GX128" s="64"/>
      <c r="GY128" s="64"/>
      <c r="GZ128" s="64"/>
      <c r="HA128" s="64"/>
      <c r="HB128" s="64"/>
      <c r="HC128" s="64"/>
      <c r="HD128" s="64"/>
      <c r="HE128" s="64"/>
      <c r="HF128" s="64"/>
      <c r="HG128" s="64"/>
      <c r="HH128" s="64"/>
      <c r="HS128" s="68" t="s">
        <v>241</v>
      </c>
      <c r="HT128" s="68">
        <v>0</v>
      </c>
      <c r="HU128" s="64">
        <f t="shared" ref="HU128:IQ128" si="322">HU101/4*6</f>
        <v>0</v>
      </c>
      <c r="HV128" s="64">
        <f t="shared" si="322"/>
        <v>0</v>
      </c>
      <c r="HW128" s="64">
        <f t="shared" si="322"/>
        <v>6</v>
      </c>
      <c r="HX128" s="64">
        <f t="shared" si="322"/>
        <v>0</v>
      </c>
      <c r="HY128" s="64">
        <f t="shared" si="322"/>
        <v>12</v>
      </c>
      <c r="HZ128" s="64">
        <f t="shared" si="322"/>
        <v>6</v>
      </c>
      <c r="IA128" s="64">
        <f t="shared" si="322"/>
        <v>0</v>
      </c>
      <c r="IB128" s="64">
        <f t="shared" si="322"/>
        <v>18</v>
      </c>
      <c r="IC128" s="64">
        <f t="shared" si="322"/>
        <v>6</v>
      </c>
      <c r="ID128" s="64">
        <f t="shared" si="322"/>
        <v>0</v>
      </c>
      <c r="IE128" s="64">
        <f t="shared" si="322"/>
        <v>18</v>
      </c>
      <c r="IF128" s="64">
        <f t="shared" si="322"/>
        <v>6</v>
      </c>
      <c r="IG128" s="64">
        <f t="shared" si="322"/>
        <v>0</v>
      </c>
      <c r="IH128" s="64">
        <f t="shared" si="322"/>
        <v>18</v>
      </c>
      <c r="II128" s="64">
        <f t="shared" si="322"/>
        <v>6</v>
      </c>
      <c r="IJ128" s="64">
        <f t="shared" si="322"/>
        <v>0</v>
      </c>
      <c r="IK128" s="64">
        <f t="shared" si="322"/>
        <v>18</v>
      </c>
      <c r="IL128" s="64">
        <f t="shared" si="322"/>
        <v>12</v>
      </c>
      <c r="IM128" s="64">
        <f t="shared" si="322"/>
        <v>0</v>
      </c>
      <c r="IN128" s="64">
        <f t="shared" si="322"/>
        <v>18</v>
      </c>
      <c r="IO128" s="64">
        <f t="shared" si="322"/>
        <v>12</v>
      </c>
      <c r="IP128" s="64">
        <f t="shared" si="322"/>
        <v>0</v>
      </c>
      <c r="IQ128" s="64">
        <f t="shared" si="322"/>
        <v>18</v>
      </c>
      <c r="IR128" s="71"/>
    </row>
    <row r="129" spans="1:252" ht="39" x14ac:dyDescent="0.25">
      <c r="A129" s="3" t="s">
        <v>554</v>
      </c>
      <c r="B129" s="3"/>
      <c r="C129" s="3" t="s">
        <v>555</v>
      </c>
      <c r="D129" s="9"/>
      <c r="E129" s="9"/>
      <c r="F129" s="9"/>
      <c r="G129" s="9"/>
      <c r="H129" s="9"/>
      <c r="I129" s="9"/>
      <c r="J129" s="9"/>
      <c r="K129" s="9"/>
      <c r="L129" s="221" t="str">
        <f>IF(E133="zatĺkaná","KONŠTRUKCIA W-V3G2-25°",IF(E133="betónovaná","KONŠTRUKCIA W-V3B2-25°",IF(E133="kotvená","KONŠTRUKCIA W-V3K2-25°",IF(E133="na zemných skrutkach","KONŠTRUKCIA W-V3S2-25°"))))</f>
        <v>KONŠTRUKCIA W-V3G2-25°</v>
      </c>
      <c r="M129" s="221"/>
      <c r="N129" s="221"/>
      <c r="O129" s="221"/>
      <c r="P129" s="221"/>
      <c r="Q129" s="221"/>
      <c r="R129" s="221"/>
      <c r="S129" s="221"/>
      <c r="T129" s="221"/>
      <c r="U129" s="221"/>
      <c r="V129" s="85"/>
      <c r="W129" s="87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87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87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87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64">
        <f t="shared" si="313"/>
        <v>0</v>
      </c>
      <c r="AB129" s="64">
        <f t="shared" si="314"/>
        <v>0</v>
      </c>
      <c r="AC129" s="64"/>
      <c r="AD129" s="64"/>
      <c r="AE129" s="64"/>
      <c r="AF129" s="64"/>
      <c r="AG129" s="64"/>
      <c r="AH129" s="64"/>
      <c r="AI129" s="64"/>
      <c r="AJ129" s="64"/>
      <c r="AK129" s="64"/>
      <c r="AL129" s="64"/>
      <c r="AM129" s="64"/>
      <c r="AN129" s="64"/>
      <c r="AO129" s="64">
        <f t="shared" si="315"/>
        <v>1</v>
      </c>
      <c r="AP129" s="64" t="s">
        <v>198</v>
      </c>
      <c r="AQ129" s="64" t="s">
        <v>293</v>
      </c>
      <c r="AR129" s="68" t="s">
        <v>295</v>
      </c>
      <c r="AS129" s="68" t="s">
        <v>293</v>
      </c>
      <c r="AT129" s="68" t="s">
        <v>293</v>
      </c>
      <c r="AX129" s="64"/>
      <c r="AY129" s="64"/>
      <c r="AZ129" s="64"/>
      <c r="BA129" s="64"/>
      <c r="BB129" s="64"/>
      <c r="BC129" s="64"/>
      <c r="BD129" s="64"/>
      <c r="BE129" s="64"/>
      <c r="BF129" s="64"/>
      <c r="BG129" s="64"/>
      <c r="BH129" s="64"/>
      <c r="BI129" s="64"/>
      <c r="BJ129" s="64"/>
      <c r="BK129" s="64"/>
      <c r="BL129" s="64"/>
      <c r="BM129" s="64"/>
      <c r="BN129" s="64"/>
      <c r="BO129" s="64"/>
      <c r="BP129" s="64"/>
      <c r="BQ129" s="64"/>
      <c r="BR129" s="64"/>
      <c r="BS129" s="64"/>
      <c r="BT129" s="64"/>
      <c r="BU129" s="64"/>
      <c r="BV129" s="64"/>
      <c r="BW129" s="64"/>
      <c r="BX129" s="64"/>
      <c r="BY129" s="64"/>
      <c r="BZ129" s="64"/>
      <c r="CA129" s="64"/>
      <c r="CB129" s="64"/>
      <c r="CC129" s="64"/>
      <c r="CD129" s="64"/>
      <c r="CE129" s="64"/>
      <c r="CF129" s="64"/>
      <c r="CG129" s="64"/>
      <c r="CH129" s="64"/>
      <c r="CI129" s="64"/>
      <c r="CJ129" s="64"/>
      <c r="CK129" s="64"/>
      <c r="CL129" s="64"/>
      <c r="CM129" s="64"/>
      <c r="CN129" s="64"/>
      <c r="CO129" s="64"/>
      <c r="CP129" s="64"/>
      <c r="CQ129" s="64"/>
      <c r="CR129" s="64"/>
      <c r="CS129" s="64"/>
      <c r="CT129" s="64"/>
      <c r="CU129" s="64"/>
      <c r="CV129" s="64"/>
      <c r="CW129" s="64"/>
      <c r="CX129" s="64"/>
      <c r="CY129" s="64"/>
      <c r="CZ129" s="64"/>
      <c r="DA129" s="64"/>
      <c r="DB129" s="64"/>
      <c r="DC129" s="64"/>
      <c r="DD129" s="64"/>
      <c r="DE129" s="64"/>
      <c r="DF129" s="64"/>
      <c r="DG129" s="64"/>
      <c r="DH129" s="64"/>
      <c r="DI129" s="64"/>
      <c r="DJ129" s="64"/>
      <c r="DK129" s="64"/>
      <c r="DL129" s="64"/>
      <c r="DM129" s="64"/>
      <c r="DN129" s="64"/>
      <c r="DO129" s="64"/>
      <c r="DP129" s="64"/>
      <c r="DQ129" s="80"/>
      <c r="DR129" s="80">
        <v>63</v>
      </c>
      <c r="DS129" s="80"/>
      <c r="DT129" s="64"/>
      <c r="DU129" s="64"/>
      <c r="DV129" s="64"/>
      <c r="DW129" s="64"/>
      <c r="DX129" s="64"/>
      <c r="DY129" s="64"/>
      <c r="DZ129" s="64"/>
      <c r="EA129" s="64"/>
      <c r="EB129" s="64"/>
      <c r="EC129" s="64"/>
      <c r="ED129" s="64"/>
      <c r="EE129" s="64"/>
      <c r="EF129" s="64"/>
      <c r="EG129" s="64"/>
      <c r="EH129" s="64"/>
      <c r="EI129" s="64"/>
      <c r="EJ129" s="69"/>
      <c r="EK129" s="64"/>
      <c r="EL129" s="64"/>
      <c r="EM129" s="64"/>
      <c r="EN129" s="64"/>
      <c r="EO129" s="64"/>
      <c r="EP129" s="64"/>
      <c r="EQ129" s="64"/>
      <c r="ER129" s="64"/>
      <c r="ES129" s="64"/>
      <c r="ET129" s="64"/>
      <c r="EU129" s="64"/>
      <c r="EV129" s="64"/>
      <c r="EW129" s="64"/>
      <c r="EX129" s="64"/>
      <c r="EY129" s="64"/>
      <c r="EZ129" s="64"/>
      <c r="FA129" s="64"/>
      <c r="FB129" s="64"/>
      <c r="FC129" s="64"/>
      <c r="FD129" s="64"/>
      <c r="FE129" s="64"/>
      <c r="FF129" s="64"/>
      <c r="FG129" s="64"/>
      <c r="FH129" s="64"/>
      <c r="FI129" s="64"/>
      <c r="FJ129" s="64"/>
      <c r="FK129" s="64"/>
      <c r="FL129" s="64"/>
      <c r="FM129" s="64"/>
      <c r="FN129" s="64"/>
      <c r="FO129" s="64"/>
      <c r="FP129" s="64"/>
      <c r="FQ129" s="64"/>
      <c r="FR129" s="64"/>
      <c r="FS129" s="64"/>
      <c r="FT129" s="64"/>
      <c r="FU129" s="64"/>
      <c r="FV129" s="64"/>
      <c r="FW129" s="64"/>
      <c r="FX129" s="64"/>
      <c r="FY129" s="64"/>
      <c r="FZ129" s="64"/>
      <c r="GA129" s="64"/>
      <c r="GB129" s="64"/>
      <c r="GC129" s="64"/>
      <c r="GD129" s="64"/>
      <c r="GE129" s="64"/>
      <c r="GF129" s="64"/>
      <c r="GG129" s="64"/>
      <c r="GH129" s="64"/>
      <c r="GI129" s="64"/>
      <c r="GJ129" s="64"/>
      <c r="GK129" s="64"/>
      <c r="GL129" s="64"/>
      <c r="GM129" s="64"/>
      <c r="GN129" s="64"/>
      <c r="GO129" s="64"/>
      <c r="GP129" s="64"/>
      <c r="GQ129" s="64"/>
      <c r="GR129" s="64"/>
      <c r="GS129" s="64"/>
      <c r="GT129" s="64"/>
      <c r="GU129" s="64"/>
      <c r="GV129" s="64"/>
      <c r="GW129" s="64"/>
      <c r="GX129" s="64"/>
      <c r="GY129" s="64"/>
      <c r="GZ129" s="64"/>
      <c r="HA129" s="64"/>
      <c r="HB129" s="64"/>
      <c r="HC129" s="64"/>
      <c r="HD129" s="64"/>
      <c r="HE129" s="64"/>
      <c r="HF129" s="64"/>
      <c r="HG129" s="64"/>
      <c r="HH129" s="64"/>
      <c r="HS129" s="68" t="s">
        <v>242</v>
      </c>
      <c r="HT129" s="68">
        <v>0</v>
      </c>
      <c r="HU129" s="64">
        <f t="shared" ref="HU129:IQ129" si="323">HU102/4*6</f>
        <v>0</v>
      </c>
      <c r="HV129" s="64">
        <f t="shared" si="323"/>
        <v>0</v>
      </c>
      <c r="HW129" s="64">
        <f t="shared" si="323"/>
        <v>6</v>
      </c>
      <c r="HX129" s="64">
        <f t="shared" si="323"/>
        <v>6</v>
      </c>
      <c r="HY129" s="64">
        <f t="shared" si="323"/>
        <v>12</v>
      </c>
      <c r="HZ129" s="64">
        <f t="shared" si="323"/>
        <v>12</v>
      </c>
      <c r="IA129" s="64">
        <f t="shared" si="323"/>
        <v>12</v>
      </c>
      <c r="IB129" s="64">
        <f t="shared" si="323"/>
        <v>18</v>
      </c>
      <c r="IC129" s="64">
        <f t="shared" si="323"/>
        <v>18</v>
      </c>
      <c r="ID129" s="64">
        <f t="shared" si="323"/>
        <v>18</v>
      </c>
      <c r="IE129" s="64">
        <f t="shared" si="323"/>
        <v>24</v>
      </c>
      <c r="IF129" s="64">
        <f t="shared" si="323"/>
        <v>24</v>
      </c>
      <c r="IG129" s="64">
        <f t="shared" si="323"/>
        <v>24</v>
      </c>
      <c r="IH129" s="64">
        <f t="shared" si="323"/>
        <v>30</v>
      </c>
      <c r="II129" s="64">
        <f t="shared" si="323"/>
        <v>30</v>
      </c>
      <c r="IJ129" s="64">
        <f t="shared" si="323"/>
        <v>30</v>
      </c>
      <c r="IK129" s="64">
        <f t="shared" si="323"/>
        <v>36</v>
      </c>
      <c r="IL129" s="64">
        <f t="shared" si="323"/>
        <v>36</v>
      </c>
      <c r="IM129" s="64">
        <f t="shared" si="323"/>
        <v>36</v>
      </c>
      <c r="IN129" s="64">
        <f t="shared" si="323"/>
        <v>42</v>
      </c>
      <c r="IO129" s="64">
        <f t="shared" si="323"/>
        <v>42</v>
      </c>
      <c r="IP129" s="64">
        <f t="shared" si="323"/>
        <v>42</v>
      </c>
      <c r="IQ129" s="64">
        <f t="shared" si="323"/>
        <v>48</v>
      </c>
      <c r="IR129" s="71"/>
    </row>
    <row r="130" spans="1:252" x14ac:dyDescent="0.25">
      <c r="A130" s="8"/>
      <c r="B130" s="5" t="s">
        <v>61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53</v>
      </c>
      <c r="M130" s="5" t="s">
        <v>559</v>
      </c>
      <c r="N130" s="5" t="s">
        <v>436</v>
      </c>
      <c r="O130" s="5" t="s">
        <v>442</v>
      </c>
      <c r="P130" s="5" t="s">
        <v>443</v>
      </c>
      <c r="Q130" s="5" t="s">
        <v>444</v>
      </c>
      <c r="R130" s="5" t="s">
        <v>445</v>
      </c>
      <c r="S130" s="5" t="s">
        <v>446</v>
      </c>
      <c r="T130" s="5" t="s">
        <v>447</v>
      </c>
      <c r="U130" s="5" t="s">
        <v>438</v>
      </c>
      <c r="V130" s="85"/>
      <c r="W130" s="87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87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87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87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64">
        <f t="shared" si="313"/>
        <v>0</v>
      </c>
      <c r="AB130" s="64">
        <f t="shared" si="314"/>
        <v>0</v>
      </c>
      <c r="AC130" s="64"/>
      <c r="AD130" s="64"/>
      <c r="AE130" s="64"/>
      <c r="AF130" s="64"/>
      <c r="AG130" s="64"/>
      <c r="AH130" s="64"/>
      <c r="AI130" s="91" t="s">
        <v>188</v>
      </c>
      <c r="AK130" s="64"/>
      <c r="AL130" s="64"/>
      <c r="AM130" s="64"/>
      <c r="AN130" s="64"/>
      <c r="AO130" s="64">
        <f t="shared" si="315"/>
        <v>1</v>
      </c>
      <c r="AP130" s="64" t="s">
        <v>58</v>
      </c>
      <c r="AQ130" s="64" t="s">
        <v>293</v>
      </c>
      <c r="AR130" s="68" t="s">
        <v>295</v>
      </c>
      <c r="AS130" s="68" t="s">
        <v>293</v>
      </c>
      <c r="AT130" s="68" t="s">
        <v>293</v>
      </c>
      <c r="AX130" s="64"/>
      <c r="AY130" s="64"/>
      <c r="AZ130" s="64"/>
      <c r="BA130" s="64"/>
      <c r="BB130" s="64"/>
      <c r="BC130" s="64"/>
      <c r="BD130" s="64"/>
      <c r="BE130" s="64"/>
      <c r="BF130" s="64"/>
      <c r="BG130" s="64"/>
      <c r="BH130" s="64"/>
      <c r="BI130" s="64"/>
      <c r="BJ130" s="64"/>
      <c r="BK130" s="64"/>
      <c r="BL130" s="64"/>
      <c r="BM130" s="64"/>
      <c r="BN130" s="64"/>
      <c r="BO130" s="64"/>
      <c r="BP130" s="64"/>
      <c r="BQ130" s="64"/>
      <c r="BR130" s="64"/>
      <c r="BS130" s="64"/>
      <c r="BT130" s="64"/>
      <c r="BU130" s="64"/>
      <c r="BV130" s="64"/>
      <c r="BW130" s="64"/>
      <c r="BX130" s="64"/>
      <c r="BY130" s="64"/>
      <c r="BZ130" s="64"/>
      <c r="CA130" s="64"/>
      <c r="CB130" s="64"/>
      <c r="CC130" s="64"/>
      <c r="CD130" s="64"/>
      <c r="CE130" s="64"/>
      <c r="CF130" s="64"/>
      <c r="CG130" s="64"/>
      <c r="CH130" s="64"/>
      <c r="CI130" s="64"/>
      <c r="CJ130" s="64"/>
      <c r="CK130" s="64"/>
      <c r="CL130" s="64"/>
      <c r="CM130" s="64"/>
      <c r="CN130" s="64"/>
      <c r="CO130" s="64"/>
      <c r="CP130" s="64"/>
      <c r="CQ130" s="64"/>
      <c r="CR130" s="64"/>
      <c r="CS130" s="64"/>
      <c r="CT130" s="64"/>
      <c r="CU130" s="64"/>
      <c r="CV130" s="64"/>
      <c r="CW130" s="64"/>
      <c r="CX130" s="64"/>
      <c r="CY130" s="64"/>
      <c r="CZ130" s="64"/>
      <c r="DA130" s="64"/>
      <c r="DB130" s="64"/>
      <c r="DC130" s="64"/>
      <c r="DD130" s="64"/>
      <c r="DE130" s="64"/>
      <c r="DF130" s="64"/>
      <c r="DG130" s="64"/>
      <c r="DH130" s="64"/>
      <c r="DI130" s="64"/>
      <c r="DJ130" s="64"/>
      <c r="DK130" s="64"/>
      <c r="DL130" s="64"/>
      <c r="DM130" s="64"/>
      <c r="DN130" s="64"/>
      <c r="DO130" s="64"/>
      <c r="DP130" s="64"/>
      <c r="DQ130" s="80"/>
      <c r="DR130" s="80">
        <v>66</v>
      </c>
      <c r="DS130" s="80"/>
      <c r="DT130" s="64"/>
      <c r="DU130" s="64"/>
      <c r="DV130" s="64"/>
      <c r="DW130" s="64"/>
      <c r="DX130" s="64"/>
      <c r="DY130" s="64"/>
      <c r="DZ130" s="64"/>
      <c r="EA130" s="64"/>
      <c r="EB130" s="64"/>
      <c r="EC130" s="64"/>
      <c r="ED130" s="64"/>
      <c r="EE130" s="64"/>
      <c r="EF130" s="64"/>
      <c r="EG130" s="64"/>
      <c r="EH130" s="64"/>
      <c r="EI130" s="64"/>
      <c r="EJ130" s="69"/>
      <c r="EK130" s="64"/>
      <c r="EL130" s="64"/>
      <c r="EM130" s="64"/>
      <c r="EN130" s="64"/>
      <c r="EO130" s="64"/>
      <c r="EP130" s="64"/>
      <c r="EQ130" s="64"/>
      <c r="ER130" s="64"/>
      <c r="ES130" s="64"/>
      <c r="ET130" s="64"/>
      <c r="EU130" s="64"/>
      <c r="EV130" s="64"/>
      <c r="EW130" s="64"/>
      <c r="EX130" s="64"/>
      <c r="EY130" s="64"/>
      <c r="EZ130" s="64"/>
      <c r="FA130" s="64"/>
      <c r="FB130" s="64"/>
      <c r="FC130" s="64"/>
      <c r="FD130" s="64"/>
      <c r="FE130" s="64"/>
      <c r="FF130" s="64"/>
      <c r="FG130" s="64"/>
      <c r="FH130" s="64"/>
      <c r="FI130" s="64"/>
      <c r="FJ130" s="64"/>
      <c r="FK130" s="64"/>
      <c r="FL130" s="64"/>
      <c r="FM130" s="64"/>
      <c r="FN130" s="64"/>
      <c r="FO130" s="64"/>
      <c r="FP130" s="64"/>
      <c r="FQ130" s="64"/>
      <c r="FR130" s="64"/>
      <c r="FS130" s="64"/>
      <c r="FT130" s="64"/>
      <c r="FU130" s="64"/>
      <c r="FV130" s="64"/>
      <c r="FW130" s="64"/>
      <c r="FX130" s="64"/>
      <c r="FY130" s="64"/>
      <c r="FZ130" s="64"/>
      <c r="GA130" s="64"/>
      <c r="GB130" s="64"/>
      <c r="GC130" s="64"/>
      <c r="GD130" s="64"/>
      <c r="GE130" s="64"/>
      <c r="GF130" s="64"/>
      <c r="GG130" s="64"/>
      <c r="GH130" s="64"/>
      <c r="GI130" s="64"/>
      <c r="GJ130" s="64"/>
      <c r="GK130" s="64"/>
      <c r="GL130" s="64"/>
      <c r="GM130" s="64"/>
      <c r="GN130" s="64"/>
      <c r="GO130" s="64"/>
      <c r="GP130" s="64"/>
      <c r="GQ130" s="64"/>
      <c r="GR130" s="64"/>
      <c r="GS130" s="64"/>
      <c r="GT130" s="64"/>
      <c r="GU130" s="64"/>
      <c r="GV130" s="64"/>
      <c r="GW130" s="64"/>
      <c r="GX130" s="64"/>
      <c r="GY130" s="64"/>
      <c r="GZ130" s="64"/>
      <c r="HA130" s="64"/>
      <c r="HB130" s="64"/>
      <c r="HC130" s="64"/>
      <c r="HD130" s="64"/>
      <c r="HE130" s="64"/>
      <c r="HF130" s="64"/>
      <c r="HG130" s="64"/>
      <c r="HH130" s="64"/>
      <c r="HS130" s="68" t="s">
        <v>324</v>
      </c>
      <c r="HT130" s="68">
        <v>0</v>
      </c>
      <c r="HU130" s="64">
        <f t="shared" ref="HU130:IQ130" si="324">HU103/4*6</f>
        <v>0</v>
      </c>
      <c r="HV130" s="64">
        <f t="shared" si="324"/>
        <v>0</v>
      </c>
      <c r="HW130" s="64">
        <f t="shared" si="324"/>
        <v>6</v>
      </c>
      <c r="HX130" s="64">
        <f t="shared" si="324"/>
        <v>6</v>
      </c>
      <c r="HY130" s="64">
        <f t="shared" si="324"/>
        <v>12</v>
      </c>
      <c r="HZ130" s="64">
        <f t="shared" si="324"/>
        <v>12</v>
      </c>
      <c r="IA130" s="64">
        <f t="shared" si="324"/>
        <v>12</v>
      </c>
      <c r="IB130" s="64">
        <f t="shared" si="324"/>
        <v>18</v>
      </c>
      <c r="IC130" s="64">
        <f t="shared" si="324"/>
        <v>18</v>
      </c>
      <c r="ID130" s="64">
        <f t="shared" si="324"/>
        <v>18</v>
      </c>
      <c r="IE130" s="64">
        <f t="shared" si="324"/>
        <v>24</v>
      </c>
      <c r="IF130" s="64">
        <f t="shared" si="324"/>
        <v>24</v>
      </c>
      <c r="IG130" s="64">
        <f t="shared" si="324"/>
        <v>24</v>
      </c>
      <c r="IH130" s="64">
        <f t="shared" si="324"/>
        <v>30</v>
      </c>
      <c r="II130" s="64">
        <f t="shared" si="324"/>
        <v>30</v>
      </c>
      <c r="IJ130" s="64">
        <f t="shared" si="324"/>
        <v>30</v>
      </c>
      <c r="IK130" s="64">
        <f t="shared" si="324"/>
        <v>36</v>
      </c>
      <c r="IL130" s="64">
        <f t="shared" si="324"/>
        <v>36</v>
      </c>
      <c r="IM130" s="64">
        <f t="shared" si="324"/>
        <v>36</v>
      </c>
      <c r="IN130" s="64">
        <f t="shared" si="324"/>
        <v>42</v>
      </c>
      <c r="IO130" s="64">
        <f t="shared" si="324"/>
        <v>42</v>
      </c>
      <c r="IP130" s="64">
        <f t="shared" si="324"/>
        <v>42</v>
      </c>
      <c r="IQ130" s="64">
        <f t="shared" si="324"/>
        <v>48</v>
      </c>
      <c r="IR130" s="71"/>
    </row>
    <row r="131" spans="1:252" ht="15.75" thickBot="1" x14ac:dyDescent="0.3">
      <c r="A131" s="8"/>
      <c r="B131" s="5" t="s">
        <v>61</v>
      </c>
      <c r="C131" s="8"/>
      <c r="D131" s="6" t="s">
        <v>452</v>
      </c>
      <c r="E131" s="8" t="s">
        <v>71</v>
      </c>
      <c r="F131" s="5" t="s">
        <v>61</v>
      </c>
      <c r="G131" s="8" t="s">
        <v>355</v>
      </c>
      <c r="H131" s="5" t="s">
        <v>61</v>
      </c>
      <c r="I131" s="8">
        <v>40</v>
      </c>
      <c r="J131" s="5" t="s">
        <v>62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str">
        <f>INDEX(cenník!$C$2:$I$568,MATCH($L131,cenník!$B$2:$B$557,0),MATCH(M$2,cenník!$C$1:$I$1,0))</f>
        <v>-------</v>
      </c>
      <c r="N131" s="11">
        <f>INDEX(cenník!$C$2:$I$568,MATCH($L131,cenník!$B$2:$B$557,0),MATCH(N$2,cenník!$C$1:$I$1,0))</f>
        <v>0</v>
      </c>
      <c r="O131" s="11">
        <f>IF(L131="-------",0,SUM(O133:O134))</f>
        <v>0</v>
      </c>
      <c r="P131" s="36">
        <f>INDEX(cenník!$C$2:$I$568,MATCH($L131,cenník!$B$2:$B$557,0),MATCH(P$2,cenník!$C$1:$I$1,0))</f>
        <v>0</v>
      </c>
      <c r="Q131" s="36">
        <f>O131*P131</f>
        <v>0</v>
      </c>
      <c r="R131" s="37">
        <f>$E$71</f>
        <v>0</v>
      </c>
      <c r="S131" s="36">
        <f t="shared" ref="S131:S156" si="325">P131*((100-$E$135)/100)</f>
        <v>0</v>
      </c>
      <c r="T131" s="36">
        <f>O131*S131</f>
        <v>0</v>
      </c>
      <c r="U131" s="36">
        <f>INDEX(cenník!$C$2:$I$568,MATCH($L131,cenník!$B$2:$B$557,0),MATCH(U$2,cenník!$C$1:$I$1,0))*O131</f>
        <v>0</v>
      </c>
      <c r="V131" s="85"/>
      <c r="W131" s="87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87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87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87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64">
        <f t="shared" si="313"/>
        <v>0</v>
      </c>
      <c r="AB131" s="64">
        <f t="shared" si="314"/>
        <v>0</v>
      </c>
      <c r="AC131" s="64"/>
      <c r="AD131" s="64"/>
      <c r="AE131" s="64"/>
      <c r="AF131" s="64"/>
      <c r="AG131" s="64"/>
      <c r="AH131" s="64"/>
      <c r="AI131" s="68" t="s">
        <v>333</v>
      </c>
      <c r="AJ131" s="68">
        <v>1</v>
      </c>
      <c r="AK131" s="64">
        <v>2</v>
      </c>
      <c r="AL131" s="64">
        <v>3</v>
      </c>
      <c r="AM131" s="64">
        <v>4</v>
      </c>
      <c r="AN131" s="64">
        <v>5</v>
      </c>
      <c r="AO131" s="64">
        <f t="shared" si="315"/>
        <v>1</v>
      </c>
      <c r="AP131" s="64" t="s">
        <v>71</v>
      </c>
      <c r="AQ131" s="64" t="s">
        <v>293</v>
      </c>
      <c r="AR131" s="68" t="s">
        <v>295</v>
      </c>
      <c r="AS131" s="68" t="s">
        <v>293</v>
      </c>
      <c r="AT131" s="68" t="s">
        <v>293</v>
      </c>
      <c r="AX131" s="64"/>
      <c r="AY131" s="64"/>
      <c r="AZ131" s="64"/>
      <c r="BA131" s="64"/>
      <c r="BB131" s="64"/>
      <c r="BC131" s="64"/>
      <c r="BD131" s="64"/>
      <c r="BE131" s="64"/>
      <c r="BF131" s="64"/>
      <c r="BG131" s="64"/>
      <c r="BH131" s="64"/>
      <c r="BI131" s="64"/>
      <c r="BJ131" s="64"/>
      <c r="BK131" s="64"/>
      <c r="BL131" s="64"/>
      <c r="BM131" s="64"/>
      <c r="BN131" s="64"/>
      <c r="BO131" s="64"/>
      <c r="BP131" s="64"/>
      <c r="BQ131" s="64"/>
      <c r="BR131" s="64"/>
      <c r="BS131" s="64"/>
      <c r="BT131" s="64"/>
      <c r="BU131" s="64"/>
      <c r="BV131" s="64"/>
      <c r="BW131" s="64"/>
      <c r="BX131" s="64"/>
      <c r="BY131" s="64"/>
      <c r="BZ131" s="64"/>
      <c r="CA131" s="64"/>
      <c r="CB131" s="64"/>
      <c r="CC131" s="64"/>
      <c r="CD131" s="64"/>
      <c r="CE131" s="64"/>
      <c r="CF131" s="64"/>
      <c r="CG131" s="64"/>
      <c r="CH131" s="64"/>
      <c r="CI131" s="64"/>
      <c r="CJ131" s="64"/>
      <c r="CK131" s="64"/>
      <c r="CL131" s="64"/>
      <c r="CM131" s="64"/>
      <c r="CN131" s="64"/>
      <c r="CO131" s="64"/>
      <c r="CP131" s="64"/>
      <c r="CQ131" s="64"/>
      <c r="CR131" s="64"/>
      <c r="CS131" s="64"/>
      <c r="CT131" s="64"/>
      <c r="CU131" s="64"/>
      <c r="CV131" s="64"/>
      <c r="CW131" s="64"/>
      <c r="CX131" s="64"/>
      <c r="CY131" s="64"/>
      <c r="CZ131" s="64"/>
      <c r="DA131" s="64"/>
      <c r="DB131" s="64"/>
      <c r="DC131" s="64"/>
      <c r="DD131" s="64"/>
      <c r="DE131" s="64"/>
      <c r="DF131" s="64"/>
      <c r="DG131" s="64"/>
      <c r="DH131" s="64"/>
      <c r="DI131" s="64"/>
      <c r="DJ131" s="64"/>
      <c r="DK131" s="64"/>
      <c r="DL131" s="64"/>
      <c r="DM131" s="64"/>
      <c r="DN131" s="64"/>
      <c r="DO131" s="64"/>
      <c r="DP131" s="64"/>
      <c r="DQ131" s="80"/>
      <c r="DR131" s="80">
        <v>69</v>
      </c>
      <c r="DS131" s="80"/>
      <c r="DT131" s="64"/>
      <c r="DU131" s="64"/>
      <c r="DV131" s="64"/>
      <c r="DW131" s="64"/>
      <c r="DX131" s="64"/>
      <c r="DY131" s="64"/>
      <c r="DZ131" s="64"/>
      <c r="EA131" s="64"/>
      <c r="EB131" s="64"/>
      <c r="EC131" s="64"/>
      <c r="ED131" s="64"/>
      <c r="EE131" s="64"/>
      <c r="EF131" s="64"/>
      <c r="EG131" s="64"/>
      <c r="EH131" s="64"/>
      <c r="EI131" s="64"/>
      <c r="EJ131" s="73"/>
      <c r="EK131" s="74"/>
      <c r="EL131" s="74"/>
      <c r="EM131" s="74"/>
      <c r="EN131" s="74"/>
      <c r="EO131" s="74"/>
      <c r="EP131" s="74"/>
      <c r="EQ131" s="74"/>
      <c r="ER131" s="74"/>
      <c r="ES131" s="74"/>
      <c r="ET131" s="74"/>
      <c r="EU131" s="74"/>
      <c r="EV131" s="74"/>
      <c r="EW131" s="74"/>
      <c r="EX131" s="74"/>
      <c r="EY131" s="74"/>
      <c r="EZ131" s="74"/>
      <c r="FA131" s="74"/>
      <c r="FB131" s="74"/>
      <c r="FC131" s="74"/>
      <c r="FD131" s="74"/>
      <c r="FE131" s="74"/>
      <c r="FF131" s="74"/>
      <c r="FG131" s="74"/>
      <c r="FH131" s="74"/>
      <c r="FI131" s="74"/>
      <c r="FJ131" s="74"/>
      <c r="FK131" s="74"/>
      <c r="FL131" s="74"/>
      <c r="FM131" s="74"/>
      <c r="FN131" s="74"/>
      <c r="FO131" s="74"/>
      <c r="FP131" s="74"/>
      <c r="FQ131" s="74"/>
      <c r="FR131" s="74"/>
      <c r="FS131" s="74"/>
      <c r="FT131" s="74"/>
      <c r="FU131" s="74"/>
      <c r="FV131" s="74"/>
      <c r="FW131" s="74"/>
      <c r="FX131" s="74"/>
      <c r="FY131" s="74"/>
      <c r="FZ131" s="74"/>
      <c r="GA131" s="74"/>
      <c r="GB131" s="74"/>
      <c r="GC131" s="74"/>
      <c r="GD131" s="74"/>
      <c r="GE131" s="74"/>
      <c r="GF131" s="74"/>
      <c r="GG131" s="74"/>
      <c r="GH131" s="74"/>
      <c r="GI131" s="74"/>
      <c r="GJ131" s="74"/>
      <c r="GK131" s="74"/>
      <c r="GL131" s="74"/>
      <c r="GM131" s="74"/>
      <c r="GN131" s="74"/>
      <c r="GO131" s="74"/>
      <c r="GP131" s="74"/>
      <c r="GQ131" s="74"/>
      <c r="GR131" s="74"/>
      <c r="GS131" s="74"/>
      <c r="GT131" s="74"/>
      <c r="GU131" s="74"/>
      <c r="GV131" s="74"/>
      <c r="GW131" s="74"/>
      <c r="GX131" s="74"/>
      <c r="GY131" s="74"/>
      <c r="GZ131" s="74"/>
      <c r="HA131" s="74"/>
      <c r="HB131" s="74"/>
      <c r="HC131" s="74"/>
      <c r="HD131" s="74"/>
      <c r="HE131" s="74"/>
      <c r="HF131" s="74"/>
      <c r="HG131" s="74"/>
      <c r="HH131" s="74"/>
      <c r="HI131" s="78"/>
      <c r="HJ131" s="78"/>
      <c r="HK131" s="78"/>
      <c r="HL131" s="78"/>
      <c r="HM131" s="78"/>
      <c r="HN131" s="78"/>
      <c r="HO131" s="78"/>
      <c r="HP131" s="78"/>
      <c r="HQ131" s="78"/>
      <c r="HR131" s="78"/>
      <c r="HS131" s="78"/>
      <c r="HT131" s="78"/>
      <c r="HU131" s="78"/>
      <c r="HV131" s="78"/>
      <c r="HW131" s="78"/>
      <c r="HX131" s="78"/>
      <c r="HY131" s="78"/>
      <c r="HZ131" s="78"/>
      <c r="IA131" s="78"/>
      <c r="IB131" s="78"/>
      <c r="IC131" s="78"/>
      <c r="ID131" s="78"/>
      <c r="IE131" s="78"/>
      <c r="IF131" s="78"/>
      <c r="IG131" s="78"/>
      <c r="IH131" s="78"/>
      <c r="II131" s="78"/>
      <c r="IJ131" s="78"/>
      <c r="IK131" s="78"/>
      <c r="IL131" s="78"/>
      <c r="IM131" s="78"/>
      <c r="IN131" s="78"/>
      <c r="IO131" s="78"/>
      <c r="IP131" s="78"/>
      <c r="IQ131" s="78"/>
      <c r="IR131" s="79"/>
    </row>
    <row r="132" spans="1:252" x14ac:dyDescent="0.25">
      <c r="A132" s="8"/>
      <c r="B132" s="5" t="s">
        <v>61</v>
      </c>
      <c r="C132" s="8"/>
      <c r="D132" s="6" t="s">
        <v>456</v>
      </c>
      <c r="E132" s="8" t="s">
        <v>466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str">
        <f>INDEX(cenník!$C$2:$I$568,MATCH($L132,cenník!$B$2:$B$557,0),MATCH(M$2,cenník!$C$1:$I$1,0))</f>
        <v>-------</v>
      </c>
      <c r="N132" s="11">
        <f>INDEX(cenník!$C$2:$I$568,MATCH($L132,cenník!$B$2:$B$557,0),MATCH(N$2,cenník!$C$1:$I$1,0))</f>
        <v>0</v>
      </c>
      <c r="O132" s="11">
        <f>IF(E133=AC7,SUM(O133:O134),IF(E133=AC8,SUM(O133:O134),IF(E133=AC5,0,IF(E133=AC6,0,0))))</f>
        <v>0</v>
      </c>
      <c r="P132" s="36">
        <f>INDEX(cenník!$C$2:$I$568,MATCH($L132,cenník!$B$2:$B$557,0),MATCH(P$2,cenník!$C$1:$I$1,0))</f>
        <v>0</v>
      </c>
      <c r="Q132" s="36">
        <f>O132*P132</f>
        <v>0</v>
      </c>
      <c r="R132" s="37">
        <f>$E$71</f>
        <v>0</v>
      </c>
      <c r="S132" s="36">
        <f t="shared" si="325"/>
        <v>0</v>
      </c>
      <c r="T132" s="36">
        <f>O132*S132</f>
        <v>0</v>
      </c>
      <c r="U132" s="36">
        <f>INDEX(cenník!$C$2:$I$568,MATCH($L132,cenník!$B$2:$B$557,0),MATCH(U$2,cenník!$C$1:$I$1,0))*O132</f>
        <v>0</v>
      </c>
      <c r="V132" s="85"/>
      <c r="W132" s="87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87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87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87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64">
        <f t="shared" si="313"/>
        <v>0</v>
      </c>
      <c r="AB132" s="64">
        <f t="shared" si="314"/>
        <v>0</v>
      </c>
      <c r="AC132" s="64"/>
      <c r="AD132" s="64"/>
      <c r="AE132" s="64"/>
      <c r="AF132" s="64"/>
      <c r="AG132" s="64"/>
      <c r="AH132" s="64"/>
      <c r="AI132" s="68">
        <v>1</v>
      </c>
      <c r="AJ132" s="68">
        <v>2900</v>
      </c>
      <c r="AK132" s="64">
        <v>2900</v>
      </c>
      <c r="AL132" s="64">
        <v>2700</v>
      </c>
      <c r="AM132" s="64">
        <v>2700</v>
      </c>
      <c r="AN132" s="64" t="s">
        <v>522</v>
      </c>
      <c r="AO132" s="64">
        <f t="shared" si="315"/>
        <v>1</v>
      </c>
      <c r="AP132" s="64"/>
      <c r="AQ132" s="64"/>
      <c r="AX132" s="64"/>
      <c r="AY132" s="64"/>
      <c r="AZ132" s="64"/>
      <c r="BA132" s="64"/>
      <c r="BB132" s="64"/>
      <c r="BC132" s="64"/>
      <c r="BD132" s="64"/>
      <c r="BE132" s="64"/>
      <c r="BF132" s="64"/>
      <c r="BG132" s="64"/>
      <c r="BH132" s="64"/>
      <c r="BI132" s="64"/>
      <c r="BJ132" s="64"/>
      <c r="BK132" s="64"/>
      <c r="BL132" s="64"/>
      <c r="BM132" s="64"/>
      <c r="BN132" s="64"/>
      <c r="BO132" s="64"/>
      <c r="BP132" s="64"/>
      <c r="BQ132" s="64"/>
      <c r="BR132" s="64"/>
      <c r="BS132" s="64"/>
      <c r="BT132" s="64"/>
      <c r="BU132" s="64"/>
      <c r="BV132" s="64"/>
      <c r="BW132" s="64"/>
      <c r="BX132" s="64"/>
      <c r="BY132" s="64"/>
      <c r="BZ132" s="64"/>
      <c r="CA132" s="64"/>
      <c r="CB132" s="64"/>
      <c r="CC132" s="64"/>
      <c r="CD132" s="64"/>
      <c r="CE132" s="64"/>
      <c r="CF132" s="64"/>
      <c r="CG132" s="64"/>
      <c r="CH132" s="64"/>
      <c r="CI132" s="64"/>
      <c r="CJ132" s="64"/>
      <c r="CK132" s="64"/>
      <c r="CL132" s="64"/>
      <c r="CM132" s="64"/>
      <c r="CN132" s="64"/>
      <c r="CO132" s="64"/>
      <c r="CP132" s="64"/>
      <c r="CQ132" s="64"/>
      <c r="CR132" s="64"/>
      <c r="CS132" s="64"/>
      <c r="CT132" s="64"/>
      <c r="CU132" s="64"/>
      <c r="CV132" s="64"/>
      <c r="CW132" s="64"/>
      <c r="CX132" s="64"/>
      <c r="CY132" s="64"/>
      <c r="CZ132" s="64"/>
      <c r="DA132" s="64"/>
      <c r="DB132" s="64"/>
      <c r="DC132" s="64"/>
      <c r="DD132" s="64"/>
      <c r="DE132" s="64"/>
      <c r="DF132" s="64"/>
      <c r="DG132" s="64"/>
      <c r="DH132" s="64"/>
      <c r="DI132" s="64"/>
      <c r="DJ132" s="64"/>
      <c r="DK132" s="64"/>
      <c r="DL132" s="64"/>
      <c r="DM132" s="64"/>
      <c r="DN132" s="64"/>
      <c r="DO132" s="64"/>
      <c r="DP132" s="64"/>
      <c r="DQ132" s="80"/>
      <c r="DR132" s="80">
        <v>72</v>
      </c>
      <c r="DS132" s="80"/>
      <c r="DT132" s="64"/>
      <c r="DU132" s="64"/>
      <c r="DV132" s="64"/>
      <c r="DW132" s="64"/>
      <c r="DX132" s="64"/>
      <c r="DY132" s="64"/>
      <c r="DZ132" s="64"/>
      <c r="EA132" s="64"/>
      <c r="EB132" s="64"/>
      <c r="EC132" s="64"/>
      <c r="ED132" s="64"/>
      <c r="EE132" s="64"/>
      <c r="EF132" s="64"/>
      <c r="EG132" s="64"/>
      <c r="EH132" s="64"/>
      <c r="EI132" s="64"/>
      <c r="EJ132" s="64"/>
      <c r="EK132" s="64"/>
      <c r="EL132" s="64"/>
      <c r="EM132" s="64"/>
      <c r="EN132" s="64"/>
      <c r="EO132" s="64"/>
      <c r="EP132" s="64"/>
      <c r="EQ132" s="64"/>
      <c r="ER132" s="64"/>
      <c r="ES132" s="64"/>
      <c r="ET132" s="64"/>
      <c r="EU132" s="64"/>
      <c r="EV132" s="64"/>
      <c r="EW132" s="64"/>
      <c r="EX132" s="64"/>
      <c r="EY132" s="64"/>
      <c r="EZ132" s="64"/>
      <c r="FA132" s="64"/>
      <c r="FB132" s="64"/>
      <c r="FC132" s="64"/>
      <c r="FD132" s="64"/>
      <c r="FE132" s="64"/>
      <c r="FF132" s="64"/>
      <c r="FG132" s="64"/>
      <c r="FH132" s="64"/>
      <c r="FI132" s="64"/>
      <c r="FJ132" s="64"/>
      <c r="FK132" s="64"/>
      <c r="FL132" s="64"/>
      <c r="FM132" s="64"/>
      <c r="FN132" s="64"/>
      <c r="FO132" s="64"/>
      <c r="FP132" s="64"/>
      <c r="FQ132" s="64"/>
      <c r="FR132" s="64"/>
      <c r="FS132" s="64"/>
      <c r="FT132" s="64"/>
      <c r="FU132" s="64"/>
      <c r="FV132" s="64"/>
      <c r="FW132" s="64"/>
      <c r="FX132" s="64"/>
      <c r="FY132" s="64"/>
      <c r="FZ132" s="64"/>
      <c r="GA132" s="64"/>
      <c r="GB132" s="64"/>
      <c r="GC132" s="64"/>
      <c r="GD132" s="64"/>
      <c r="GE132" s="64"/>
      <c r="GF132" s="64"/>
      <c r="GG132" s="64"/>
      <c r="GH132" s="64"/>
      <c r="GI132" s="64"/>
      <c r="GJ132" s="64"/>
      <c r="GK132" s="64"/>
      <c r="GL132" s="64"/>
      <c r="GM132" s="64"/>
      <c r="GN132" s="64"/>
      <c r="GO132" s="64"/>
      <c r="GP132" s="64"/>
      <c r="GQ132" s="64"/>
      <c r="GR132" s="64"/>
      <c r="GS132" s="64"/>
      <c r="GT132" s="64"/>
      <c r="GU132" s="64"/>
      <c r="GV132" s="64"/>
      <c r="GW132" s="64"/>
      <c r="GX132" s="64"/>
      <c r="GY132" s="64"/>
      <c r="GZ132" s="64"/>
      <c r="HA132" s="64"/>
      <c r="HB132" s="64"/>
      <c r="HC132" s="64"/>
      <c r="HD132" s="64"/>
      <c r="HE132" s="64"/>
      <c r="HF132" s="64"/>
      <c r="HG132" s="64"/>
      <c r="HH132" s="64"/>
    </row>
    <row r="133" spans="1:252" ht="15.75" thickBot="1" x14ac:dyDescent="0.3">
      <c r="A133" s="8"/>
      <c r="B133" s="5" t="s">
        <v>61</v>
      </c>
      <c r="C133" s="8"/>
      <c r="D133" s="6" t="s">
        <v>475</v>
      </c>
      <c r="E133" s="8" t="s">
        <v>515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>
        <f>INDEX(cenník!$C$2:$I$568,MATCH($L133,cenník!$B$2:$B$557,0),MATCH(M$2,cenník!$C$1:$I$1,0))</f>
        <v>867830</v>
      </c>
      <c r="N133" s="11" t="str">
        <f>INDEX(cenník!$C$2:$I$568,MATCH($L133,cenník!$B$2:$B$557,0),MATCH(N$2,cenník!$C$1:$I$1,0))</f>
        <v>ks</v>
      </c>
      <c r="O133" s="11">
        <f>SUM(AB122:AB137)</f>
        <v>0</v>
      </c>
      <c r="P133" s="36">
        <f>INDEX(cenník!$C$2:$I$568,MATCH($L133,cenník!$B$2:$B$557,0),MATCH(P$2,cenník!$C$1:$I$1,0))</f>
        <v>52.49</v>
      </c>
      <c r="Q133" s="36">
        <f>O133*P133</f>
        <v>0</v>
      </c>
      <c r="R133" s="37">
        <f t="shared" ref="R133:R156" si="326">$E$135</f>
        <v>0</v>
      </c>
      <c r="S133" s="36">
        <f t="shared" si="325"/>
        <v>52.49</v>
      </c>
      <c r="T133" s="36">
        <f t="shared" ref="T133:T134" si="327">O133*S133</f>
        <v>0</v>
      </c>
      <c r="U133" s="36">
        <f>INDEX(cenník!$C$2:$I$568,MATCH($L133,cenník!$B$2:$B$557,0),MATCH(U$2,cenník!$C$1:$I$1,0))*O133</f>
        <v>0</v>
      </c>
      <c r="V133" s="85"/>
      <c r="W133" s="87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87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87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87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64">
        <f t="shared" si="313"/>
        <v>0</v>
      </c>
      <c r="AB133" s="64">
        <f t="shared" si="314"/>
        <v>0</v>
      </c>
      <c r="AC133" s="64"/>
      <c r="AD133" s="64"/>
      <c r="AE133" s="64"/>
      <c r="AF133" s="64"/>
      <c r="AG133" s="64"/>
      <c r="AH133" s="64"/>
      <c r="AI133" s="68">
        <v>2</v>
      </c>
      <c r="AJ133" s="68" t="s">
        <v>522</v>
      </c>
      <c r="AK133" s="64">
        <v>2000</v>
      </c>
      <c r="AL133" s="64">
        <v>2000</v>
      </c>
      <c r="AM133" s="64" t="s">
        <v>522</v>
      </c>
      <c r="AN133" s="64" t="s">
        <v>522</v>
      </c>
      <c r="AO133" s="64">
        <f t="shared" si="315"/>
        <v>1</v>
      </c>
      <c r="AP133" s="83" t="s">
        <v>346</v>
      </c>
      <c r="AQ133" s="64"/>
      <c r="AX133" s="64"/>
      <c r="AY133" s="64"/>
      <c r="AZ133" s="64"/>
      <c r="BA133" s="64"/>
      <c r="BB133" s="64"/>
      <c r="BC133" s="64"/>
      <c r="BD133" s="64"/>
      <c r="BE133" s="64"/>
      <c r="BF133" s="64"/>
      <c r="BG133" s="64"/>
      <c r="BH133" s="64"/>
      <c r="BI133" s="64"/>
      <c r="BJ133" s="64"/>
      <c r="BK133" s="64"/>
      <c r="BL133" s="64"/>
      <c r="BM133" s="64"/>
      <c r="BN133" s="64"/>
      <c r="BO133" s="64"/>
      <c r="BP133" s="64"/>
      <c r="BQ133" s="64"/>
      <c r="BR133" s="64"/>
      <c r="BS133" s="64"/>
      <c r="BT133" s="64"/>
      <c r="BU133" s="64"/>
      <c r="BV133" s="64"/>
      <c r="BW133" s="64"/>
      <c r="BX133" s="64"/>
      <c r="BY133" s="64"/>
      <c r="BZ133" s="64"/>
      <c r="CA133" s="64"/>
      <c r="CB133" s="64"/>
      <c r="CC133" s="64"/>
      <c r="CD133" s="64"/>
      <c r="CE133" s="64"/>
      <c r="CF133" s="64"/>
      <c r="CG133" s="64"/>
      <c r="CH133" s="64"/>
      <c r="CI133" s="64"/>
      <c r="CJ133" s="64"/>
      <c r="CK133" s="64"/>
      <c r="CL133" s="64"/>
      <c r="CM133" s="64"/>
      <c r="CN133" s="64"/>
      <c r="CO133" s="64"/>
      <c r="CP133" s="64"/>
      <c r="CQ133" s="64"/>
      <c r="CR133" s="64"/>
      <c r="CS133" s="64"/>
      <c r="CT133" s="64"/>
      <c r="CU133" s="64"/>
      <c r="CV133" s="64"/>
      <c r="CW133" s="64"/>
      <c r="CX133" s="64"/>
      <c r="CY133" s="64"/>
      <c r="CZ133" s="64"/>
      <c r="DA133" s="64"/>
      <c r="DB133" s="64"/>
      <c r="DC133" s="64"/>
      <c r="DD133" s="64"/>
      <c r="DE133" s="64"/>
      <c r="DF133" s="64"/>
      <c r="DG133" s="64"/>
      <c r="DH133" s="64"/>
      <c r="DI133" s="64"/>
      <c r="DJ133" s="64"/>
      <c r="DK133" s="64"/>
      <c r="DL133" s="64"/>
      <c r="DM133" s="64"/>
      <c r="DN133" s="64"/>
      <c r="DO133" s="64"/>
      <c r="DP133" s="64"/>
      <c r="DQ133" s="80"/>
      <c r="DR133" s="80">
        <v>75</v>
      </c>
      <c r="DS133" s="80"/>
      <c r="DT133" s="64"/>
      <c r="DU133" s="64"/>
      <c r="DV133" s="64"/>
      <c r="DW133" s="64"/>
      <c r="DX133" s="64"/>
      <c r="DY133" s="64"/>
      <c r="DZ133" s="64"/>
      <c r="EA133" s="64"/>
      <c r="EB133" s="64"/>
      <c r="EC133" s="64"/>
      <c r="ED133" s="64"/>
      <c r="EE133" s="64"/>
      <c r="EF133" s="64"/>
      <c r="EG133" s="64"/>
      <c r="EH133" s="64"/>
      <c r="EI133" s="64"/>
      <c r="EJ133" s="64"/>
      <c r="EK133" s="64"/>
      <c r="EL133" s="64"/>
      <c r="EM133" s="64"/>
      <c r="EN133" s="64"/>
      <c r="EO133" s="64"/>
      <c r="EP133" s="64"/>
      <c r="EQ133" s="64"/>
      <c r="ER133" s="64"/>
      <c r="ES133" s="64"/>
      <c r="ET133" s="64"/>
      <c r="EU133" s="64"/>
      <c r="EV133" s="64"/>
      <c r="EW133" s="64"/>
      <c r="EX133" s="64"/>
      <c r="EY133" s="64"/>
      <c r="EZ133" s="64"/>
      <c r="FA133" s="64"/>
      <c r="FB133" s="64"/>
      <c r="FC133" s="64"/>
      <c r="FD133" s="64"/>
      <c r="FE133" s="64"/>
      <c r="FF133" s="64"/>
      <c r="FG133" s="64"/>
      <c r="FH133" s="64"/>
      <c r="FI133" s="64"/>
      <c r="FJ133" s="64"/>
      <c r="FK133" s="64"/>
      <c r="FL133" s="64"/>
      <c r="FM133" s="64"/>
      <c r="FN133" s="64"/>
      <c r="FO133" s="64"/>
      <c r="FP133" s="64"/>
      <c r="FQ133" s="64"/>
      <c r="FR133" s="64"/>
      <c r="FS133" s="64"/>
      <c r="FT133" s="64"/>
      <c r="FU133" s="64"/>
      <c r="FV133" s="64"/>
      <c r="FW133" s="64"/>
      <c r="FX133" s="64"/>
      <c r="FY133" s="64"/>
      <c r="FZ133" s="64"/>
      <c r="GA133" s="64"/>
      <c r="GB133" s="64"/>
      <c r="GC133" s="64"/>
      <c r="GD133" s="64"/>
      <c r="GE133" s="64"/>
      <c r="GF133" s="64"/>
      <c r="GG133" s="64"/>
      <c r="GH133" s="64"/>
      <c r="GI133" s="64"/>
      <c r="GJ133" s="64"/>
      <c r="GK133" s="64"/>
      <c r="GL133" s="64"/>
      <c r="GM133" s="64"/>
      <c r="GN133" s="64"/>
      <c r="GO133" s="64"/>
      <c r="GP133" s="64"/>
      <c r="GQ133" s="64"/>
      <c r="GR133" s="64"/>
      <c r="GS133" s="64"/>
      <c r="GT133" s="64"/>
      <c r="GU133" s="64"/>
      <c r="GV133" s="64"/>
      <c r="GW133" s="64"/>
      <c r="GX133" s="64"/>
      <c r="GY133" s="64"/>
      <c r="GZ133" s="64"/>
      <c r="HA133" s="64"/>
      <c r="HB133" s="64"/>
      <c r="HC133" s="64"/>
      <c r="HD133" s="64"/>
      <c r="HE133" s="64"/>
      <c r="HF133" s="64"/>
      <c r="HG133" s="64"/>
      <c r="HH133" s="64"/>
    </row>
    <row r="134" spans="1:252" x14ac:dyDescent="0.25">
      <c r="A134" s="8"/>
      <c r="B134" s="5" t="s">
        <v>61</v>
      </c>
      <c r="C134" s="8"/>
      <c r="D134" s="6" t="s">
        <v>488</v>
      </c>
      <c r="E134" s="8">
        <v>0</v>
      </c>
      <c r="F134" s="5"/>
      <c r="G134" s="5"/>
      <c r="H134" s="5"/>
      <c r="I134" s="5"/>
      <c r="J134" s="5" t="s">
        <v>461</v>
      </c>
      <c r="K134" s="9"/>
      <c r="L134" s="6" t="str">
        <f>INDEX((AQ123:AT131),MATCH(E131,AP123:AP131,0),MATCH(E133,AQ122:AT122,0))</f>
        <v>CWT70H50/3NMC</v>
      </c>
      <c r="M134" s="11">
        <f>INDEX(cenník!$C$2:$I$568,MATCH($L134,cenník!$B$2:$B$557,0),MATCH(M$2,cenník!$C$1:$I$1,0))</f>
        <v>867830</v>
      </c>
      <c r="N134" s="11" t="str">
        <f>INDEX(cenník!$C$2:$I$568,MATCH($L134,cenník!$B$2:$B$557,0),MATCH(N$2,cenník!$C$1:$I$1,0))</f>
        <v>ks</v>
      </c>
      <c r="O134" s="11">
        <f>O133</f>
        <v>0</v>
      </c>
      <c r="P134" s="36">
        <f>INDEX(cenník!$C$2:$I$568,MATCH($L134,cenník!$B$2:$B$557,0),MATCH(P$2,cenník!$C$1:$I$1,0))</f>
        <v>52.49</v>
      </c>
      <c r="Q134" s="36">
        <f t="shared" ref="Q134" si="328">O134*P134</f>
        <v>0</v>
      </c>
      <c r="R134" s="37">
        <f t="shared" si="326"/>
        <v>0</v>
      </c>
      <c r="S134" s="36">
        <f t="shared" si="325"/>
        <v>52.49</v>
      </c>
      <c r="T134" s="36">
        <f t="shared" si="327"/>
        <v>0</v>
      </c>
      <c r="U134" s="36">
        <f>INDEX(cenník!$C$2:$I$568,MATCH($L134,cenník!$B$2:$B$557,0),MATCH(U$2,cenník!$C$1:$I$1,0))*O134</f>
        <v>0</v>
      </c>
      <c r="V134" s="85"/>
      <c r="W134" s="87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87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87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87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64">
        <f t="shared" si="313"/>
        <v>0</v>
      </c>
      <c r="AB134" s="64">
        <f t="shared" si="314"/>
        <v>0</v>
      </c>
      <c r="AC134" s="64"/>
      <c r="AD134" s="64"/>
      <c r="AE134" s="64"/>
      <c r="AF134" s="64"/>
      <c r="AG134" s="64"/>
      <c r="AH134" s="64"/>
      <c r="AI134" s="68" t="s">
        <v>339</v>
      </c>
      <c r="AJ134" s="68">
        <v>2700</v>
      </c>
      <c r="AK134" s="64" t="s">
        <v>522</v>
      </c>
      <c r="AL134" s="64">
        <v>2000</v>
      </c>
      <c r="AM134" s="64" t="s">
        <v>522</v>
      </c>
      <c r="AN134" s="64">
        <v>1000</v>
      </c>
      <c r="AO134" s="64">
        <f t="shared" si="315"/>
        <v>1</v>
      </c>
      <c r="AP134" s="64"/>
      <c r="AQ134" s="64" t="s">
        <v>515</v>
      </c>
      <c r="AR134" s="68" t="s">
        <v>516</v>
      </c>
      <c r="AS134" s="68" t="s">
        <v>483</v>
      </c>
      <c r="AT134" s="68" t="s">
        <v>517</v>
      </c>
      <c r="AU134" s="64"/>
      <c r="AV134" s="64"/>
      <c r="AW134" s="64"/>
      <c r="AX134" s="64"/>
      <c r="AY134" s="64"/>
      <c r="AZ134" s="64"/>
      <c r="BA134" s="64"/>
      <c r="BB134" s="64"/>
      <c r="BC134" s="64"/>
      <c r="BD134" s="64"/>
      <c r="BE134" s="64"/>
      <c r="BF134" s="64"/>
      <c r="BG134" s="64"/>
      <c r="BH134" s="64"/>
      <c r="BI134" s="64"/>
      <c r="BJ134" s="64"/>
      <c r="BK134" s="64"/>
      <c r="BL134" s="64"/>
      <c r="BM134" s="64"/>
      <c r="BN134" s="64"/>
      <c r="BO134" s="64"/>
      <c r="BP134" s="64"/>
      <c r="BQ134" s="64"/>
      <c r="BR134" s="64"/>
      <c r="BS134" s="64"/>
      <c r="BT134" s="64"/>
      <c r="BU134" s="64"/>
      <c r="BV134" s="64"/>
      <c r="BW134" s="64"/>
      <c r="BX134" s="64"/>
      <c r="BY134" s="64"/>
      <c r="BZ134" s="64"/>
      <c r="CA134" s="64"/>
      <c r="CB134" s="64"/>
      <c r="CC134" s="64"/>
      <c r="CD134" s="64"/>
      <c r="CE134" s="64"/>
      <c r="CF134" s="64"/>
      <c r="CG134" s="64"/>
      <c r="CH134" s="64"/>
      <c r="CI134" s="64"/>
      <c r="CJ134" s="64"/>
      <c r="CK134" s="64"/>
      <c r="CL134" s="64"/>
      <c r="CM134" s="64"/>
      <c r="CN134" s="64"/>
      <c r="CO134" s="64"/>
      <c r="CP134" s="64"/>
      <c r="CQ134" s="64"/>
      <c r="CR134" s="64"/>
      <c r="CS134" s="64"/>
      <c r="CT134" s="64"/>
      <c r="CU134" s="64"/>
      <c r="CV134" s="64"/>
      <c r="CW134" s="64"/>
      <c r="CX134" s="64"/>
      <c r="CY134" s="64"/>
      <c r="CZ134" s="64"/>
      <c r="DA134" s="64"/>
      <c r="DB134" s="64"/>
      <c r="DC134" s="64"/>
      <c r="DD134" s="64"/>
      <c r="DE134" s="64"/>
      <c r="DF134" s="64"/>
      <c r="DG134" s="64"/>
      <c r="DH134" s="64"/>
      <c r="DI134" s="64"/>
      <c r="DJ134" s="64"/>
      <c r="DK134" s="64"/>
      <c r="DL134" s="64"/>
      <c r="DM134" s="64"/>
      <c r="DN134" s="64"/>
      <c r="DO134" s="64"/>
      <c r="DP134" s="64"/>
      <c r="DQ134" s="80"/>
      <c r="DR134" s="80"/>
      <c r="DS134" s="80"/>
      <c r="DT134" s="64"/>
      <c r="DU134" s="64"/>
      <c r="DV134" s="64"/>
      <c r="DW134" s="64"/>
      <c r="DX134" s="64"/>
      <c r="DY134" s="64"/>
      <c r="DZ134" s="64"/>
      <c r="EA134" s="64"/>
      <c r="EB134" s="64"/>
      <c r="EC134" s="64"/>
      <c r="ED134" s="64"/>
      <c r="EE134" s="64"/>
      <c r="EF134" s="64"/>
      <c r="EG134" s="64"/>
      <c r="EH134" s="64"/>
      <c r="EI134" s="65"/>
      <c r="EJ134" s="66"/>
      <c r="EK134" s="66"/>
      <c r="EL134" s="66"/>
      <c r="EM134" s="66"/>
      <c r="EN134" s="66"/>
      <c r="EO134" s="66"/>
      <c r="EP134" s="66"/>
      <c r="EQ134" s="66"/>
      <c r="ER134" s="66"/>
      <c r="ES134" s="66"/>
      <c r="ET134" s="66"/>
      <c r="EU134" s="66"/>
      <c r="EV134" s="66"/>
      <c r="EW134" s="66"/>
      <c r="EX134" s="66"/>
      <c r="EY134" s="66"/>
      <c r="EZ134" s="66"/>
      <c r="FA134" s="66"/>
      <c r="FB134" s="66"/>
      <c r="FC134" s="66"/>
      <c r="FD134" s="66"/>
      <c r="FE134" s="66"/>
      <c r="FF134" s="66"/>
      <c r="FG134" s="66"/>
      <c r="FH134" s="66"/>
      <c r="FI134" s="66"/>
      <c r="FJ134" s="66"/>
      <c r="FK134" s="66"/>
      <c r="FL134" s="66"/>
      <c r="FM134" s="66"/>
      <c r="FN134" s="66"/>
      <c r="FO134" s="66"/>
      <c r="FP134" s="66"/>
      <c r="FQ134" s="66"/>
      <c r="FR134" s="66"/>
      <c r="FS134" s="66"/>
      <c r="FT134" s="66"/>
      <c r="FU134" s="66"/>
      <c r="FV134" s="66"/>
      <c r="FW134" s="66"/>
      <c r="FX134" s="66"/>
      <c r="FY134" s="66"/>
      <c r="FZ134" s="66"/>
      <c r="GA134" s="66"/>
      <c r="GB134" s="66"/>
      <c r="GC134" s="66"/>
      <c r="GD134" s="66"/>
      <c r="GE134" s="66"/>
      <c r="GF134" s="66"/>
      <c r="GG134" s="66"/>
      <c r="GH134" s="66"/>
      <c r="GI134" s="66"/>
      <c r="GJ134" s="66"/>
      <c r="GK134" s="66"/>
      <c r="GL134" s="67"/>
      <c r="GM134" s="64"/>
      <c r="GN134" s="64"/>
      <c r="GO134" s="64"/>
      <c r="GP134" s="64"/>
      <c r="GQ134" s="64"/>
      <c r="GR134" s="64"/>
      <c r="GS134" s="64"/>
      <c r="GT134" s="64"/>
      <c r="GU134" s="64"/>
      <c r="GV134" s="64"/>
      <c r="GW134" s="64"/>
      <c r="GX134" s="64"/>
      <c r="GY134" s="64"/>
      <c r="GZ134" s="64"/>
      <c r="HA134" s="64"/>
      <c r="HB134" s="64"/>
      <c r="HC134" s="64"/>
      <c r="HD134" s="64"/>
      <c r="HE134" s="64"/>
      <c r="HF134" s="64"/>
      <c r="HG134" s="64"/>
      <c r="HH134" s="64"/>
    </row>
    <row r="135" spans="1:252" x14ac:dyDescent="0.25">
      <c r="A135" s="8"/>
      <c r="B135" s="5" t="s">
        <v>61</v>
      </c>
      <c r="C135" s="8"/>
      <c r="D135" s="6" t="s">
        <v>458</v>
      </c>
      <c r="E135" s="8">
        <v>0</v>
      </c>
      <c r="F135" s="5"/>
      <c r="G135" s="5"/>
      <c r="H135" s="5"/>
      <c r="I135" s="5"/>
      <c r="J135" s="5" t="s">
        <v>95</v>
      </c>
      <c r="K135" s="9"/>
      <c r="L135" s="6" t="str">
        <f>INDEX((AQ135:AT143),MATCH(E131,AP135:AP143,0),MATCH(E133,AQ134:AT134,0))</f>
        <v>CWT70H50/2NMC</v>
      </c>
      <c r="M135" s="11">
        <f>INDEX(cenník!$C$2:$I$568,MATCH($L135,cenník!$B$2:$B$557,0),MATCH(M$2,cenník!$C$1:$I$1,0))</f>
        <v>867820</v>
      </c>
      <c r="N135" s="11" t="str">
        <f>INDEX(cenník!$C$2:$I$568,MATCH($L135,cenník!$B$2:$B$557,0),MATCH(N$2,cenník!$C$1:$I$1,0))</f>
        <v>ks</v>
      </c>
      <c r="O135" s="29">
        <f>IF(L135="CWT70H50/2NMC",O134,0)</f>
        <v>0</v>
      </c>
      <c r="P135" s="36">
        <f>INDEX(cenník!$C$2:$I$568,MATCH($L135,cenník!$B$2:$B$557,0),MATCH(P$2,cenník!$C$1:$I$1,0))</f>
        <v>35</v>
      </c>
      <c r="Q135" s="36">
        <f t="shared" ref="Q135:Q136" si="329">O135*P135</f>
        <v>0</v>
      </c>
      <c r="R135" s="37">
        <f t="shared" si="326"/>
        <v>0</v>
      </c>
      <c r="S135" s="36">
        <f t="shared" si="325"/>
        <v>35</v>
      </c>
      <c r="T135" s="36">
        <f t="shared" ref="T135:T136" si="330">O135*S135</f>
        <v>0</v>
      </c>
      <c r="U135" s="36">
        <f>INDEX(cenník!$C$2:$I$568,MATCH($L135,cenník!$B$2:$B$557,0),MATCH(U$2,cenník!$C$1:$I$1,0))*O135</f>
        <v>0</v>
      </c>
      <c r="V135" s="64"/>
      <c r="W135" s="87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87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87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87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64">
        <f t="shared" si="313"/>
        <v>0</v>
      </c>
      <c r="AB135" s="64">
        <f t="shared" si="314"/>
        <v>0</v>
      </c>
      <c r="AC135" s="64"/>
      <c r="AD135" s="64"/>
      <c r="AE135" s="64"/>
      <c r="AF135" s="64"/>
      <c r="AG135" s="64"/>
      <c r="AH135" s="64"/>
      <c r="AI135" s="64"/>
      <c r="AJ135" s="64"/>
      <c r="AK135" s="64"/>
      <c r="AL135" s="64"/>
      <c r="AM135" s="64"/>
      <c r="AN135" s="64"/>
      <c r="AO135" s="64">
        <f t="shared" si="315"/>
        <v>1</v>
      </c>
      <c r="AP135" s="64" t="s">
        <v>56</v>
      </c>
      <c r="AQ135" s="64" t="s">
        <v>84</v>
      </c>
      <c r="AR135" s="68" t="s">
        <v>84</v>
      </c>
      <c r="AS135" s="68" t="s">
        <v>84</v>
      </c>
      <c r="AT135" s="68" t="s">
        <v>84</v>
      </c>
      <c r="AU135" s="64"/>
      <c r="AV135" s="64"/>
      <c r="AW135" s="64"/>
      <c r="AX135" s="64"/>
      <c r="AY135" s="64"/>
      <c r="AZ135" s="64"/>
      <c r="BA135" s="64"/>
      <c r="BB135" s="64"/>
      <c r="BC135" s="64"/>
      <c r="BD135" s="64"/>
      <c r="BE135" s="64"/>
      <c r="BF135" s="64"/>
      <c r="BG135" s="64"/>
      <c r="BH135" s="64"/>
      <c r="BI135" s="64"/>
      <c r="BJ135" s="64"/>
      <c r="BK135" s="64"/>
      <c r="BL135" s="64"/>
      <c r="BM135" s="64"/>
      <c r="BN135" s="64"/>
      <c r="BO135" s="64"/>
      <c r="BP135" s="64"/>
      <c r="BQ135" s="64"/>
      <c r="BR135" s="64"/>
      <c r="BS135" s="64"/>
      <c r="BT135" s="64"/>
      <c r="BU135" s="64"/>
      <c r="BV135" s="64"/>
      <c r="BW135" s="64"/>
      <c r="BX135" s="64"/>
      <c r="BY135" s="64"/>
      <c r="BZ135" s="64"/>
      <c r="CA135" s="64"/>
      <c r="CB135" s="64"/>
      <c r="CC135" s="64"/>
      <c r="CD135" s="64"/>
      <c r="CE135" s="64"/>
      <c r="CF135" s="64"/>
      <c r="CG135" s="64"/>
      <c r="CH135" s="64"/>
      <c r="CI135" s="64"/>
      <c r="CJ135" s="64"/>
      <c r="CK135" s="64"/>
      <c r="CL135" s="64"/>
      <c r="CM135" s="64"/>
      <c r="CN135" s="64"/>
      <c r="CO135" s="64"/>
      <c r="CP135" s="64"/>
      <c r="CQ135" s="64"/>
      <c r="CR135" s="64"/>
      <c r="CS135" s="64"/>
      <c r="CT135" s="64"/>
      <c r="CU135" s="64"/>
      <c r="CV135" s="64"/>
      <c r="CW135" s="64"/>
      <c r="CX135" s="64"/>
      <c r="CY135" s="64"/>
      <c r="CZ135" s="64"/>
      <c r="DA135" s="64"/>
      <c r="DB135" s="64"/>
      <c r="DC135" s="64"/>
      <c r="DD135" s="64"/>
      <c r="DE135" s="64"/>
      <c r="DF135" s="64"/>
      <c r="DG135" s="64"/>
      <c r="DH135" s="64"/>
      <c r="DI135" s="64"/>
      <c r="DJ135" s="64"/>
      <c r="DK135" s="64"/>
      <c r="DL135" s="64"/>
      <c r="DM135" s="64"/>
      <c r="DN135" s="64"/>
      <c r="DO135" s="64"/>
      <c r="DP135" s="64"/>
      <c r="DQ135" s="80"/>
      <c r="DR135" s="80"/>
      <c r="DS135" s="80"/>
      <c r="DT135" s="64"/>
      <c r="DU135" s="64"/>
      <c r="DV135" s="64"/>
      <c r="DW135" s="64"/>
      <c r="DX135" s="64"/>
      <c r="DY135" s="64"/>
      <c r="DZ135" s="64"/>
      <c r="EA135" s="64"/>
      <c r="EB135" s="64"/>
      <c r="EC135" s="64"/>
      <c r="ED135" s="64"/>
      <c r="EE135" s="64"/>
      <c r="EF135" s="64"/>
      <c r="EG135" s="64"/>
      <c r="EH135" s="64"/>
      <c r="EI135" s="69"/>
      <c r="EJ135" s="64"/>
      <c r="EK135" s="64"/>
      <c r="EL135" s="64"/>
      <c r="EM135" s="64"/>
      <c r="EN135" s="64"/>
      <c r="EO135" s="64"/>
      <c r="EP135" s="64"/>
      <c r="EQ135" s="64"/>
      <c r="ER135" s="64"/>
      <c r="ES135" s="64"/>
      <c r="ET135" s="64"/>
      <c r="EU135" s="64"/>
      <c r="EV135" s="64"/>
      <c r="EW135" s="64"/>
      <c r="EX135" s="64"/>
      <c r="EY135" s="64"/>
      <c r="EZ135" s="64"/>
      <c r="FA135" s="64"/>
      <c r="FB135" s="64"/>
      <c r="FC135" s="64"/>
      <c r="FD135" s="64"/>
      <c r="FE135" s="64"/>
      <c r="FF135" s="64"/>
      <c r="FG135" s="64"/>
      <c r="FH135" s="64"/>
      <c r="FI135" s="64"/>
      <c r="FJ135" s="64"/>
      <c r="FK135" s="64"/>
      <c r="FL135" s="64"/>
      <c r="FM135" s="64"/>
      <c r="FN135" s="64"/>
      <c r="FO135" s="64"/>
      <c r="FP135" s="64"/>
      <c r="FQ135" s="64"/>
      <c r="FR135" s="64"/>
      <c r="FS135" s="64"/>
      <c r="FT135" s="64"/>
      <c r="FU135" s="64"/>
      <c r="FV135" s="64"/>
      <c r="FW135" s="64"/>
      <c r="FX135" s="64"/>
      <c r="FY135" s="64"/>
      <c r="FZ135" s="64"/>
      <c r="GA135" s="64"/>
      <c r="GB135" s="64"/>
      <c r="GC135" s="64"/>
      <c r="GD135" s="64"/>
      <c r="GE135" s="64"/>
      <c r="GF135" s="64"/>
      <c r="GG135" s="64"/>
      <c r="GH135" s="64"/>
      <c r="GI135" s="64"/>
      <c r="GJ135" s="64"/>
      <c r="GK135" s="64"/>
      <c r="GL135" s="70"/>
      <c r="GM135" s="64"/>
      <c r="GN135" s="64"/>
      <c r="GO135" s="64"/>
      <c r="GP135" s="64"/>
      <c r="GQ135" s="64"/>
      <c r="GR135" s="64"/>
      <c r="GS135" s="64"/>
      <c r="GT135" s="64"/>
      <c r="GU135" s="64"/>
      <c r="GV135" s="64"/>
      <c r="GW135" s="64"/>
      <c r="GX135" s="64"/>
      <c r="GY135" s="64"/>
      <c r="GZ135" s="64"/>
      <c r="HA135" s="64"/>
      <c r="HB135" s="64"/>
      <c r="HC135" s="64"/>
      <c r="HD135" s="64"/>
      <c r="HE135" s="64"/>
      <c r="HF135" s="64"/>
      <c r="HG135" s="64"/>
      <c r="HH135" s="64"/>
    </row>
    <row r="136" spans="1:252" x14ac:dyDescent="0.25">
      <c r="A136" s="8"/>
      <c r="B136" s="5" t="s">
        <v>61</v>
      </c>
      <c r="C136" s="8"/>
      <c r="D136" s="6" t="s">
        <v>460</v>
      </c>
      <c r="E136" s="8">
        <v>0</v>
      </c>
      <c r="F136" s="5"/>
      <c r="G136" s="5"/>
      <c r="H136" s="5"/>
      <c r="I136" s="5"/>
      <c r="J136" s="5" t="s">
        <v>461</v>
      </c>
      <c r="K136" s="9"/>
      <c r="L136" s="39" t="str">
        <f>IF(L135="CWT70H50/2NMC","LCT70H50NMC",IF(L135="CWT70H50/2,4NMC","LCT70H50NMC","-------"))</f>
        <v>LCT70H50NMC</v>
      </c>
      <c r="M136" s="11">
        <f>INDEX(cenník!$C$2:$I$568,MATCH($L136,cenník!$B$2:$B$557,0),MATCH(M$2,cenník!$C$1:$I$1,0))</f>
        <v>852002</v>
      </c>
      <c r="N136" s="11" t="str">
        <f>INDEX(cenník!$C$2:$I$568,MATCH($L136,cenník!$B$2:$B$557,0),MATCH(N$2,cenník!$C$1:$I$1,0))</f>
        <v>ks</v>
      </c>
      <c r="O136" s="29">
        <f>O135</f>
        <v>0</v>
      </c>
      <c r="P136" s="36">
        <f>INDEX(cenník!$C$2:$I$568,MATCH($L136,cenník!$B$2:$B$557,0),MATCH(P$2,cenník!$C$1:$I$1,0))</f>
        <v>7.8</v>
      </c>
      <c r="Q136" s="36">
        <f t="shared" si="329"/>
        <v>0</v>
      </c>
      <c r="R136" s="37">
        <f t="shared" si="326"/>
        <v>0</v>
      </c>
      <c r="S136" s="36">
        <f t="shared" si="325"/>
        <v>7.8</v>
      </c>
      <c r="T136" s="36">
        <f t="shared" si="330"/>
        <v>0</v>
      </c>
      <c r="U136" s="36">
        <f>INDEX(cenník!$C$2:$I$568,MATCH($L136,cenník!$B$2:$B$557,0),MATCH(U$2,cenník!$C$1:$I$1,0))*O136</f>
        <v>0</v>
      </c>
      <c r="V136" s="64"/>
      <c r="W136" s="87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87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87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87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64">
        <f t="shared" si="313"/>
        <v>0</v>
      </c>
      <c r="AB136" s="64">
        <f t="shared" si="314"/>
        <v>0</v>
      </c>
      <c r="AC136" s="64"/>
      <c r="AD136" s="64"/>
      <c r="AE136" s="64"/>
      <c r="AF136" s="64"/>
      <c r="AG136" s="64"/>
      <c r="AH136" s="64"/>
      <c r="AI136" s="64"/>
      <c r="AJ136" s="64"/>
      <c r="AK136" s="64"/>
      <c r="AL136" s="64"/>
      <c r="AM136" s="64"/>
      <c r="AN136" s="64"/>
      <c r="AO136" s="64">
        <f t="shared" si="315"/>
        <v>1</v>
      </c>
      <c r="AP136" s="64" t="s">
        <v>57</v>
      </c>
      <c r="AQ136" s="64" t="s">
        <v>84</v>
      </c>
      <c r="AR136" s="64" t="s">
        <v>84</v>
      </c>
      <c r="AS136" s="64" t="s">
        <v>84</v>
      </c>
      <c r="AT136" s="64" t="s">
        <v>84</v>
      </c>
      <c r="AU136" s="64"/>
      <c r="AV136" s="64"/>
      <c r="AW136" s="64"/>
      <c r="AX136" s="64"/>
      <c r="AY136" s="64"/>
      <c r="AZ136" s="64"/>
      <c r="BA136" s="64"/>
      <c r="BB136" s="64"/>
      <c r="BC136" s="64"/>
      <c r="BD136" s="64"/>
      <c r="BE136" s="64"/>
      <c r="BF136" s="64"/>
      <c r="BG136" s="64"/>
      <c r="BH136" s="64"/>
      <c r="BI136" s="64"/>
      <c r="BJ136" s="64"/>
      <c r="BK136" s="64"/>
      <c r="BL136" s="64"/>
      <c r="BM136" s="64"/>
      <c r="BN136" s="64"/>
      <c r="BO136" s="64"/>
      <c r="BP136" s="64"/>
      <c r="BQ136" s="64"/>
      <c r="BR136" s="64"/>
      <c r="BS136" s="64"/>
      <c r="BT136" s="64"/>
      <c r="BU136" s="64"/>
      <c r="BV136" s="64"/>
      <c r="BW136" s="64"/>
      <c r="BX136" s="64"/>
      <c r="BY136" s="64"/>
      <c r="BZ136" s="64"/>
      <c r="CA136" s="64"/>
      <c r="CB136" s="64"/>
      <c r="CC136" s="64"/>
      <c r="CD136" s="64"/>
      <c r="CE136" s="64"/>
      <c r="CF136" s="64"/>
      <c r="CG136" s="64"/>
      <c r="CH136" s="64"/>
      <c r="CI136" s="64"/>
      <c r="CJ136" s="64"/>
      <c r="CK136" s="64"/>
      <c r="CL136" s="64"/>
      <c r="CM136" s="64"/>
      <c r="CN136" s="64"/>
      <c r="CO136" s="64"/>
      <c r="CP136" s="64"/>
      <c r="CQ136" s="64"/>
      <c r="CR136" s="64"/>
      <c r="CS136" s="64"/>
      <c r="CT136" s="64"/>
      <c r="CU136" s="64"/>
      <c r="CV136" s="64"/>
      <c r="CW136" s="64"/>
      <c r="CX136" s="64"/>
      <c r="CY136" s="64"/>
      <c r="CZ136" s="64"/>
      <c r="DA136" s="64"/>
      <c r="DB136" s="64"/>
      <c r="DC136" s="64"/>
      <c r="DD136" s="64"/>
      <c r="DE136" s="64"/>
      <c r="DF136" s="64"/>
      <c r="DG136" s="64"/>
      <c r="DH136" s="64"/>
      <c r="DI136" s="64"/>
      <c r="DJ136" s="64"/>
      <c r="DK136" s="64"/>
      <c r="DL136" s="64"/>
      <c r="DM136" s="64"/>
      <c r="DN136" s="64"/>
      <c r="DO136" s="64"/>
      <c r="DP136" s="64"/>
      <c r="DQ136" s="80"/>
      <c r="DR136" s="80"/>
      <c r="DS136" s="80"/>
      <c r="DT136" s="64"/>
      <c r="DU136" s="64"/>
      <c r="DV136" s="64"/>
      <c r="DW136" s="64"/>
      <c r="DX136" s="64"/>
      <c r="DY136" s="64"/>
      <c r="DZ136" s="64"/>
      <c r="EA136" s="64"/>
      <c r="EB136" s="64"/>
      <c r="EC136" s="64"/>
      <c r="ED136" s="64"/>
      <c r="EE136" s="64"/>
      <c r="EF136" s="64"/>
      <c r="EG136" s="64"/>
      <c r="EH136" s="64"/>
      <c r="EI136" s="69"/>
      <c r="EJ136" s="64" t="s">
        <v>356</v>
      </c>
      <c r="EK136" s="64"/>
      <c r="EL136" s="64"/>
      <c r="EM136" s="64"/>
      <c r="EN136" s="64"/>
      <c r="EO136" s="64"/>
      <c r="EP136" s="64"/>
      <c r="EQ136" s="64"/>
      <c r="ER136" s="64"/>
      <c r="ES136" s="64"/>
      <c r="ET136" s="64"/>
      <c r="EU136" s="64"/>
      <c r="EV136" s="64"/>
      <c r="EW136" s="64"/>
      <c r="EX136" s="64"/>
      <c r="EY136" s="64"/>
      <c r="EZ136" s="64"/>
      <c r="FA136" s="64"/>
      <c r="FB136" s="64"/>
      <c r="FC136" s="64"/>
      <c r="FD136" s="64"/>
      <c r="FE136" s="64"/>
      <c r="FF136" s="64"/>
      <c r="FG136" s="64"/>
      <c r="FH136" s="64"/>
      <c r="FI136" s="64"/>
      <c r="FJ136" s="64"/>
      <c r="FK136" s="64"/>
      <c r="FL136" s="64"/>
      <c r="FM136" s="64"/>
      <c r="FN136" s="64"/>
      <c r="FO136" s="64"/>
      <c r="FP136" s="64"/>
      <c r="FQ136" s="64"/>
      <c r="FR136" s="64"/>
      <c r="FS136" s="64"/>
      <c r="FT136" s="64"/>
      <c r="FU136" s="64"/>
      <c r="FV136" s="64"/>
      <c r="FW136" s="64"/>
      <c r="FX136" s="64"/>
      <c r="FY136" s="64"/>
      <c r="FZ136" s="64"/>
      <c r="GA136" s="64"/>
      <c r="GB136" s="64"/>
      <c r="GC136" s="64"/>
      <c r="GD136" s="64"/>
      <c r="GE136" s="64"/>
      <c r="GF136" s="64"/>
      <c r="GG136" s="64"/>
      <c r="GH136" s="64"/>
      <c r="GI136" s="64"/>
      <c r="GJ136" s="64"/>
      <c r="GK136" s="64"/>
      <c r="GL136" s="70"/>
      <c r="GM136" s="64"/>
      <c r="GN136" s="64"/>
      <c r="GO136" s="64"/>
      <c r="GP136" s="64"/>
      <c r="GQ136" s="64"/>
      <c r="GR136" s="64"/>
      <c r="GS136" s="64"/>
      <c r="GT136" s="64"/>
      <c r="GU136" s="64"/>
      <c r="GV136" s="64"/>
      <c r="GW136" s="64"/>
      <c r="GX136" s="64"/>
      <c r="GY136" s="64"/>
      <c r="GZ136" s="64"/>
      <c r="HA136" s="64"/>
      <c r="HB136" s="64"/>
      <c r="HC136" s="64"/>
      <c r="HD136" s="64"/>
      <c r="HE136" s="64"/>
      <c r="HF136" s="64"/>
      <c r="HG136" s="64"/>
      <c r="HH136" s="64"/>
    </row>
    <row r="137" spans="1:252" x14ac:dyDescent="0.25">
      <c r="A137" s="8"/>
      <c r="B137" s="5" t="s">
        <v>61</v>
      </c>
      <c r="C137" s="8"/>
      <c r="D137" s="6" t="s">
        <v>474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>
        <f>INDEX(cenník!$C$2:$I$568,MATCH($L137,cenník!$B$2:$B$557,0),MATCH(M$2,cenník!$C$1:$I$1,0))</f>
        <v>863354</v>
      </c>
      <c r="N137" s="11" t="str">
        <f>INDEX(cenník!$C$2:$I$568,MATCH($L137,cenník!$B$2:$B$557,0),MATCH(N$2,cenník!$C$1:$I$1,0))</f>
        <v>ks</v>
      </c>
      <c r="O137" s="11">
        <f>O133</f>
        <v>0</v>
      </c>
      <c r="P137" s="36">
        <f>INDEX(cenník!$C$2:$I$568,MATCH($L137,cenník!$B$2:$B$557,0),MATCH(P$2,cenník!$C$1:$I$1,0))</f>
        <v>76.8</v>
      </c>
      <c r="Q137" s="36">
        <f t="shared" ref="Q137:Q138" si="331">O137*P137</f>
        <v>0</v>
      </c>
      <c r="R137" s="37">
        <f t="shared" si="326"/>
        <v>0</v>
      </c>
      <c r="S137" s="36">
        <f t="shared" si="325"/>
        <v>76.8</v>
      </c>
      <c r="T137" s="36">
        <f t="shared" ref="T137:T138" si="332">O137*S137</f>
        <v>0</v>
      </c>
      <c r="U137" s="36">
        <f>INDEX(cenník!$C$2:$I$568,MATCH($L137,cenník!$B$2:$B$557,0),MATCH(U$2,cenník!$C$1:$I$1,0))*O137</f>
        <v>0</v>
      </c>
      <c r="V137" s="82"/>
      <c r="W137" s="87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87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87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87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64">
        <f t="shared" si="313"/>
        <v>0</v>
      </c>
      <c r="AB137" s="64">
        <f t="shared" si="314"/>
        <v>0</v>
      </c>
      <c r="AC137" s="64"/>
      <c r="AD137" s="64"/>
      <c r="AE137" s="64"/>
      <c r="AF137" s="64"/>
      <c r="AG137" s="64"/>
      <c r="AH137" s="64" t="s">
        <v>92</v>
      </c>
      <c r="AI137" s="64"/>
      <c r="AJ137" s="64"/>
      <c r="AK137" s="64"/>
      <c r="AL137" s="64"/>
      <c r="AM137" s="64"/>
      <c r="AO137" s="64">
        <f t="shared" si="315"/>
        <v>1</v>
      </c>
      <c r="AP137" s="64" t="s">
        <v>67</v>
      </c>
      <c r="AQ137" s="64" t="s">
        <v>84</v>
      </c>
      <c r="AR137" s="68" t="s">
        <v>84</v>
      </c>
      <c r="AS137" s="68" t="s">
        <v>84</v>
      </c>
      <c r="AT137" s="68" t="s">
        <v>84</v>
      </c>
      <c r="AU137" s="64"/>
      <c r="AV137" s="64"/>
      <c r="AW137" s="64"/>
      <c r="AX137" s="64"/>
      <c r="AY137" s="64"/>
      <c r="AZ137" s="64"/>
      <c r="BA137" s="64"/>
      <c r="BB137" s="64"/>
      <c r="BC137" s="64"/>
      <c r="BD137" s="64"/>
      <c r="BE137" s="64"/>
      <c r="BF137" s="64"/>
      <c r="BG137" s="64"/>
      <c r="BH137" s="64"/>
      <c r="BI137" s="64"/>
      <c r="BJ137" s="64"/>
      <c r="BK137" s="64"/>
      <c r="BL137" s="64"/>
      <c r="BM137" s="64"/>
      <c r="BN137" s="64"/>
      <c r="BO137" s="64"/>
      <c r="BP137" s="64"/>
      <c r="BQ137" s="64"/>
      <c r="BR137" s="64"/>
      <c r="BS137" s="64"/>
      <c r="BT137" s="64"/>
      <c r="BU137" s="64"/>
      <c r="BV137" s="64"/>
      <c r="BW137" s="64"/>
      <c r="BX137" s="64"/>
      <c r="BY137" s="64"/>
      <c r="BZ137" s="64"/>
      <c r="CA137" s="64"/>
      <c r="CB137" s="64"/>
      <c r="CC137" s="64"/>
      <c r="CD137" s="64"/>
      <c r="CE137" s="64"/>
      <c r="CF137" s="64"/>
      <c r="CG137" s="64"/>
      <c r="CH137" s="64"/>
      <c r="CI137" s="64"/>
      <c r="CJ137" s="64"/>
      <c r="CK137" s="64"/>
      <c r="CL137" s="64"/>
      <c r="CM137" s="64"/>
      <c r="CN137" s="64"/>
      <c r="CO137" s="64"/>
      <c r="CP137" s="64"/>
      <c r="CQ137" s="64"/>
      <c r="CR137" s="64"/>
      <c r="CS137" s="64"/>
      <c r="CT137" s="64"/>
      <c r="CU137" s="64"/>
      <c r="CV137" s="64"/>
      <c r="CW137" s="64"/>
      <c r="CX137" s="64"/>
      <c r="CY137" s="64"/>
      <c r="CZ137" s="64"/>
      <c r="DA137" s="64"/>
      <c r="DB137" s="64"/>
      <c r="DC137" s="64"/>
      <c r="DD137" s="64"/>
      <c r="DE137" s="64"/>
      <c r="DF137" s="64"/>
      <c r="DG137" s="64"/>
      <c r="DH137" s="64"/>
      <c r="DI137" s="64"/>
      <c r="DJ137" s="64"/>
      <c r="DK137" s="64"/>
      <c r="DL137" s="64"/>
      <c r="DM137" s="64"/>
      <c r="DN137" s="64"/>
      <c r="DO137" s="64"/>
      <c r="DP137" s="64"/>
      <c r="DQ137" s="80"/>
      <c r="DR137" s="80">
        <v>0</v>
      </c>
      <c r="DS137" s="80"/>
      <c r="DT137" s="64"/>
      <c r="DU137" s="64"/>
      <c r="DV137" s="64"/>
      <c r="DW137" s="64"/>
      <c r="DX137" s="64"/>
      <c r="DY137" s="64"/>
      <c r="DZ137" s="64"/>
      <c r="EA137" s="64"/>
      <c r="EB137" s="64"/>
      <c r="EC137" s="64"/>
      <c r="ED137" s="64"/>
      <c r="EE137" s="64"/>
      <c r="EF137" s="64"/>
      <c r="EG137" s="64"/>
      <c r="EH137" s="64"/>
      <c r="EI137" s="69"/>
      <c r="EJ137" s="64"/>
      <c r="EK137" s="64"/>
      <c r="EL137" s="64"/>
      <c r="EM137" s="64"/>
      <c r="EN137" s="64"/>
      <c r="EO137" s="64"/>
      <c r="EP137" s="64"/>
      <c r="EQ137" s="64"/>
      <c r="ER137" s="64"/>
      <c r="ES137" s="64"/>
      <c r="ET137" s="64"/>
      <c r="EU137" s="64"/>
      <c r="EV137" s="64"/>
      <c r="EW137" s="64"/>
      <c r="EX137" s="64"/>
      <c r="EY137" s="64"/>
      <c r="EZ137" s="64"/>
      <c r="FA137" s="64"/>
      <c r="FB137" s="64"/>
      <c r="FC137" s="64"/>
      <c r="FD137" s="64"/>
      <c r="FE137" s="64"/>
      <c r="FF137" s="64"/>
      <c r="FG137" s="64"/>
      <c r="FH137" s="64"/>
      <c r="FI137" s="64"/>
      <c r="FJ137" s="64"/>
      <c r="FK137" s="64"/>
      <c r="FL137" s="64"/>
      <c r="FM137" s="64"/>
      <c r="FN137" s="64"/>
      <c r="FO137" s="64"/>
      <c r="FP137" s="64"/>
      <c r="FQ137" s="64"/>
      <c r="FR137" s="64"/>
      <c r="FS137" s="64"/>
      <c r="FT137" s="64"/>
      <c r="FU137" s="64"/>
      <c r="FV137" s="64"/>
      <c r="FW137" s="64"/>
      <c r="FX137" s="64"/>
      <c r="FY137" s="64"/>
      <c r="FZ137" s="64"/>
      <c r="GA137" s="64"/>
      <c r="GB137" s="64"/>
      <c r="GC137" s="64"/>
      <c r="GD137" s="64"/>
      <c r="GE137" s="64"/>
      <c r="GF137" s="64"/>
      <c r="GG137" s="64"/>
      <c r="GH137" s="64"/>
      <c r="GI137" s="64"/>
      <c r="GJ137" s="64"/>
      <c r="GK137" s="64"/>
      <c r="GL137" s="70"/>
      <c r="GM137" s="64"/>
      <c r="GN137" s="64"/>
      <c r="GO137" s="64"/>
      <c r="GP137" s="64"/>
      <c r="GQ137" s="64"/>
      <c r="GR137" s="64"/>
      <c r="GS137" s="64"/>
      <c r="GT137" s="64"/>
      <c r="GU137" s="64"/>
      <c r="GV137" s="64"/>
      <c r="GW137" s="64"/>
      <c r="GX137" s="64"/>
      <c r="GY137" s="64"/>
      <c r="GZ137" s="64"/>
      <c r="HA137" s="64"/>
      <c r="HB137" s="64"/>
      <c r="HC137" s="64"/>
      <c r="HD137" s="64"/>
      <c r="HE137" s="64"/>
      <c r="HF137" s="64"/>
      <c r="HG137" s="64"/>
      <c r="HH137" s="64"/>
    </row>
    <row r="138" spans="1:252" x14ac:dyDescent="0.25">
      <c r="A138" s="8"/>
      <c r="B138" s="5" t="s">
        <v>61</v>
      </c>
      <c r="C138" s="8"/>
      <c r="D138" s="6" t="s">
        <v>478</v>
      </c>
      <c r="E138" s="8">
        <v>1</v>
      </c>
      <c r="F138" s="43" t="s">
        <v>480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>
        <f>INDEX(cenník!$C$2:$I$568,MATCH($L138,cenník!$B$2:$B$557,0),MATCH(M$2,cenník!$C$1:$I$1,0))</f>
        <v>851122</v>
      </c>
      <c r="N138" s="11" t="str">
        <f>INDEX(cenník!$C$2:$I$568,MATCH($L138,cenník!$B$2:$B$557,0),MATCH(N$2,cenník!$C$1:$I$1,0))</f>
        <v>ks</v>
      </c>
      <c r="O138" s="11">
        <f>O133</f>
        <v>0</v>
      </c>
      <c r="P138" s="36">
        <f>INDEX(cenník!$C$2:$I$568,MATCH($L138,cenník!$B$2:$B$557,0),MATCH(P$2,cenník!$C$1:$I$1,0))</f>
        <v>15.99</v>
      </c>
      <c r="Q138" s="36">
        <f t="shared" si="331"/>
        <v>0</v>
      </c>
      <c r="R138" s="37">
        <f t="shared" si="326"/>
        <v>0</v>
      </c>
      <c r="S138" s="36">
        <f t="shared" si="325"/>
        <v>15.99</v>
      </c>
      <c r="T138" s="36">
        <f t="shared" si="332"/>
        <v>0</v>
      </c>
      <c r="U138" s="36">
        <f>INDEX(cenník!$C$2:$I$568,MATCH($L138,cenník!$B$2:$B$557,0),MATCH(U$2,cenník!$C$1:$I$1,0))*O138</f>
        <v>0</v>
      </c>
      <c r="V138" s="82"/>
      <c r="W138" s="87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87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87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87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64"/>
      <c r="AB138" s="64"/>
      <c r="AC138" s="64"/>
      <c r="AD138" s="64"/>
      <c r="AE138" s="64"/>
      <c r="AF138" s="64"/>
      <c r="AG138" s="64"/>
      <c r="AH138" s="64" t="s">
        <v>85</v>
      </c>
      <c r="AI138" s="64"/>
      <c r="AJ138" s="64"/>
      <c r="AK138" s="64"/>
      <c r="AL138" s="64"/>
      <c r="AM138" s="64"/>
      <c r="AP138" s="64" t="s">
        <v>195</v>
      </c>
      <c r="AQ138" s="64" t="s">
        <v>84</v>
      </c>
      <c r="AR138" s="68" t="s">
        <v>84</v>
      </c>
      <c r="AS138" s="68" t="s">
        <v>84</v>
      </c>
      <c r="AT138" s="68" t="s">
        <v>84</v>
      </c>
      <c r="AU138" s="64"/>
      <c r="AV138" s="64"/>
      <c r="AW138" s="64"/>
      <c r="AX138" s="64"/>
      <c r="AY138" s="64"/>
      <c r="AZ138" s="64"/>
      <c r="BA138" s="64"/>
      <c r="BB138" s="64"/>
      <c r="BC138" s="64"/>
      <c r="BD138" s="64"/>
      <c r="BE138" s="64"/>
      <c r="BF138" s="64"/>
      <c r="BG138" s="64"/>
      <c r="BH138" s="64" t="s">
        <v>59</v>
      </c>
      <c r="BI138" s="64">
        <v>0</v>
      </c>
      <c r="BJ138" s="64">
        <v>6</v>
      </c>
      <c r="BK138" s="64">
        <v>8</v>
      </c>
      <c r="BL138" s="64">
        <v>10</v>
      </c>
      <c r="BM138" s="64">
        <v>12</v>
      </c>
      <c r="BN138" s="64">
        <v>14</v>
      </c>
      <c r="BO138" s="64">
        <v>16</v>
      </c>
      <c r="BP138" s="64">
        <v>18</v>
      </c>
      <c r="BQ138" s="64">
        <v>20</v>
      </c>
      <c r="BR138" s="64">
        <v>22</v>
      </c>
      <c r="BS138" s="64">
        <v>24</v>
      </c>
      <c r="BT138" s="64">
        <v>26</v>
      </c>
      <c r="BU138" s="64">
        <v>28</v>
      </c>
      <c r="BV138" s="64">
        <v>30</v>
      </c>
      <c r="BW138" s="64">
        <v>32</v>
      </c>
      <c r="BX138" s="64">
        <v>34</v>
      </c>
      <c r="BY138" s="64">
        <v>36</v>
      </c>
      <c r="BZ138" s="64">
        <v>38</v>
      </c>
      <c r="CA138" s="64">
        <v>40</v>
      </c>
      <c r="CB138" s="64">
        <v>42</v>
      </c>
      <c r="CC138" s="64">
        <v>44</v>
      </c>
      <c r="CD138" s="64">
        <v>46</v>
      </c>
      <c r="CE138" s="64">
        <v>48</v>
      </c>
      <c r="CF138" s="64">
        <v>50</v>
      </c>
      <c r="CG138" s="64"/>
      <c r="CH138" s="64"/>
      <c r="CI138" s="64"/>
      <c r="CJ138" s="64"/>
      <c r="CK138" s="64"/>
      <c r="CL138" s="64"/>
      <c r="CM138" s="64"/>
      <c r="CN138" s="64" t="s">
        <v>199</v>
      </c>
      <c r="CO138" s="64">
        <v>0</v>
      </c>
      <c r="CP138" s="64">
        <v>6</v>
      </c>
      <c r="CQ138" s="64">
        <v>8</v>
      </c>
      <c r="CR138" s="64">
        <v>10</v>
      </c>
      <c r="CS138" s="64">
        <v>12</v>
      </c>
      <c r="CT138" s="64">
        <v>14</v>
      </c>
      <c r="CU138" s="64">
        <v>16</v>
      </c>
      <c r="CV138" s="64">
        <v>18</v>
      </c>
      <c r="CW138" s="64">
        <v>20</v>
      </c>
      <c r="CX138" s="64">
        <v>22</v>
      </c>
      <c r="CY138" s="64">
        <v>24</v>
      </c>
      <c r="CZ138" s="64">
        <v>26</v>
      </c>
      <c r="DA138" s="64">
        <v>28</v>
      </c>
      <c r="DB138" s="64">
        <v>30</v>
      </c>
      <c r="DC138" s="64">
        <v>32</v>
      </c>
      <c r="DD138" s="64">
        <v>34</v>
      </c>
      <c r="DE138" s="64">
        <v>36</v>
      </c>
      <c r="DF138" s="64">
        <v>38</v>
      </c>
      <c r="DG138" s="64">
        <v>40</v>
      </c>
      <c r="DH138" s="64">
        <v>42</v>
      </c>
      <c r="DI138" s="64">
        <v>44</v>
      </c>
      <c r="DJ138" s="64">
        <v>46</v>
      </c>
      <c r="DK138" s="64">
        <v>48</v>
      </c>
      <c r="DL138" s="64">
        <v>50</v>
      </c>
      <c r="DM138" s="64"/>
      <c r="DN138" s="64"/>
      <c r="DO138" s="64"/>
      <c r="DP138" s="64"/>
      <c r="DQ138" s="80"/>
      <c r="DR138" s="80">
        <v>6</v>
      </c>
      <c r="DS138" s="80"/>
      <c r="DT138" s="64"/>
      <c r="DU138" s="64"/>
      <c r="DV138" s="64"/>
      <c r="DW138" s="64"/>
      <c r="DX138" s="64"/>
      <c r="DY138" s="64"/>
      <c r="DZ138" s="64"/>
      <c r="EA138" s="64"/>
      <c r="EB138" s="64"/>
      <c r="EC138" s="64"/>
      <c r="ED138" s="64"/>
      <c r="EE138" s="64"/>
      <c r="EF138" s="64"/>
      <c r="EG138" s="64"/>
      <c r="EH138" s="64"/>
      <c r="EI138" s="69"/>
      <c r="EJ138" s="64"/>
      <c r="EK138" s="64" t="s">
        <v>59</v>
      </c>
      <c r="EL138" s="64">
        <v>0</v>
      </c>
      <c r="EM138" s="64">
        <v>6</v>
      </c>
      <c r="EN138" s="64">
        <v>8</v>
      </c>
      <c r="EO138" s="64">
        <v>10</v>
      </c>
      <c r="EP138" s="64">
        <v>12</v>
      </c>
      <c r="EQ138" s="64">
        <v>14</v>
      </c>
      <c r="ER138" s="64">
        <v>16</v>
      </c>
      <c r="ES138" s="64">
        <v>18</v>
      </c>
      <c r="ET138" s="64">
        <v>20</v>
      </c>
      <c r="EU138" s="64">
        <v>22</v>
      </c>
      <c r="EV138" s="64">
        <v>24</v>
      </c>
      <c r="EW138" s="64">
        <v>26</v>
      </c>
      <c r="EX138" s="64">
        <v>28</v>
      </c>
      <c r="EY138" s="64">
        <v>30</v>
      </c>
      <c r="EZ138" s="64">
        <v>32</v>
      </c>
      <c r="FA138" s="64">
        <v>34</v>
      </c>
      <c r="FB138" s="64">
        <v>36</v>
      </c>
      <c r="FC138" s="64">
        <v>38</v>
      </c>
      <c r="FD138" s="64">
        <v>40</v>
      </c>
      <c r="FE138" s="64">
        <v>42</v>
      </c>
      <c r="FF138" s="64">
        <v>44</v>
      </c>
      <c r="FG138" s="64">
        <v>46</v>
      </c>
      <c r="FH138" s="64">
        <v>48</v>
      </c>
      <c r="FI138" s="64">
        <v>50</v>
      </c>
      <c r="FJ138" s="64"/>
      <c r="FK138" s="64" t="s">
        <v>199</v>
      </c>
      <c r="FL138" s="64">
        <v>0</v>
      </c>
      <c r="FM138" s="64">
        <v>6</v>
      </c>
      <c r="FN138" s="64">
        <v>8</v>
      </c>
      <c r="FO138" s="64">
        <v>10</v>
      </c>
      <c r="FP138" s="64">
        <v>12</v>
      </c>
      <c r="FQ138" s="64">
        <v>14</v>
      </c>
      <c r="FR138" s="64">
        <v>16</v>
      </c>
      <c r="FS138" s="64">
        <v>18</v>
      </c>
      <c r="FT138" s="64">
        <v>20</v>
      </c>
      <c r="FU138" s="64">
        <v>22</v>
      </c>
      <c r="FV138" s="64">
        <v>24</v>
      </c>
      <c r="FW138" s="64">
        <v>26</v>
      </c>
      <c r="FX138" s="64">
        <v>28</v>
      </c>
      <c r="FY138" s="64">
        <v>30</v>
      </c>
      <c r="FZ138" s="64">
        <v>32</v>
      </c>
      <c r="GA138" s="64">
        <v>34</v>
      </c>
      <c r="GB138" s="64">
        <v>36</v>
      </c>
      <c r="GC138" s="64">
        <v>38</v>
      </c>
      <c r="GD138" s="64">
        <v>40</v>
      </c>
      <c r="GE138" s="64">
        <v>42</v>
      </c>
      <c r="GF138" s="64">
        <v>44</v>
      </c>
      <c r="GG138" s="64">
        <v>46</v>
      </c>
      <c r="GH138" s="64">
        <v>48</v>
      </c>
      <c r="GI138" s="64">
        <v>50</v>
      </c>
      <c r="GJ138" s="64"/>
      <c r="GK138" s="64"/>
      <c r="GL138" s="70"/>
      <c r="GM138" s="64"/>
      <c r="GN138" s="64"/>
      <c r="GO138" s="64"/>
      <c r="GP138" s="64"/>
      <c r="GQ138" s="64"/>
      <c r="GR138" s="64"/>
      <c r="GS138" s="64"/>
      <c r="GT138" s="64"/>
      <c r="GU138" s="64"/>
      <c r="GV138" s="64"/>
      <c r="GW138" s="64"/>
      <c r="GX138" s="64"/>
      <c r="GY138" s="64"/>
      <c r="GZ138" s="64"/>
      <c r="HA138" s="64"/>
      <c r="HB138" s="64"/>
      <c r="HC138" s="64"/>
      <c r="HD138" s="64"/>
      <c r="HE138" s="64"/>
      <c r="HF138" s="64"/>
      <c r="HG138" s="64"/>
      <c r="HH138" s="64"/>
    </row>
    <row r="139" spans="1:252" x14ac:dyDescent="0.25">
      <c r="A139" s="8"/>
      <c r="B139" s="5" t="s">
        <v>61</v>
      </c>
      <c r="C139" s="8"/>
      <c r="D139" s="6" t="s">
        <v>479</v>
      </c>
      <c r="E139" s="8">
        <v>1</v>
      </c>
      <c r="F139" s="43" t="s">
        <v>481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>
        <f>INDEX(cenník!$C$2:$I$568,MATCH($L139,cenník!$B$2:$B$557,0),MATCH(M$2,cenník!$C$1:$I$1,0))</f>
        <v>856211</v>
      </c>
      <c r="N139" s="11" t="str">
        <f>INDEX(cenník!$C$2:$I$568,MATCH($L139,cenník!$B$2:$B$557,0),MATCH(N$2,cenník!$C$1:$I$1,0))</f>
        <v>ks</v>
      </c>
      <c r="O139" s="11">
        <f>IF(L139="-------",0,O138)</f>
        <v>0</v>
      </c>
      <c r="P139" s="36">
        <f>INDEX(cenník!$C$2:$I$568,MATCH($L139,cenník!$B$2:$B$557,0),MATCH(P$2,cenník!$C$1:$I$1,0))</f>
        <v>8.7100000000000009</v>
      </c>
      <c r="Q139" s="36">
        <f t="shared" ref="Q139" si="333">O139*P139</f>
        <v>0</v>
      </c>
      <c r="R139" s="37">
        <f t="shared" si="326"/>
        <v>0</v>
      </c>
      <c r="S139" s="36">
        <f t="shared" si="325"/>
        <v>8.7100000000000009</v>
      </c>
      <c r="T139" s="36">
        <f t="shared" ref="T139" si="334">O139*S139</f>
        <v>0</v>
      </c>
      <c r="U139" s="36">
        <f>INDEX(cenník!$C$2:$I$568,MATCH($L139,cenník!$B$2:$B$557,0),MATCH(U$2,cenník!$C$1:$I$1,0))*O139</f>
        <v>0</v>
      </c>
      <c r="V139" s="85"/>
      <c r="W139" s="87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87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87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87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64"/>
      <c r="AB139" s="64"/>
      <c r="AC139" s="64"/>
      <c r="AD139" s="64"/>
      <c r="AE139" s="64"/>
      <c r="AF139" s="64"/>
      <c r="AG139" s="64"/>
      <c r="AH139" s="64">
        <v>50</v>
      </c>
      <c r="AI139" s="64">
        <v>1150</v>
      </c>
      <c r="AJ139" s="64"/>
      <c r="AK139" s="64"/>
      <c r="AL139" s="64"/>
      <c r="AM139" s="64"/>
      <c r="AP139" s="64" t="s">
        <v>197</v>
      </c>
      <c r="AQ139" s="64" t="s">
        <v>84</v>
      </c>
      <c r="AR139" s="68" t="s">
        <v>84</v>
      </c>
      <c r="AS139" s="68" t="s">
        <v>84</v>
      </c>
      <c r="AT139" s="68" t="s">
        <v>84</v>
      </c>
      <c r="AU139" s="64"/>
      <c r="AV139" s="64"/>
      <c r="AW139" s="64"/>
      <c r="AX139" s="64"/>
      <c r="AY139" s="64"/>
      <c r="AZ139" s="64"/>
      <c r="BA139" s="64"/>
      <c r="BB139" s="64"/>
      <c r="BC139" s="64"/>
      <c r="BD139" s="64"/>
      <c r="BE139" s="64"/>
      <c r="BF139" s="64"/>
      <c r="BG139" s="64"/>
      <c r="BH139" s="64" t="s">
        <v>104</v>
      </c>
      <c r="BI139" s="64">
        <v>0</v>
      </c>
      <c r="BJ139" s="64">
        <v>0</v>
      </c>
      <c r="BK139" s="64">
        <v>0</v>
      </c>
      <c r="BL139" s="64">
        <v>4</v>
      </c>
      <c r="BM139" s="64">
        <v>4</v>
      </c>
      <c r="BN139" s="64">
        <v>0</v>
      </c>
      <c r="BO139" s="64">
        <v>4</v>
      </c>
      <c r="BP139" s="64">
        <v>4</v>
      </c>
      <c r="BQ139" s="64">
        <v>4</v>
      </c>
      <c r="BR139" s="64">
        <v>0</v>
      </c>
      <c r="BS139" s="64">
        <v>8</v>
      </c>
      <c r="BT139" s="64">
        <v>4</v>
      </c>
      <c r="BU139" s="64">
        <v>4</v>
      </c>
      <c r="BV139" s="64">
        <v>4</v>
      </c>
      <c r="BW139" s="64">
        <v>4</v>
      </c>
      <c r="BX139" s="64">
        <v>4</v>
      </c>
      <c r="BY139" s="64">
        <v>4</v>
      </c>
      <c r="BZ139" s="64">
        <v>8</v>
      </c>
      <c r="CA139" s="64">
        <v>8</v>
      </c>
      <c r="CB139" s="64">
        <v>12</v>
      </c>
      <c r="CC139" s="64">
        <v>12</v>
      </c>
      <c r="CD139" s="64">
        <v>12</v>
      </c>
      <c r="CE139" s="64">
        <v>12</v>
      </c>
      <c r="CF139" s="64">
        <v>16</v>
      </c>
      <c r="CG139" s="64"/>
      <c r="CH139" s="64"/>
      <c r="CI139" s="64"/>
      <c r="CJ139" s="64"/>
      <c r="CK139" s="64"/>
      <c r="CL139" s="64"/>
      <c r="CM139" s="64"/>
      <c r="CN139" s="64" t="s">
        <v>104</v>
      </c>
      <c r="CO139" s="64">
        <v>0</v>
      </c>
      <c r="CP139" s="64">
        <v>0</v>
      </c>
      <c r="CQ139" s="64">
        <v>4</v>
      </c>
      <c r="CR139" s="64">
        <v>4</v>
      </c>
      <c r="CS139" s="64">
        <v>0</v>
      </c>
      <c r="CT139" s="64">
        <v>0</v>
      </c>
      <c r="CU139" s="64">
        <v>4</v>
      </c>
      <c r="CV139" s="64">
        <v>4</v>
      </c>
      <c r="CW139" s="64">
        <v>0</v>
      </c>
      <c r="CX139" s="64">
        <v>8</v>
      </c>
      <c r="CY139" s="64">
        <v>4</v>
      </c>
      <c r="CZ139" s="64">
        <v>4</v>
      </c>
      <c r="DA139" s="64">
        <v>8</v>
      </c>
      <c r="DB139" s="64">
        <v>8</v>
      </c>
      <c r="DC139" s="64">
        <v>4</v>
      </c>
      <c r="DD139" s="64">
        <v>12</v>
      </c>
      <c r="DE139" s="64">
        <v>8</v>
      </c>
      <c r="DF139" s="64">
        <v>8</v>
      </c>
      <c r="DG139" s="64">
        <v>12</v>
      </c>
      <c r="DH139" s="64">
        <v>12</v>
      </c>
      <c r="DI139" s="64">
        <v>8</v>
      </c>
      <c r="DJ139" s="64">
        <v>16</v>
      </c>
      <c r="DK139" s="64">
        <v>12</v>
      </c>
      <c r="DL139" s="64">
        <v>12</v>
      </c>
      <c r="DM139" s="64"/>
      <c r="DN139" s="64"/>
      <c r="DO139" s="64"/>
      <c r="DP139" s="64"/>
      <c r="DQ139" s="80">
        <v>8</v>
      </c>
      <c r="DR139" s="80">
        <v>8</v>
      </c>
      <c r="DS139" s="80"/>
      <c r="DT139" s="64"/>
      <c r="DU139" s="64"/>
      <c r="DV139" s="64"/>
      <c r="DW139" s="64"/>
      <c r="DX139" s="64"/>
      <c r="DY139" s="64"/>
      <c r="DZ139" s="64"/>
      <c r="EA139" s="64"/>
      <c r="EB139" s="64"/>
      <c r="EC139" s="64"/>
      <c r="ED139" s="64"/>
      <c r="EE139" s="64"/>
      <c r="EF139" s="64"/>
      <c r="EG139" s="64"/>
      <c r="EH139" s="64"/>
      <c r="EI139" s="69"/>
      <c r="EJ139" s="64"/>
      <c r="EK139" s="64" t="s">
        <v>286</v>
      </c>
      <c r="EL139" s="64">
        <v>0</v>
      </c>
      <c r="EM139" s="68">
        <v>0</v>
      </c>
      <c r="EN139" s="68">
        <v>0</v>
      </c>
      <c r="EO139" s="68">
        <v>4</v>
      </c>
      <c r="EP139" s="68">
        <v>0</v>
      </c>
      <c r="EQ139" s="68">
        <v>0</v>
      </c>
      <c r="ER139" s="68">
        <v>0</v>
      </c>
      <c r="ES139" s="68">
        <v>0</v>
      </c>
      <c r="ET139" s="68">
        <v>0</v>
      </c>
      <c r="EU139" s="68">
        <v>0</v>
      </c>
      <c r="EV139" s="68">
        <v>0</v>
      </c>
      <c r="EW139" s="68">
        <v>0</v>
      </c>
      <c r="EX139" s="68">
        <v>0</v>
      </c>
      <c r="EY139" s="68">
        <v>0</v>
      </c>
      <c r="EZ139" s="68">
        <v>0</v>
      </c>
      <c r="FA139" s="68">
        <v>0</v>
      </c>
      <c r="FB139" s="68">
        <v>0</v>
      </c>
      <c r="FC139" s="68">
        <v>0</v>
      </c>
      <c r="FD139" s="68">
        <v>0</v>
      </c>
      <c r="FE139" s="68">
        <v>0</v>
      </c>
      <c r="FF139" s="68">
        <v>0</v>
      </c>
      <c r="FG139" s="68">
        <v>0</v>
      </c>
      <c r="FH139" s="68">
        <v>0</v>
      </c>
      <c r="FI139" s="68">
        <v>0</v>
      </c>
      <c r="FK139" s="64" t="s">
        <v>286</v>
      </c>
      <c r="FL139" s="64">
        <v>0</v>
      </c>
      <c r="FM139" s="68">
        <v>0</v>
      </c>
      <c r="FN139" s="68">
        <v>4</v>
      </c>
      <c r="FO139" s="68">
        <v>4</v>
      </c>
      <c r="FP139" s="68">
        <v>0</v>
      </c>
      <c r="FQ139" s="68">
        <v>0</v>
      </c>
      <c r="FR139" s="68">
        <v>0</v>
      </c>
      <c r="FS139" s="68">
        <v>0</v>
      </c>
      <c r="FT139" s="68">
        <v>0</v>
      </c>
      <c r="FU139" s="68">
        <v>0</v>
      </c>
      <c r="FV139" s="68">
        <v>0</v>
      </c>
      <c r="FW139" s="68">
        <v>0</v>
      </c>
      <c r="FX139" s="68">
        <v>0</v>
      </c>
      <c r="FY139" s="68">
        <v>0</v>
      </c>
      <c r="FZ139" s="68">
        <v>0</v>
      </c>
      <c r="GA139" s="68">
        <v>0</v>
      </c>
      <c r="GB139" s="68">
        <v>0</v>
      </c>
      <c r="GC139" s="68">
        <v>0</v>
      </c>
      <c r="GD139" s="68">
        <v>0</v>
      </c>
      <c r="GE139" s="68">
        <v>0</v>
      </c>
      <c r="GF139" s="68">
        <v>0</v>
      </c>
      <c r="GG139" s="68">
        <v>0</v>
      </c>
      <c r="GH139" s="68">
        <v>0</v>
      </c>
      <c r="GI139" s="68">
        <v>0</v>
      </c>
      <c r="GJ139" s="64"/>
      <c r="GK139" s="64"/>
      <c r="GL139" s="70"/>
      <c r="GM139" s="64"/>
      <c r="GN139" s="64"/>
      <c r="GO139" s="64"/>
      <c r="GP139" s="64"/>
      <c r="GQ139" s="64"/>
      <c r="GR139" s="64"/>
      <c r="GS139" s="64"/>
      <c r="GT139" s="64"/>
      <c r="GU139" s="64"/>
      <c r="GV139" s="64"/>
      <c r="GW139" s="64"/>
      <c r="GX139" s="64"/>
      <c r="GY139" s="64"/>
      <c r="GZ139" s="64"/>
      <c r="HA139" s="64"/>
      <c r="HB139" s="64"/>
      <c r="HC139" s="64"/>
      <c r="HD139" s="64"/>
      <c r="HE139" s="64"/>
      <c r="HF139" s="64"/>
      <c r="HG139" s="64"/>
      <c r="HH139" s="64"/>
    </row>
    <row r="140" spans="1:252" x14ac:dyDescent="0.25">
      <c r="A140" s="8"/>
      <c r="B140" s="5" t="s">
        <v>61</v>
      </c>
      <c r="C140" s="8"/>
      <c r="D140" s="6" t="s">
        <v>489</v>
      </c>
      <c r="E140" s="34">
        <f>INDEX((AJ132:AN134),MATCH(E138,AI132:AI134,0),MATCH(E139,AJ131:AN131,0))</f>
        <v>2900</v>
      </c>
      <c r="F140" s="9"/>
      <c r="G140" s="9"/>
      <c r="H140" s="9"/>
      <c r="I140" s="9"/>
      <c r="J140" s="31" t="s">
        <v>62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>
        <f>INDEX(cenník!$C$2:$I$568,MATCH($L140,cenník!$B$2:$B$557,0),MATCH(M$2,cenník!$C$1:$I$1,0))</f>
        <v>852137</v>
      </c>
      <c r="N140" s="11" t="str">
        <f>INDEX(cenník!$C$2:$I$568,MATCH($L140,cenník!$B$2:$B$557,0),MATCH(N$2,cenník!$C$1:$I$1,0))</f>
        <v>ks</v>
      </c>
      <c r="O140" s="10">
        <f>SUM(AA122:AA137)</f>
        <v>0</v>
      </c>
      <c r="P140" s="36">
        <f>INDEX(cenník!$C$2:$I$568,MATCH($L140,cenník!$B$2:$B$557,0),MATCH(P$2,cenník!$C$1:$I$1,0))</f>
        <v>26.88</v>
      </c>
      <c r="Q140" s="36">
        <f>O140*P140</f>
        <v>0</v>
      </c>
      <c r="R140" s="37">
        <f t="shared" si="326"/>
        <v>0</v>
      </c>
      <c r="S140" s="36">
        <f t="shared" si="325"/>
        <v>26.88</v>
      </c>
      <c r="T140" s="36">
        <f>O140*S140</f>
        <v>0</v>
      </c>
      <c r="U140" s="36">
        <f>INDEX(cenník!$C$2:$I$568,MATCH($L140,cenník!$B$2:$B$557,0),MATCH(U$2,cenník!$C$1:$I$1,0))*O140</f>
        <v>0</v>
      </c>
      <c r="V140" s="85"/>
      <c r="AC140" s="64"/>
      <c r="AD140" s="64"/>
      <c r="AE140" s="64"/>
      <c r="AF140" s="64"/>
      <c r="AG140" s="64"/>
      <c r="AH140" s="64">
        <f>((AH139/2)*AI139)+(((AH139/2)-1)*20)+100</f>
        <v>29330</v>
      </c>
      <c r="AI140" s="64" t="s">
        <v>91</v>
      </c>
      <c r="AJ140" s="64" t="s">
        <v>89</v>
      </c>
      <c r="AK140" s="64" t="s">
        <v>88</v>
      </c>
      <c r="AL140" s="64"/>
      <c r="AM140" s="64" t="s">
        <v>90</v>
      </c>
      <c r="AP140" s="64" t="s">
        <v>196</v>
      </c>
      <c r="AQ140" s="64" t="s">
        <v>291</v>
      </c>
      <c r="AR140" s="68" t="s">
        <v>84</v>
      </c>
      <c r="AS140" s="68" t="s">
        <v>84</v>
      </c>
      <c r="AT140" s="68" t="s">
        <v>84</v>
      </c>
      <c r="AU140" s="64"/>
      <c r="AV140" s="64"/>
      <c r="AW140" s="64"/>
      <c r="AX140" s="64"/>
      <c r="AY140" s="64"/>
      <c r="AZ140" s="64"/>
      <c r="BA140" s="64"/>
      <c r="BB140" s="64"/>
      <c r="BC140" s="64"/>
      <c r="BD140" s="64"/>
      <c r="BE140" s="64"/>
      <c r="BF140" s="64"/>
      <c r="BG140" s="64"/>
      <c r="BH140" s="64" t="s">
        <v>103</v>
      </c>
      <c r="BI140" s="64">
        <v>0</v>
      </c>
      <c r="BJ140" s="64">
        <v>0</v>
      </c>
      <c r="BK140" s="64">
        <v>4</v>
      </c>
      <c r="BL140" s="64">
        <v>0</v>
      </c>
      <c r="BM140" s="64">
        <v>0</v>
      </c>
      <c r="BN140" s="64">
        <v>4</v>
      </c>
      <c r="BO140" s="64">
        <v>0</v>
      </c>
      <c r="BP140" s="64">
        <v>0</v>
      </c>
      <c r="BQ140" s="64">
        <v>4</v>
      </c>
      <c r="BR140" s="64">
        <v>8</v>
      </c>
      <c r="BS140" s="64">
        <v>0</v>
      </c>
      <c r="BT140" s="64">
        <v>8</v>
      </c>
      <c r="BU140" s="64">
        <v>8</v>
      </c>
      <c r="BV140" s="64">
        <v>8</v>
      </c>
      <c r="BW140" s="64">
        <v>8</v>
      </c>
      <c r="BX140" s="64">
        <v>8</v>
      </c>
      <c r="BY140" s="64">
        <v>8</v>
      </c>
      <c r="BZ140" s="64">
        <v>8</v>
      </c>
      <c r="CA140" s="64">
        <v>8</v>
      </c>
      <c r="CB140" s="64">
        <v>4</v>
      </c>
      <c r="CC140" s="64">
        <v>4</v>
      </c>
      <c r="CD140" s="64">
        <v>4</v>
      </c>
      <c r="CE140" s="64">
        <v>4</v>
      </c>
      <c r="CF140" s="64">
        <v>0</v>
      </c>
      <c r="CG140" s="64"/>
      <c r="CH140" s="64"/>
      <c r="CI140" s="64"/>
      <c r="CJ140" s="64"/>
      <c r="CK140" s="64"/>
      <c r="CL140" s="64"/>
      <c r="CM140" s="64"/>
      <c r="CN140" s="64" t="s">
        <v>103</v>
      </c>
      <c r="CO140" s="64">
        <v>0</v>
      </c>
      <c r="CP140" s="64">
        <v>4</v>
      </c>
      <c r="CQ140" s="64">
        <v>0</v>
      </c>
      <c r="CR140" s="64">
        <v>0</v>
      </c>
      <c r="CS140" s="64">
        <v>4</v>
      </c>
      <c r="CT140" s="64">
        <v>8</v>
      </c>
      <c r="CU140" s="64">
        <v>0</v>
      </c>
      <c r="CV140" s="64">
        <v>4</v>
      </c>
      <c r="CW140" s="64">
        <v>8</v>
      </c>
      <c r="CX140" s="64">
        <v>0</v>
      </c>
      <c r="CY140" s="64">
        <v>4</v>
      </c>
      <c r="CZ140" s="64">
        <v>8</v>
      </c>
      <c r="DA140" s="64">
        <v>0</v>
      </c>
      <c r="DB140" s="64">
        <v>4</v>
      </c>
      <c r="DC140" s="64">
        <v>8</v>
      </c>
      <c r="DD140" s="64">
        <v>0</v>
      </c>
      <c r="DE140" s="64">
        <v>4</v>
      </c>
      <c r="DF140" s="64">
        <v>8</v>
      </c>
      <c r="DG140" s="64">
        <v>0</v>
      </c>
      <c r="DH140" s="64">
        <v>4</v>
      </c>
      <c r="DI140" s="64">
        <v>8</v>
      </c>
      <c r="DJ140" s="64">
        <v>0</v>
      </c>
      <c r="DK140" s="64">
        <v>4</v>
      </c>
      <c r="DL140" s="64">
        <v>8</v>
      </c>
      <c r="DM140" s="64"/>
      <c r="DN140" s="64"/>
      <c r="DO140" s="64"/>
      <c r="DP140" s="64"/>
      <c r="DQ140" s="80">
        <v>10</v>
      </c>
      <c r="DR140" s="80">
        <v>10</v>
      </c>
      <c r="DS140" s="80"/>
      <c r="DT140" s="64"/>
      <c r="DU140" s="64"/>
      <c r="DV140" s="64"/>
      <c r="DW140" s="64"/>
      <c r="DX140" s="64"/>
      <c r="DY140" s="64"/>
      <c r="DZ140" s="64"/>
      <c r="EA140" s="64"/>
      <c r="EB140" s="64"/>
      <c r="EC140" s="64"/>
      <c r="ED140" s="64"/>
      <c r="EE140" s="64"/>
      <c r="EF140" s="64"/>
      <c r="EG140" s="64"/>
      <c r="EH140" s="64"/>
      <c r="EI140" s="69"/>
      <c r="EK140" s="64" t="s">
        <v>240</v>
      </c>
      <c r="EL140" s="64">
        <v>0</v>
      </c>
      <c r="EM140" s="64">
        <f t="shared" ref="EM140:FI140" si="335">BJ140</f>
        <v>0</v>
      </c>
      <c r="EN140" s="64">
        <f t="shared" si="335"/>
        <v>4</v>
      </c>
      <c r="EO140" s="64">
        <f t="shared" si="335"/>
        <v>0</v>
      </c>
      <c r="EP140" s="64">
        <f t="shared" si="335"/>
        <v>0</v>
      </c>
      <c r="EQ140" s="64">
        <f t="shared" si="335"/>
        <v>4</v>
      </c>
      <c r="ER140" s="64">
        <f t="shared" si="335"/>
        <v>0</v>
      </c>
      <c r="ES140" s="64">
        <f t="shared" si="335"/>
        <v>0</v>
      </c>
      <c r="ET140" s="64">
        <f t="shared" si="335"/>
        <v>4</v>
      </c>
      <c r="EU140" s="64">
        <f t="shared" si="335"/>
        <v>8</v>
      </c>
      <c r="EV140" s="64">
        <f t="shared" si="335"/>
        <v>0</v>
      </c>
      <c r="EW140" s="64">
        <f t="shared" si="335"/>
        <v>8</v>
      </c>
      <c r="EX140" s="64">
        <f t="shared" si="335"/>
        <v>8</v>
      </c>
      <c r="EY140" s="64">
        <f t="shared" si="335"/>
        <v>8</v>
      </c>
      <c r="EZ140" s="64">
        <f t="shared" si="335"/>
        <v>8</v>
      </c>
      <c r="FA140" s="64">
        <f t="shared" si="335"/>
        <v>8</v>
      </c>
      <c r="FB140" s="64">
        <f t="shared" si="335"/>
        <v>8</v>
      </c>
      <c r="FC140" s="64">
        <f t="shared" si="335"/>
        <v>8</v>
      </c>
      <c r="FD140" s="64">
        <f t="shared" si="335"/>
        <v>8</v>
      </c>
      <c r="FE140" s="64">
        <f t="shared" si="335"/>
        <v>4</v>
      </c>
      <c r="FF140" s="64">
        <f t="shared" si="335"/>
        <v>4</v>
      </c>
      <c r="FG140" s="64">
        <f t="shared" si="335"/>
        <v>4</v>
      </c>
      <c r="FH140" s="64">
        <f t="shared" si="335"/>
        <v>4</v>
      </c>
      <c r="FI140" s="64">
        <f t="shared" si="335"/>
        <v>0</v>
      </c>
      <c r="FJ140" s="64"/>
      <c r="FK140" s="64" t="s">
        <v>240</v>
      </c>
      <c r="FL140" s="64">
        <v>0</v>
      </c>
      <c r="FM140" s="64">
        <f>CP140</f>
        <v>4</v>
      </c>
      <c r="FN140" s="64">
        <v>0</v>
      </c>
      <c r="FO140" s="64">
        <v>0</v>
      </c>
      <c r="FP140" s="64">
        <f t="shared" ref="FP140:GI140" si="336">CS140</f>
        <v>4</v>
      </c>
      <c r="FQ140" s="64">
        <f t="shared" si="336"/>
        <v>8</v>
      </c>
      <c r="FR140" s="64">
        <f t="shared" si="336"/>
        <v>0</v>
      </c>
      <c r="FS140" s="64">
        <f t="shared" si="336"/>
        <v>4</v>
      </c>
      <c r="FT140" s="64">
        <f t="shared" si="336"/>
        <v>8</v>
      </c>
      <c r="FU140" s="64">
        <f t="shared" si="336"/>
        <v>0</v>
      </c>
      <c r="FV140" s="64">
        <f t="shared" si="336"/>
        <v>4</v>
      </c>
      <c r="FW140" s="64">
        <f t="shared" si="336"/>
        <v>8</v>
      </c>
      <c r="FX140" s="64">
        <f t="shared" si="336"/>
        <v>0</v>
      </c>
      <c r="FY140" s="64">
        <f t="shared" si="336"/>
        <v>4</v>
      </c>
      <c r="FZ140" s="64">
        <f t="shared" si="336"/>
        <v>8</v>
      </c>
      <c r="GA140" s="64">
        <f t="shared" si="336"/>
        <v>0</v>
      </c>
      <c r="GB140" s="64">
        <f t="shared" si="336"/>
        <v>4</v>
      </c>
      <c r="GC140" s="64">
        <f t="shared" si="336"/>
        <v>8</v>
      </c>
      <c r="GD140" s="64">
        <f t="shared" si="336"/>
        <v>0</v>
      </c>
      <c r="GE140" s="64">
        <f t="shared" si="336"/>
        <v>4</v>
      </c>
      <c r="GF140" s="64">
        <f t="shared" si="336"/>
        <v>8</v>
      </c>
      <c r="GG140" s="64">
        <f t="shared" si="336"/>
        <v>0</v>
      </c>
      <c r="GH140" s="64">
        <f t="shared" si="336"/>
        <v>4</v>
      </c>
      <c r="GI140" s="64">
        <f t="shared" si="336"/>
        <v>8</v>
      </c>
      <c r="GJ140" s="64"/>
      <c r="GK140" s="64"/>
      <c r="GL140" s="70"/>
      <c r="GM140" s="64"/>
      <c r="GN140" s="64"/>
      <c r="GO140" s="64"/>
      <c r="GP140" s="64"/>
      <c r="GQ140" s="64"/>
      <c r="GR140" s="64"/>
      <c r="GS140" s="64"/>
      <c r="GT140" s="64"/>
      <c r="GU140" s="64"/>
      <c r="GV140" s="64"/>
      <c r="GW140" s="64"/>
      <c r="GX140" s="64"/>
      <c r="GY140" s="64"/>
      <c r="GZ140" s="64"/>
      <c r="HA140" s="64"/>
      <c r="HB140" s="64"/>
      <c r="HC140" s="64"/>
      <c r="HD140" s="64"/>
      <c r="HE140" s="64"/>
      <c r="HF140" s="64"/>
      <c r="HG140" s="64"/>
      <c r="HH140" s="64"/>
    </row>
    <row r="141" spans="1:252" x14ac:dyDescent="0.25">
      <c r="A141" s="8"/>
      <c r="B141" s="5" t="s">
        <v>61</v>
      </c>
      <c r="C141" s="8"/>
      <c r="D141" s="6" t="str">
        <f>IF(E133=$AC$8,"Dĺžka skrutky GSW","")</f>
        <v/>
      </c>
      <c r="E141" s="42">
        <v>1600</v>
      </c>
      <c r="F141" s="9"/>
      <c r="G141" s="9"/>
      <c r="H141" s="9"/>
      <c r="I141" s="9"/>
      <c r="J141" s="31" t="str">
        <f>IF(E133=$AC$8,"[mm]","")</f>
        <v/>
      </c>
      <c r="K141" s="9"/>
      <c r="L141" s="6" t="s">
        <v>1457</v>
      </c>
      <c r="M141" s="11">
        <f>INDEX(cenník!$C$2:$I$568,MATCH($L141,cenník!$B$2:$B$557,0),MATCH(M$2,cenník!$C$1:$I$1,0))</f>
        <v>850252</v>
      </c>
      <c r="N141" s="11" t="str">
        <f>INDEX(cenník!$C$2:$I$568,MATCH($L141,cenník!$B$2:$B$557,0),MATCH(N$2,cenník!$C$1:$I$1,0))</f>
        <v>ks</v>
      </c>
      <c r="O141" s="11">
        <f>O133+O139</f>
        <v>0</v>
      </c>
      <c r="P141" s="36">
        <f>INDEX(cenník!$C$2:$I$568,MATCH($L141,cenník!$B$2:$B$557,0),MATCH(P$2,cenník!$C$1:$I$1,0))</f>
        <v>2.11</v>
      </c>
      <c r="Q141" s="36">
        <f>O141*P141</f>
        <v>0</v>
      </c>
      <c r="R141" s="37">
        <f t="shared" si="326"/>
        <v>0</v>
      </c>
      <c r="S141" s="36">
        <f t="shared" si="325"/>
        <v>2.11</v>
      </c>
      <c r="T141" s="36">
        <f>O141*S141</f>
        <v>0</v>
      </c>
      <c r="U141" s="36">
        <f>INDEX(cenník!$C$2:$I$568,MATCH($L141,cenník!$B$2:$B$557,0),MATCH(U$2,cenník!$C$1:$I$1,0))*O141</f>
        <v>0</v>
      </c>
      <c r="V141" s="85"/>
      <c r="AC141" s="64"/>
      <c r="AD141" s="64"/>
      <c r="AE141" s="64"/>
      <c r="AF141" s="64"/>
      <c r="AG141" s="64" t="s">
        <v>104</v>
      </c>
      <c r="AH141" s="64">
        <v>6600</v>
      </c>
      <c r="AI141" s="64">
        <v>4</v>
      </c>
      <c r="AJ141" s="64">
        <f>AH141*AI141</f>
        <v>26400</v>
      </c>
      <c r="AK141" s="64">
        <v>191.1</v>
      </c>
      <c r="AL141" s="64">
        <f>AI141*AK141</f>
        <v>764.4</v>
      </c>
      <c r="AM141" s="64">
        <f>AI141*4</f>
        <v>16</v>
      </c>
      <c r="AP141" s="64" t="s">
        <v>198</v>
      </c>
      <c r="AQ141" s="64" t="s">
        <v>291</v>
      </c>
      <c r="AR141" s="68" t="s">
        <v>84</v>
      </c>
      <c r="AS141" s="68" t="s">
        <v>84</v>
      </c>
      <c r="AT141" s="68" t="s">
        <v>84</v>
      </c>
      <c r="AU141" s="64"/>
      <c r="AV141" s="64"/>
      <c r="AW141" s="64"/>
      <c r="AX141" s="64"/>
      <c r="AY141" s="64"/>
      <c r="AZ141" s="64"/>
      <c r="BA141" s="64"/>
      <c r="BB141" s="64"/>
      <c r="BC141" s="64"/>
      <c r="BD141" s="64"/>
      <c r="BE141" s="64"/>
      <c r="BF141" s="64"/>
      <c r="BG141" s="64"/>
      <c r="BH141" s="64" t="s">
        <v>16</v>
      </c>
      <c r="BI141" s="64">
        <v>0</v>
      </c>
      <c r="BJ141" s="64">
        <v>4</v>
      </c>
      <c r="BK141" s="64">
        <v>0</v>
      </c>
      <c r="BL141" s="64">
        <v>0</v>
      </c>
      <c r="BM141" s="64">
        <v>0</v>
      </c>
      <c r="BN141" s="64">
        <v>4</v>
      </c>
      <c r="BO141" s="64">
        <v>4</v>
      </c>
      <c r="BP141" s="64">
        <v>4</v>
      </c>
      <c r="BQ141" s="64">
        <v>0</v>
      </c>
      <c r="BR141" s="64">
        <v>4</v>
      </c>
      <c r="BS141" s="64">
        <v>0</v>
      </c>
      <c r="BT141" s="64">
        <v>0</v>
      </c>
      <c r="BU141" s="64">
        <v>0</v>
      </c>
      <c r="BV141" s="64">
        <v>0</v>
      </c>
      <c r="BW141" s="64">
        <v>4</v>
      </c>
      <c r="BX141" s="64">
        <v>4</v>
      </c>
      <c r="BY141" s="64">
        <v>4</v>
      </c>
      <c r="BZ141" s="64">
        <v>0</v>
      </c>
      <c r="CA141" s="64">
        <v>0</v>
      </c>
      <c r="CB141" s="64">
        <v>0</v>
      </c>
      <c r="CC141" s="64">
        <v>0</v>
      </c>
      <c r="CD141" s="64">
        <v>0</v>
      </c>
      <c r="CE141" s="64">
        <v>4</v>
      </c>
      <c r="CF141" s="64">
        <v>0</v>
      </c>
      <c r="CG141" s="64"/>
      <c r="CH141" s="64"/>
      <c r="CI141" s="64"/>
      <c r="CJ141" s="64"/>
      <c r="CK141" s="64"/>
      <c r="CL141" s="64"/>
      <c r="CM141" s="64"/>
      <c r="CN141" s="64" t="s">
        <v>16</v>
      </c>
      <c r="CO141" s="64">
        <v>0</v>
      </c>
      <c r="CP141" s="64">
        <v>0</v>
      </c>
      <c r="CQ141" s="64">
        <v>0</v>
      </c>
      <c r="CR141" s="64">
        <v>0</v>
      </c>
      <c r="CS141" s="64">
        <v>4</v>
      </c>
      <c r="CT141" s="64">
        <v>0</v>
      </c>
      <c r="CU141" s="64">
        <v>4</v>
      </c>
      <c r="CV141" s="64">
        <v>0</v>
      </c>
      <c r="CW141" s="64">
        <v>4</v>
      </c>
      <c r="CX141" s="64">
        <v>0</v>
      </c>
      <c r="CY141" s="64">
        <v>4</v>
      </c>
      <c r="CZ141" s="64">
        <v>0</v>
      </c>
      <c r="DA141" s="64">
        <v>4</v>
      </c>
      <c r="DB141" s="64">
        <v>0</v>
      </c>
      <c r="DC141" s="64">
        <v>4</v>
      </c>
      <c r="DD141" s="64">
        <v>0</v>
      </c>
      <c r="DE141" s="64">
        <v>4</v>
      </c>
      <c r="DF141" s="64">
        <v>0</v>
      </c>
      <c r="DG141" s="64">
        <v>4</v>
      </c>
      <c r="DH141" s="64">
        <v>0</v>
      </c>
      <c r="DI141" s="64">
        <v>4</v>
      </c>
      <c r="DJ141" s="64">
        <v>0</v>
      </c>
      <c r="DK141" s="64">
        <v>4</v>
      </c>
      <c r="DL141" s="64">
        <v>0</v>
      </c>
      <c r="DM141" s="64"/>
      <c r="DN141" s="64"/>
      <c r="DO141" s="64"/>
      <c r="DP141" s="64"/>
      <c r="DQ141" s="80">
        <v>12</v>
      </c>
      <c r="DR141" s="80">
        <v>12</v>
      </c>
      <c r="DS141" s="80"/>
      <c r="DT141" s="64"/>
      <c r="DU141" s="64"/>
      <c r="DV141" s="64"/>
      <c r="DW141" s="64"/>
      <c r="DX141" s="64"/>
      <c r="DY141" s="64"/>
      <c r="DZ141" s="64"/>
      <c r="EA141" s="64"/>
      <c r="EB141" s="64"/>
      <c r="EC141" s="64"/>
      <c r="ED141" s="64"/>
      <c r="EE141" s="64"/>
      <c r="EF141" s="64"/>
      <c r="EG141" s="64"/>
      <c r="EH141" s="64"/>
      <c r="EI141" s="69"/>
      <c r="EK141" s="64" t="s">
        <v>241</v>
      </c>
      <c r="EL141" s="64">
        <v>0</v>
      </c>
      <c r="EM141" s="64">
        <f>BJ141+(BJ139*2)</f>
        <v>4</v>
      </c>
      <c r="EN141" s="64">
        <f>BK141+(BK139*2)</f>
        <v>0</v>
      </c>
      <c r="EO141" s="64">
        <v>0</v>
      </c>
      <c r="EP141" s="64">
        <f t="shared" ref="EP141:FI141" si="337">BM141+(BM139*2)</f>
        <v>8</v>
      </c>
      <c r="EQ141" s="64">
        <f t="shared" si="337"/>
        <v>4</v>
      </c>
      <c r="ER141" s="64">
        <f t="shared" si="337"/>
        <v>12</v>
      </c>
      <c r="ES141" s="64">
        <f t="shared" si="337"/>
        <v>12</v>
      </c>
      <c r="ET141" s="64">
        <f t="shared" si="337"/>
        <v>8</v>
      </c>
      <c r="EU141" s="64">
        <f t="shared" si="337"/>
        <v>4</v>
      </c>
      <c r="EV141" s="64">
        <f t="shared" si="337"/>
        <v>16</v>
      </c>
      <c r="EW141" s="64">
        <f t="shared" si="337"/>
        <v>8</v>
      </c>
      <c r="EX141" s="64">
        <f t="shared" si="337"/>
        <v>8</v>
      </c>
      <c r="EY141" s="64">
        <f t="shared" si="337"/>
        <v>8</v>
      </c>
      <c r="EZ141" s="64">
        <f t="shared" si="337"/>
        <v>12</v>
      </c>
      <c r="FA141" s="64">
        <f t="shared" si="337"/>
        <v>12</v>
      </c>
      <c r="FB141" s="64">
        <f t="shared" si="337"/>
        <v>12</v>
      </c>
      <c r="FC141" s="64">
        <f t="shared" si="337"/>
        <v>16</v>
      </c>
      <c r="FD141" s="64">
        <f t="shared" si="337"/>
        <v>16</v>
      </c>
      <c r="FE141" s="64">
        <f t="shared" si="337"/>
        <v>24</v>
      </c>
      <c r="FF141" s="64">
        <f t="shared" si="337"/>
        <v>24</v>
      </c>
      <c r="FG141" s="64">
        <f t="shared" si="337"/>
        <v>24</v>
      </c>
      <c r="FH141" s="64">
        <f t="shared" si="337"/>
        <v>28</v>
      </c>
      <c r="FI141" s="64">
        <f t="shared" si="337"/>
        <v>32</v>
      </c>
      <c r="FJ141" s="64"/>
      <c r="FK141" s="64" t="s">
        <v>241</v>
      </c>
      <c r="FL141" s="64">
        <v>0</v>
      </c>
      <c r="FM141" s="64">
        <f>CP141+(CP139*2)</f>
        <v>0</v>
      </c>
      <c r="FN141" s="64">
        <v>0</v>
      </c>
      <c r="FO141" s="64">
        <v>0</v>
      </c>
      <c r="FP141" s="64">
        <f t="shared" ref="FP141:GI141" si="338">CS141+(CS139*2)</f>
        <v>4</v>
      </c>
      <c r="FQ141" s="64">
        <f t="shared" si="338"/>
        <v>0</v>
      </c>
      <c r="FR141" s="64">
        <f t="shared" si="338"/>
        <v>12</v>
      </c>
      <c r="FS141" s="64">
        <f t="shared" si="338"/>
        <v>8</v>
      </c>
      <c r="FT141" s="64">
        <f t="shared" si="338"/>
        <v>4</v>
      </c>
      <c r="FU141" s="64">
        <f t="shared" si="338"/>
        <v>16</v>
      </c>
      <c r="FV141" s="64">
        <f t="shared" si="338"/>
        <v>12</v>
      </c>
      <c r="FW141" s="64">
        <f t="shared" si="338"/>
        <v>8</v>
      </c>
      <c r="FX141" s="64">
        <f t="shared" si="338"/>
        <v>20</v>
      </c>
      <c r="FY141" s="64">
        <f t="shared" si="338"/>
        <v>16</v>
      </c>
      <c r="FZ141" s="64">
        <f t="shared" si="338"/>
        <v>12</v>
      </c>
      <c r="GA141" s="64">
        <f t="shared" si="338"/>
        <v>24</v>
      </c>
      <c r="GB141" s="64">
        <f t="shared" si="338"/>
        <v>20</v>
      </c>
      <c r="GC141" s="64">
        <f t="shared" si="338"/>
        <v>16</v>
      </c>
      <c r="GD141" s="64">
        <f t="shared" si="338"/>
        <v>28</v>
      </c>
      <c r="GE141" s="64">
        <f t="shared" si="338"/>
        <v>24</v>
      </c>
      <c r="GF141" s="64">
        <f t="shared" si="338"/>
        <v>20</v>
      </c>
      <c r="GG141" s="64">
        <f t="shared" si="338"/>
        <v>32</v>
      </c>
      <c r="GH141" s="64">
        <f t="shared" si="338"/>
        <v>28</v>
      </c>
      <c r="GI141" s="64">
        <f t="shared" si="338"/>
        <v>24</v>
      </c>
      <c r="GJ141" s="64"/>
      <c r="GK141" s="64"/>
      <c r="GL141" s="70"/>
      <c r="GM141" s="64"/>
      <c r="GN141" s="64"/>
      <c r="GO141" s="64"/>
      <c r="GP141" s="64"/>
      <c r="GQ141" s="64"/>
      <c r="GR141" s="64"/>
      <c r="GS141" s="64"/>
      <c r="GT141" s="64"/>
      <c r="GU141" s="64"/>
      <c r="GV141" s="64"/>
      <c r="GW141" s="64"/>
      <c r="GX141" s="64"/>
      <c r="GY141" s="64"/>
      <c r="GZ141" s="64"/>
      <c r="HA141" s="64"/>
      <c r="HB141" s="64"/>
      <c r="HC141" s="64"/>
      <c r="HD141" s="64"/>
      <c r="HE141" s="64"/>
      <c r="HF141" s="64"/>
      <c r="HG141" s="64"/>
      <c r="HH141" s="64"/>
    </row>
    <row r="142" spans="1:252" x14ac:dyDescent="0.25">
      <c r="A142" s="8"/>
      <c r="B142" s="5" t="s">
        <v>61</v>
      </c>
      <c r="C142" s="8"/>
      <c r="D142" s="44" t="s">
        <v>518</v>
      </c>
      <c r="E142" s="9"/>
      <c r="F142" s="9"/>
      <c r="G142" s="9"/>
      <c r="H142" s="9"/>
      <c r="I142" s="9"/>
      <c r="J142" s="9"/>
      <c r="K142" s="9"/>
      <c r="L142" s="6" t="s">
        <v>286</v>
      </c>
      <c r="M142" s="11">
        <f>INDEX(cenník!$C$2:$I$568,MATCH($L142,cenník!$B$2:$B$557,0),MATCH(M$2,cenník!$C$1:$I$1,0))</f>
        <v>867566</v>
      </c>
      <c r="N142" s="11" t="str">
        <f>INDEX(cenník!$C$2:$I$568,MATCH($L142,cenník!$B$2:$B$557,0),MATCH(N$2,cenník!$C$1:$I$1,0))</f>
        <v>ks</v>
      </c>
      <c r="O142" s="11">
        <f>SUM(X124:X139)</f>
        <v>0</v>
      </c>
      <c r="P142" s="36">
        <f>INDEX(cenník!$C$2:$I$568,MATCH($L142,cenník!$B$2:$B$557,0),MATCH(P$2,cenník!$C$1:$I$1,0))</f>
        <v>91.73</v>
      </c>
      <c r="Q142" s="36">
        <f t="shared" ref="Q142:Q155" si="339">O142*P142</f>
        <v>0</v>
      </c>
      <c r="R142" s="37">
        <f t="shared" si="326"/>
        <v>0</v>
      </c>
      <c r="S142" s="36">
        <f t="shared" si="325"/>
        <v>91.73</v>
      </c>
      <c r="T142" s="36">
        <f t="shared" ref="T142:T155" si="340">O142*S142</f>
        <v>0</v>
      </c>
      <c r="U142" s="36">
        <f>INDEX(cenník!$C$2:$I$568,MATCH($L142,cenník!$B$2:$B$557,0),MATCH(U$2,cenník!$C$1:$I$1,0))*O142</f>
        <v>0</v>
      </c>
      <c r="V142" s="85"/>
      <c r="W142" s="64"/>
      <c r="X142" s="64"/>
      <c r="Y142" s="64"/>
      <c r="Z142" s="64"/>
      <c r="AA142" s="64"/>
      <c r="AB142" s="64"/>
      <c r="AC142" s="64"/>
      <c r="AD142" s="64"/>
      <c r="AE142" s="64"/>
      <c r="AF142" s="64"/>
      <c r="AG142" s="64" t="s">
        <v>103</v>
      </c>
      <c r="AH142" s="64">
        <v>4400</v>
      </c>
      <c r="AI142" s="64">
        <v>0</v>
      </c>
      <c r="AJ142" s="64">
        <f>AH142*AI142</f>
        <v>0</v>
      </c>
      <c r="AK142" s="64">
        <v>127.4</v>
      </c>
      <c r="AL142" s="64">
        <f>AI142*AK142</f>
        <v>0</v>
      </c>
      <c r="AM142" s="64">
        <f>AI142*4</f>
        <v>0</v>
      </c>
      <c r="AP142" s="64" t="s">
        <v>58</v>
      </c>
      <c r="AQ142" s="64" t="s">
        <v>291</v>
      </c>
      <c r="AR142" s="64" t="s">
        <v>84</v>
      </c>
      <c r="AS142" s="64" t="s">
        <v>84</v>
      </c>
      <c r="AT142" s="64" t="s">
        <v>84</v>
      </c>
      <c r="AU142" s="64"/>
      <c r="AV142" s="64"/>
      <c r="AW142" s="64"/>
      <c r="AX142" s="64"/>
      <c r="AY142" s="64"/>
      <c r="AZ142" s="64"/>
      <c r="BA142" s="64"/>
      <c r="BB142" s="64"/>
      <c r="BC142" s="64"/>
      <c r="BD142" s="64"/>
      <c r="BE142" s="64"/>
      <c r="BF142" s="64"/>
      <c r="BG142" s="64"/>
      <c r="BH142" s="64" t="s">
        <v>17</v>
      </c>
      <c r="BI142" s="64">
        <v>0</v>
      </c>
      <c r="BJ142" s="64">
        <v>0</v>
      </c>
      <c r="BK142" s="64">
        <v>0</v>
      </c>
      <c r="BL142" s="64">
        <v>0</v>
      </c>
      <c r="BM142" s="64">
        <v>0</v>
      </c>
      <c r="BN142" s="64">
        <v>4</v>
      </c>
      <c r="BO142" s="64">
        <v>4</v>
      </c>
      <c r="BP142" s="64">
        <v>4</v>
      </c>
      <c r="BQ142" s="64">
        <v>4</v>
      </c>
      <c r="BR142" s="64">
        <v>8</v>
      </c>
      <c r="BS142" s="64">
        <v>4</v>
      </c>
      <c r="BT142" s="64">
        <v>8</v>
      </c>
      <c r="BU142" s="64">
        <v>8</v>
      </c>
      <c r="BV142" s="64">
        <v>8</v>
      </c>
      <c r="BW142" s="64">
        <v>12</v>
      </c>
      <c r="BX142" s="64">
        <v>12</v>
      </c>
      <c r="BY142" s="64">
        <v>12</v>
      </c>
      <c r="BZ142" s="64">
        <v>12</v>
      </c>
      <c r="CA142" s="64">
        <v>12</v>
      </c>
      <c r="CB142" s="64">
        <v>12</v>
      </c>
      <c r="CC142" s="64">
        <v>12</v>
      </c>
      <c r="CD142" s="64">
        <v>12</v>
      </c>
      <c r="CE142" s="64">
        <v>16</v>
      </c>
      <c r="CF142" s="64">
        <v>12</v>
      </c>
      <c r="CG142" s="64"/>
      <c r="CH142" s="64"/>
      <c r="CI142" s="64"/>
      <c r="CJ142" s="64"/>
      <c r="CK142" s="64"/>
      <c r="CL142" s="64"/>
      <c r="CM142" s="64"/>
      <c r="CN142" s="64" t="s">
        <v>17</v>
      </c>
      <c r="CO142" s="64">
        <v>0</v>
      </c>
      <c r="CP142" s="64">
        <v>0</v>
      </c>
      <c r="CQ142" s="64">
        <v>0</v>
      </c>
      <c r="CR142" s="64">
        <v>0</v>
      </c>
      <c r="CS142" s="64">
        <v>4</v>
      </c>
      <c r="CT142" s="64">
        <v>4</v>
      </c>
      <c r="CU142" s="64">
        <v>4</v>
      </c>
      <c r="CV142" s="64">
        <v>4</v>
      </c>
      <c r="CW142" s="64">
        <v>8</v>
      </c>
      <c r="CX142" s="64">
        <v>4</v>
      </c>
      <c r="CY142" s="64">
        <v>8</v>
      </c>
      <c r="CZ142" s="64">
        <v>8</v>
      </c>
      <c r="DA142" s="64">
        <v>8</v>
      </c>
      <c r="DB142" s="64">
        <v>8</v>
      </c>
      <c r="DC142" s="64">
        <v>12</v>
      </c>
      <c r="DD142" s="64">
        <v>8</v>
      </c>
      <c r="DE142" s="64">
        <v>12</v>
      </c>
      <c r="DF142" s="64">
        <v>12</v>
      </c>
      <c r="DG142" s="64">
        <v>12</v>
      </c>
      <c r="DH142" s="64">
        <v>12</v>
      </c>
      <c r="DI142" s="64">
        <v>16</v>
      </c>
      <c r="DJ142" s="64">
        <v>12</v>
      </c>
      <c r="DK142" s="64">
        <v>16</v>
      </c>
      <c r="DL142" s="64">
        <v>16</v>
      </c>
      <c r="DM142" s="64"/>
      <c r="DN142" s="64"/>
      <c r="DO142" s="64"/>
      <c r="DP142" s="64"/>
      <c r="DQ142" s="80">
        <v>14</v>
      </c>
      <c r="DR142" s="80">
        <v>14</v>
      </c>
      <c r="DS142" s="80"/>
      <c r="DT142" s="64"/>
      <c r="DU142" s="64"/>
      <c r="DV142" s="64"/>
      <c r="DW142" s="64"/>
      <c r="DX142" s="64"/>
      <c r="DY142" s="64"/>
      <c r="DZ142" s="64"/>
      <c r="EA142" s="64"/>
      <c r="EB142" s="64"/>
      <c r="EC142" s="64"/>
      <c r="ED142" s="64"/>
      <c r="EE142" s="64"/>
      <c r="EF142" s="64"/>
      <c r="EG142" s="64"/>
      <c r="EH142" s="64"/>
      <c r="EI142" s="69"/>
      <c r="EK142" s="72" t="s">
        <v>364</v>
      </c>
      <c r="EL142" s="64">
        <v>0</v>
      </c>
      <c r="EM142" s="64">
        <f>((SUM(EM140:EM141)/4)-1)*4</f>
        <v>0</v>
      </c>
      <c r="EN142" s="64">
        <f>((SUM(EN140:EN141)/4)-1)*4</f>
        <v>0</v>
      </c>
      <c r="EO142" s="64">
        <v>0</v>
      </c>
      <c r="EP142" s="64">
        <f t="shared" ref="EP142:EX142" si="341">((SUM(EP140:EP141)/4)-1)*4</f>
        <v>4</v>
      </c>
      <c r="EQ142" s="64">
        <f t="shared" si="341"/>
        <v>4</v>
      </c>
      <c r="ER142" s="64">
        <f t="shared" si="341"/>
        <v>8</v>
      </c>
      <c r="ES142" s="64">
        <f t="shared" si="341"/>
        <v>8</v>
      </c>
      <c r="ET142" s="64">
        <f t="shared" si="341"/>
        <v>8</v>
      </c>
      <c r="EU142" s="64">
        <f t="shared" si="341"/>
        <v>8</v>
      </c>
      <c r="EV142" s="64">
        <f t="shared" si="341"/>
        <v>12</v>
      </c>
      <c r="EW142" s="64">
        <f t="shared" si="341"/>
        <v>12</v>
      </c>
      <c r="EX142" s="64">
        <f t="shared" si="341"/>
        <v>12</v>
      </c>
      <c r="EY142" s="64">
        <f>((SUM(EY140:EY141)/4)-1)*4</f>
        <v>12</v>
      </c>
      <c r="EZ142" s="64">
        <f t="shared" ref="EZ142:FI142" si="342">((SUM(EZ140:EZ141)/4)-1)*4</f>
        <v>16</v>
      </c>
      <c r="FA142" s="64">
        <f t="shared" si="342"/>
        <v>16</v>
      </c>
      <c r="FB142" s="64">
        <f t="shared" si="342"/>
        <v>16</v>
      </c>
      <c r="FC142" s="64">
        <f t="shared" si="342"/>
        <v>20</v>
      </c>
      <c r="FD142" s="64">
        <f t="shared" si="342"/>
        <v>20</v>
      </c>
      <c r="FE142" s="64">
        <f t="shared" si="342"/>
        <v>24</v>
      </c>
      <c r="FF142" s="64">
        <f t="shared" si="342"/>
        <v>24</v>
      </c>
      <c r="FG142" s="64">
        <f t="shared" si="342"/>
        <v>24</v>
      </c>
      <c r="FH142" s="64">
        <f t="shared" si="342"/>
        <v>28</v>
      </c>
      <c r="FI142" s="64">
        <f t="shared" si="342"/>
        <v>28</v>
      </c>
      <c r="FJ142" s="64"/>
      <c r="FK142" s="72" t="s">
        <v>364</v>
      </c>
      <c r="FL142" s="64">
        <v>0</v>
      </c>
      <c r="FM142" s="64">
        <f>((SUM(FM140:FM141)/4)-1)*4</f>
        <v>0</v>
      </c>
      <c r="FN142" s="64">
        <v>0</v>
      </c>
      <c r="FO142" s="64">
        <v>0</v>
      </c>
      <c r="FP142" s="64">
        <f t="shared" ref="FP142:FX142" si="343">((SUM(FP140:FP141)/4)-1)*4</f>
        <v>4</v>
      </c>
      <c r="FQ142" s="64">
        <f t="shared" si="343"/>
        <v>4</v>
      </c>
      <c r="FR142" s="64">
        <f t="shared" si="343"/>
        <v>8</v>
      </c>
      <c r="FS142" s="64">
        <f t="shared" si="343"/>
        <v>8</v>
      </c>
      <c r="FT142" s="64">
        <f t="shared" si="343"/>
        <v>8</v>
      </c>
      <c r="FU142" s="64">
        <f t="shared" si="343"/>
        <v>12</v>
      </c>
      <c r="FV142" s="64">
        <f t="shared" si="343"/>
        <v>12</v>
      </c>
      <c r="FW142" s="64">
        <f t="shared" si="343"/>
        <v>12</v>
      </c>
      <c r="FX142" s="64">
        <f t="shared" si="343"/>
        <v>16</v>
      </c>
      <c r="FY142" s="64">
        <f t="shared" ref="FY142:GI142" si="344">((SUM(FY140:FY141)/4)-1)*4</f>
        <v>16</v>
      </c>
      <c r="FZ142" s="64">
        <f t="shared" si="344"/>
        <v>16</v>
      </c>
      <c r="GA142" s="64">
        <f t="shared" si="344"/>
        <v>20</v>
      </c>
      <c r="GB142" s="64">
        <f t="shared" si="344"/>
        <v>20</v>
      </c>
      <c r="GC142" s="64">
        <f t="shared" si="344"/>
        <v>20</v>
      </c>
      <c r="GD142" s="64">
        <f t="shared" si="344"/>
        <v>24</v>
      </c>
      <c r="GE142" s="64">
        <f t="shared" si="344"/>
        <v>24</v>
      </c>
      <c r="GF142" s="64">
        <f t="shared" si="344"/>
        <v>24</v>
      </c>
      <c r="GG142" s="64">
        <f t="shared" si="344"/>
        <v>28</v>
      </c>
      <c r="GH142" s="64">
        <f t="shared" si="344"/>
        <v>28</v>
      </c>
      <c r="GI142" s="64">
        <f t="shared" si="344"/>
        <v>28</v>
      </c>
      <c r="GJ142" s="64"/>
      <c r="GK142" s="64"/>
      <c r="GL142" s="70"/>
      <c r="GM142" s="64"/>
      <c r="GN142" s="64"/>
      <c r="GO142" s="64"/>
      <c r="GP142" s="64"/>
      <c r="GQ142" s="64"/>
      <c r="GR142" s="64"/>
      <c r="GS142" s="64"/>
      <c r="GT142" s="64"/>
      <c r="GU142" s="64"/>
      <c r="GV142" s="64"/>
      <c r="GW142" s="64"/>
      <c r="GX142" s="64"/>
      <c r="GY142" s="64"/>
      <c r="GZ142" s="64"/>
      <c r="HA142" s="64"/>
      <c r="HB142" s="64"/>
      <c r="HC142" s="64"/>
      <c r="HD142" s="64"/>
      <c r="HE142" s="64"/>
      <c r="HF142" s="64"/>
      <c r="HG142" s="64"/>
      <c r="HH142" s="64"/>
    </row>
    <row r="143" spans="1:252" x14ac:dyDescent="0.25">
      <c r="A143" s="8"/>
      <c r="B143" s="5" t="s">
        <v>61</v>
      </c>
      <c r="C143" s="8"/>
      <c r="D143" s="44" t="s">
        <v>519</v>
      </c>
      <c r="E143" s="9"/>
      <c r="F143" s="9"/>
      <c r="G143" s="9"/>
      <c r="H143" s="9"/>
      <c r="I143" s="9"/>
      <c r="J143" s="9"/>
      <c r="K143" s="9"/>
      <c r="L143" s="6" t="s">
        <v>240</v>
      </c>
      <c r="M143" s="11">
        <f>INDEX(cenník!$C$2:$I$568,MATCH($L143,cenník!$B$2:$B$557,0),MATCH(M$2,cenník!$C$1:$I$1,0))</f>
        <v>867644</v>
      </c>
      <c r="N143" s="11" t="str">
        <f>INDEX(cenník!$C$2:$I$568,MATCH($L143,cenník!$B$2:$B$557,0),MATCH(N$2,cenník!$C$1:$I$1,0))</f>
        <v>ks</v>
      </c>
      <c r="O143" s="11">
        <f>SUM(Y124:Y139)</f>
        <v>0</v>
      </c>
      <c r="P143" s="36">
        <f>INDEX(cenník!$C$2:$I$568,MATCH($L143,cenník!$B$2:$B$557,0),MATCH(P$2,cenník!$C$1:$I$1,0))</f>
        <v>61.15</v>
      </c>
      <c r="Q143" s="36">
        <f t="shared" si="339"/>
        <v>0</v>
      </c>
      <c r="R143" s="37">
        <f t="shared" si="326"/>
        <v>0</v>
      </c>
      <c r="S143" s="36">
        <f t="shared" si="325"/>
        <v>61.15</v>
      </c>
      <c r="T143" s="36">
        <f t="shared" si="340"/>
        <v>0</v>
      </c>
      <c r="U143" s="36">
        <f>INDEX(cenník!$C$2:$I$568,MATCH($L143,cenník!$B$2:$B$557,0),MATCH(U$2,cenník!$C$1:$I$1,0))*O143</f>
        <v>0</v>
      </c>
      <c r="V143" s="85"/>
      <c r="AC143" s="64"/>
      <c r="AD143" s="64"/>
      <c r="AE143" s="64"/>
      <c r="AF143" s="64"/>
      <c r="AG143" s="64" t="s">
        <v>16</v>
      </c>
      <c r="AH143" s="64">
        <v>3300</v>
      </c>
      <c r="AI143" s="64">
        <v>1</v>
      </c>
      <c r="AJ143" s="64">
        <f>AH143*AI143</f>
        <v>3300</v>
      </c>
      <c r="AK143" s="64">
        <v>95.55</v>
      </c>
      <c r="AL143" s="64">
        <f>AI143*AK143</f>
        <v>95.55</v>
      </c>
      <c r="AM143" s="64">
        <f>AI143*4</f>
        <v>4</v>
      </c>
      <c r="AP143" s="64" t="s">
        <v>71</v>
      </c>
      <c r="AQ143" s="64" t="s">
        <v>291</v>
      </c>
      <c r="AR143" s="64" t="s">
        <v>84</v>
      </c>
      <c r="AS143" s="64" t="s">
        <v>84</v>
      </c>
      <c r="AT143" s="64" t="s">
        <v>84</v>
      </c>
      <c r="AU143" s="64"/>
      <c r="AV143" s="64"/>
      <c r="AW143" s="64"/>
      <c r="AX143" s="64"/>
      <c r="AY143" s="64"/>
      <c r="AZ143" s="64"/>
      <c r="BA143" s="64"/>
      <c r="BB143" s="64"/>
      <c r="BC143" s="64"/>
      <c r="BD143" s="64"/>
      <c r="BE143" s="64"/>
      <c r="BF143" s="64"/>
      <c r="BG143" s="64"/>
      <c r="BH143" s="64"/>
      <c r="BI143" s="64"/>
      <c r="BJ143" s="64"/>
      <c r="BK143" s="64"/>
      <c r="BL143" s="64"/>
      <c r="BM143" s="64"/>
      <c r="BN143" s="64"/>
      <c r="BO143" s="64"/>
      <c r="BP143" s="64"/>
      <c r="BQ143" s="64"/>
      <c r="BR143" s="64"/>
      <c r="BS143" s="64"/>
      <c r="BT143" s="64"/>
      <c r="BU143" s="64"/>
      <c r="BV143" s="64"/>
      <c r="BW143" s="64"/>
      <c r="BX143" s="64"/>
      <c r="BY143" s="64"/>
      <c r="BZ143" s="64"/>
      <c r="CA143" s="64"/>
      <c r="CB143" s="64"/>
      <c r="CC143" s="64"/>
      <c r="CD143" s="64"/>
      <c r="CE143" s="64"/>
      <c r="CF143" s="64"/>
      <c r="CG143" s="64"/>
      <c r="CH143" s="64"/>
      <c r="CI143" s="64"/>
      <c r="CJ143" s="64"/>
      <c r="CK143" s="64"/>
      <c r="CL143" s="64"/>
      <c r="CM143" s="64"/>
      <c r="CN143" s="64"/>
      <c r="CO143" s="64"/>
      <c r="CP143" s="64"/>
      <c r="CQ143" s="64"/>
      <c r="CR143" s="64"/>
      <c r="CS143" s="64"/>
      <c r="CT143" s="64"/>
      <c r="CU143" s="64"/>
      <c r="CV143" s="64"/>
      <c r="CW143" s="64"/>
      <c r="CX143" s="64"/>
      <c r="CY143" s="64"/>
      <c r="CZ143" s="64"/>
      <c r="DA143" s="64"/>
      <c r="DB143" s="64"/>
      <c r="DC143" s="64"/>
      <c r="DD143" s="64"/>
      <c r="DE143" s="64"/>
      <c r="DF143" s="64"/>
      <c r="DG143" s="64"/>
      <c r="DH143" s="64"/>
      <c r="DI143" s="64"/>
      <c r="DJ143" s="64"/>
      <c r="DK143" s="64"/>
      <c r="DL143" s="64"/>
      <c r="DM143" s="64"/>
      <c r="DN143" s="64"/>
      <c r="DO143" s="64"/>
      <c r="DP143" s="64"/>
      <c r="DQ143" s="80"/>
      <c r="DR143" s="80">
        <v>16</v>
      </c>
      <c r="DS143" s="80"/>
      <c r="DT143" s="64"/>
      <c r="DU143" s="64"/>
      <c r="DV143" s="64"/>
      <c r="DW143" s="64"/>
      <c r="DX143" s="64"/>
      <c r="DY143" s="64"/>
      <c r="DZ143" s="64"/>
      <c r="EA143" s="64"/>
      <c r="EB143" s="64"/>
      <c r="EC143" s="64"/>
      <c r="ED143" s="64"/>
      <c r="EE143" s="64"/>
      <c r="EF143" s="64"/>
      <c r="EG143" s="64"/>
      <c r="EH143" s="64"/>
      <c r="EI143" s="69"/>
      <c r="EK143" s="64"/>
      <c r="EL143" s="64"/>
      <c r="EM143" s="64"/>
      <c r="EN143" s="64"/>
      <c r="EO143" s="64"/>
      <c r="EP143" s="64"/>
      <c r="EQ143" s="64"/>
      <c r="ER143" s="64"/>
      <c r="ES143" s="64"/>
      <c r="ET143" s="64"/>
      <c r="EU143" s="64"/>
      <c r="EV143" s="64"/>
      <c r="EW143" s="64"/>
      <c r="EX143" s="64"/>
      <c r="EY143" s="64"/>
      <c r="EZ143" s="64"/>
      <c r="FA143" s="64"/>
      <c r="FB143" s="64"/>
      <c r="FC143" s="64"/>
      <c r="FD143" s="64"/>
      <c r="FE143" s="64"/>
      <c r="FF143" s="64"/>
      <c r="FG143" s="64"/>
      <c r="FH143" s="64"/>
      <c r="FI143" s="64"/>
      <c r="FJ143" s="64"/>
      <c r="FK143" s="64"/>
      <c r="FL143" s="64"/>
      <c r="FM143" s="64"/>
      <c r="FN143" s="64"/>
      <c r="FO143" s="64"/>
      <c r="FP143" s="64"/>
      <c r="FQ143" s="64"/>
      <c r="FR143" s="64"/>
      <c r="FS143" s="64"/>
      <c r="FT143" s="64"/>
      <c r="FU143" s="64"/>
      <c r="FV143" s="64"/>
      <c r="FW143" s="64"/>
      <c r="FX143" s="64"/>
      <c r="FY143" s="64"/>
      <c r="FZ143" s="64"/>
      <c r="GA143" s="64"/>
      <c r="GB143" s="64"/>
      <c r="GC143" s="64"/>
      <c r="GD143" s="64"/>
      <c r="GE143" s="64"/>
      <c r="GF143" s="64"/>
      <c r="GG143" s="64"/>
      <c r="GH143" s="64"/>
      <c r="GI143" s="64"/>
      <c r="GJ143" s="64"/>
      <c r="GK143" s="64"/>
      <c r="GL143" s="70"/>
      <c r="GM143" s="64"/>
      <c r="GN143" s="64"/>
      <c r="GO143" s="64"/>
      <c r="GP143" s="64"/>
      <c r="GQ143" s="64"/>
      <c r="GR143" s="64"/>
      <c r="GS143" s="64"/>
      <c r="GT143" s="64"/>
      <c r="GU143" s="64"/>
      <c r="GV143" s="64"/>
      <c r="GW143" s="64"/>
      <c r="GX143" s="64"/>
      <c r="GY143" s="64"/>
      <c r="GZ143" s="64"/>
      <c r="HA143" s="64"/>
      <c r="HB143" s="64"/>
      <c r="HC143" s="64"/>
      <c r="HD143" s="64"/>
      <c r="HE143" s="64"/>
      <c r="HF143" s="64"/>
      <c r="HG143" s="64"/>
      <c r="HH143" s="64"/>
    </row>
    <row r="144" spans="1:252" x14ac:dyDescent="0.25">
      <c r="A144" s="8"/>
      <c r="B144" s="5" t="s">
        <v>61</v>
      </c>
      <c r="C144" s="8"/>
      <c r="D144" s="44" t="s">
        <v>520</v>
      </c>
      <c r="E144" s="9"/>
      <c r="F144" s="9"/>
      <c r="G144" s="9"/>
      <c r="H144" s="9"/>
      <c r="I144" s="9"/>
      <c r="J144" s="9"/>
      <c r="K144" s="9"/>
      <c r="L144" s="6" t="s">
        <v>241</v>
      </c>
      <c r="M144" s="11">
        <f>INDEX(cenník!$C$2:$I$568,MATCH($L144,cenník!$B$2:$B$557,0),MATCH(M$2,cenník!$C$1:$I$1,0))</f>
        <v>867633</v>
      </c>
      <c r="N144" s="11" t="str">
        <f>INDEX(cenník!$C$2:$I$568,MATCH($L144,cenník!$B$2:$B$557,0),MATCH(N$2,cenník!$C$1:$I$1,0))</f>
        <v>ks</v>
      </c>
      <c r="O144" s="11">
        <f>SUM(Z124:Z139)</f>
        <v>0</v>
      </c>
      <c r="P144" s="36">
        <f>INDEX(cenník!$C$2:$I$568,MATCH($L144,cenník!$B$2:$B$557,0),MATCH(P$2,cenník!$C$1:$I$1,0))</f>
        <v>45.86</v>
      </c>
      <c r="Q144" s="36">
        <f t="shared" si="339"/>
        <v>0</v>
      </c>
      <c r="R144" s="37">
        <f t="shared" si="326"/>
        <v>0</v>
      </c>
      <c r="S144" s="36">
        <f t="shared" si="325"/>
        <v>45.86</v>
      </c>
      <c r="T144" s="36">
        <f t="shared" si="340"/>
        <v>0</v>
      </c>
      <c r="U144" s="36">
        <f>INDEX(cenník!$C$2:$I$568,MATCH($L144,cenník!$B$2:$B$557,0),MATCH(U$2,cenník!$C$1:$I$1,0))*O144</f>
        <v>0</v>
      </c>
      <c r="V144" s="85"/>
      <c r="AC144" s="64"/>
      <c r="AD144" s="64"/>
      <c r="AE144" s="64"/>
      <c r="AF144" s="64"/>
      <c r="AG144" s="64"/>
      <c r="AH144" s="64" t="s">
        <v>125</v>
      </c>
      <c r="AI144" s="64">
        <f>IF(SUM(AI141:AI143)=0,0,IF(SUM(AI141:AI143)=1,0,IF(SUM(AI141:AI143)&gt;1,(SUM(AI141:AI143)-1),0)))</f>
        <v>4</v>
      </c>
      <c r="AJ144" s="64"/>
      <c r="AK144" s="64">
        <v>7.1</v>
      </c>
      <c r="AL144" s="64">
        <f>AI144*AK144</f>
        <v>28.4</v>
      </c>
      <c r="AM144" s="64">
        <f>AI144*4</f>
        <v>16</v>
      </c>
      <c r="AQ144" s="64"/>
      <c r="AR144" s="64"/>
      <c r="AS144" s="64"/>
      <c r="AT144" s="64"/>
      <c r="AU144" s="64"/>
      <c r="AV144" s="64"/>
      <c r="AW144" s="64"/>
      <c r="AX144" s="64"/>
      <c r="AY144" s="64"/>
      <c r="AZ144" s="64"/>
      <c r="BA144" s="64"/>
      <c r="BB144" s="64"/>
      <c r="BC144" s="64"/>
      <c r="BD144" s="64"/>
      <c r="BE144" s="64"/>
      <c r="BF144" s="64"/>
      <c r="BG144" s="64"/>
      <c r="BH144" s="64" t="s">
        <v>60</v>
      </c>
      <c r="BI144" s="64">
        <v>0</v>
      </c>
      <c r="BJ144" s="64">
        <v>6</v>
      </c>
      <c r="BK144" s="64">
        <v>8</v>
      </c>
      <c r="BL144" s="64">
        <v>10</v>
      </c>
      <c r="BM144" s="64">
        <v>12</v>
      </c>
      <c r="BN144" s="64">
        <v>14</v>
      </c>
      <c r="BO144" s="64">
        <v>16</v>
      </c>
      <c r="BP144" s="64">
        <v>18</v>
      </c>
      <c r="BQ144" s="64">
        <v>20</v>
      </c>
      <c r="BR144" s="64">
        <v>22</v>
      </c>
      <c r="BS144" s="64">
        <v>24</v>
      </c>
      <c r="BT144" s="64">
        <v>26</v>
      </c>
      <c r="BU144" s="64">
        <v>28</v>
      </c>
      <c r="BV144" s="64">
        <v>30</v>
      </c>
      <c r="BW144" s="64">
        <v>32</v>
      </c>
      <c r="BX144" s="64">
        <v>34</v>
      </c>
      <c r="BY144" s="64">
        <v>36</v>
      </c>
      <c r="BZ144" s="64">
        <v>38</v>
      </c>
      <c r="CA144" s="64">
        <v>40</v>
      </c>
      <c r="CB144" s="64">
        <v>42</v>
      </c>
      <c r="CC144" s="64">
        <v>44</v>
      </c>
      <c r="CD144" s="64">
        <v>46</v>
      </c>
      <c r="CE144" s="64">
        <v>48</v>
      </c>
      <c r="CF144" s="64">
        <v>50</v>
      </c>
      <c r="CG144" s="64"/>
      <c r="CH144" s="64"/>
      <c r="CI144" s="64"/>
      <c r="CJ144" s="64"/>
      <c r="CK144" s="64"/>
      <c r="CL144" s="64"/>
      <c r="CM144" s="64"/>
      <c r="CN144" s="64" t="s">
        <v>205</v>
      </c>
      <c r="CO144" s="64">
        <v>0</v>
      </c>
      <c r="CP144" s="64">
        <v>6</v>
      </c>
      <c r="CQ144" s="64">
        <v>8</v>
      </c>
      <c r="CR144" s="64">
        <v>10</v>
      </c>
      <c r="CS144" s="64">
        <v>12</v>
      </c>
      <c r="CT144" s="64">
        <v>14</v>
      </c>
      <c r="CU144" s="64">
        <v>16</v>
      </c>
      <c r="CV144" s="64">
        <v>18</v>
      </c>
      <c r="CW144" s="64">
        <v>20</v>
      </c>
      <c r="CX144" s="64">
        <v>22</v>
      </c>
      <c r="CY144" s="64">
        <v>24</v>
      </c>
      <c r="CZ144" s="64">
        <v>26</v>
      </c>
      <c r="DA144" s="64">
        <v>28</v>
      </c>
      <c r="DB144" s="64">
        <v>30</v>
      </c>
      <c r="DC144" s="64">
        <v>32</v>
      </c>
      <c r="DD144" s="64">
        <v>34</v>
      </c>
      <c r="DE144" s="64">
        <v>36</v>
      </c>
      <c r="DF144" s="64">
        <v>38</v>
      </c>
      <c r="DG144" s="64">
        <v>40</v>
      </c>
      <c r="DH144" s="64">
        <v>42</v>
      </c>
      <c r="DI144" s="64">
        <v>44</v>
      </c>
      <c r="DJ144" s="64">
        <v>46</v>
      </c>
      <c r="DK144" s="64">
        <v>48</v>
      </c>
      <c r="DL144" s="64">
        <v>50</v>
      </c>
      <c r="DM144" s="64"/>
      <c r="DN144" s="64"/>
      <c r="DO144" s="64"/>
      <c r="DP144" s="64"/>
      <c r="DQ144" s="80">
        <v>18</v>
      </c>
      <c r="DR144" s="80">
        <v>18</v>
      </c>
      <c r="DS144" s="80"/>
      <c r="DT144" s="64"/>
      <c r="DU144" s="64"/>
      <c r="DV144" s="64"/>
      <c r="DW144" s="64"/>
      <c r="DX144" s="64"/>
      <c r="DY144" s="64"/>
      <c r="DZ144" s="64"/>
      <c r="EA144" s="64"/>
      <c r="EB144" s="64"/>
      <c r="EC144" s="64"/>
      <c r="ED144" s="64"/>
      <c r="EE144" s="64"/>
      <c r="EF144" s="64"/>
      <c r="EG144" s="64"/>
      <c r="EH144" s="64"/>
      <c r="EI144" s="69"/>
      <c r="FL144" s="64"/>
      <c r="GJ144" s="64"/>
      <c r="GK144" s="64"/>
      <c r="GL144" s="70"/>
      <c r="GM144" s="64"/>
      <c r="GN144" s="64"/>
      <c r="GO144" s="64"/>
      <c r="GP144" s="64"/>
      <c r="GQ144" s="64"/>
      <c r="GR144" s="64"/>
      <c r="GS144" s="64"/>
      <c r="GT144" s="64"/>
      <c r="GU144" s="64"/>
      <c r="GV144" s="64"/>
      <c r="GW144" s="64"/>
      <c r="GX144" s="64"/>
      <c r="GY144" s="64"/>
      <c r="GZ144" s="64"/>
      <c r="HA144" s="64"/>
      <c r="HB144" s="64"/>
      <c r="HC144" s="64"/>
      <c r="HD144" s="64"/>
      <c r="HE144" s="64"/>
      <c r="HF144" s="64"/>
      <c r="HG144" s="64"/>
      <c r="HH144" s="64"/>
    </row>
    <row r="145" spans="1:216" x14ac:dyDescent="0.25">
      <c r="A145" s="8"/>
      <c r="B145" s="5" t="s">
        <v>61</v>
      </c>
      <c r="C145" s="8"/>
      <c r="D145" s="44" t="s">
        <v>521</v>
      </c>
      <c r="E145" s="9"/>
      <c r="F145" s="9"/>
      <c r="G145" s="9"/>
      <c r="H145" s="9"/>
      <c r="I145" s="9"/>
      <c r="J145" s="9"/>
      <c r="K145" s="9"/>
      <c r="L145" s="6" t="s">
        <v>364</v>
      </c>
      <c r="M145" s="11">
        <f>INDEX(cenník!$C$2:$I$568,MATCH($L145,cenník!$B$2:$B$557,0),MATCH(M$2,cenník!$C$1:$I$1,0))</f>
        <v>856105</v>
      </c>
      <c r="N145" s="11" t="str">
        <f>INDEX(cenník!$C$2:$I$568,MATCH($L145,cenník!$B$2:$B$557,0),MATCH(N$2,cenník!$C$1:$I$1,0))</f>
        <v>ks</v>
      </c>
      <c r="O145" s="11">
        <f>SUM(W124:W139)</f>
        <v>0</v>
      </c>
      <c r="P145" s="36">
        <f>INDEX(cenník!$C$2:$I$568,MATCH($L145,cenník!$B$2:$B$557,0),MATCH(P$2,cenník!$C$1:$I$1,0))</f>
        <v>7.54</v>
      </c>
      <c r="Q145" s="36">
        <f t="shared" si="339"/>
        <v>0</v>
      </c>
      <c r="R145" s="37">
        <f t="shared" si="326"/>
        <v>0</v>
      </c>
      <c r="S145" s="36">
        <f t="shared" si="325"/>
        <v>7.54</v>
      </c>
      <c r="T145" s="36">
        <f t="shared" si="340"/>
        <v>0</v>
      </c>
      <c r="U145" s="36">
        <f>INDEX(cenník!$C$2:$I$568,MATCH($L145,cenník!$B$2:$B$557,0),MATCH(U$2,cenník!$C$1:$I$1,0))*O145</f>
        <v>0</v>
      </c>
      <c r="V145" s="85"/>
      <c r="AC145" s="64"/>
      <c r="AD145" s="64"/>
      <c r="AE145" s="64"/>
      <c r="AF145" s="64"/>
      <c r="AG145" s="64"/>
      <c r="AH145" s="64"/>
      <c r="AI145" s="64"/>
      <c r="AJ145" s="64">
        <f>SUM(AJ141:AJ143)</f>
        <v>29700</v>
      </c>
      <c r="AK145" s="64"/>
      <c r="AL145" s="64">
        <f>SUM(AL141:AL144)</f>
        <v>888.34999999999991</v>
      </c>
      <c r="AM145" s="64"/>
      <c r="AQ145" s="64"/>
      <c r="AR145" s="64"/>
      <c r="AS145" s="64"/>
      <c r="AT145" s="64"/>
      <c r="AU145" s="64"/>
      <c r="AV145" s="64"/>
      <c r="AW145" s="64"/>
      <c r="AX145" s="64"/>
      <c r="AY145" s="64"/>
      <c r="AZ145" s="64"/>
      <c r="BA145" s="64"/>
      <c r="BB145" s="64"/>
      <c r="BC145" s="64"/>
      <c r="BD145" s="64"/>
      <c r="BE145" s="64"/>
      <c r="BF145" s="64"/>
      <c r="BG145" s="64"/>
      <c r="BH145" s="64" t="s">
        <v>104</v>
      </c>
      <c r="BI145" s="64">
        <v>0</v>
      </c>
      <c r="BJ145" s="64">
        <v>0</v>
      </c>
      <c r="BK145" s="64">
        <v>0</v>
      </c>
      <c r="BL145" s="64">
        <v>4</v>
      </c>
      <c r="BM145" s="64">
        <v>4</v>
      </c>
      <c r="BN145" s="64">
        <v>0</v>
      </c>
      <c r="BO145" s="64">
        <v>4</v>
      </c>
      <c r="BP145" s="64">
        <v>4</v>
      </c>
      <c r="BQ145" s="64">
        <v>4</v>
      </c>
      <c r="BR145" s="64">
        <v>0</v>
      </c>
      <c r="BS145" s="64">
        <v>8</v>
      </c>
      <c r="BT145" s="64">
        <v>4</v>
      </c>
      <c r="BU145" s="64">
        <v>4</v>
      </c>
      <c r="BV145" s="64">
        <v>8</v>
      </c>
      <c r="BW145" s="64">
        <v>4</v>
      </c>
      <c r="BX145" s="64">
        <v>4</v>
      </c>
      <c r="BY145" s="64">
        <v>12</v>
      </c>
      <c r="BZ145" s="64">
        <v>8</v>
      </c>
      <c r="CA145" s="64">
        <v>8</v>
      </c>
      <c r="CB145" s="64">
        <v>12</v>
      </c>
      <c r="CC145" s="64">
        <v>12</v>
      </c>
      <c r="CD145" s="64">
        <v>8</v>
      </c>
      <c r="CE145" s="64">
        <v>12</v>
      </c>
      <c r="CF145" s="64">
        <v>12</v>
      </c>
      <c r="CG145" s="64"/>
      <c r="CH145" s="64"/>
      <c r="CI145" s="64"/>
      <c r="CJ145" s="64"/>
      <c r="CK145" s="64"/>
      <c r="CL145" s="64"/>
      <c r="CM145" s="64"/>
      <c r="CN145" s="64" t="s">
        <v>104</v>
      </c>
      <c r="CO145" s="64">
        <v>0</v>
      </c>
      <c r="CP145" s="64">
        <v>0</v>
      </c>
      <c r="CQ145" s="64">
        <v>4</v>
      </c>
      <c r="CR145" s="64">
        <v>4</v>
      </c>
      <c r="CS145" s="64">
        <v>0</v>
      </c>
      <c r="CT145" s="64">
        <v>0</v>
      </c>
      <c r="CU145" s="64">
        <v>4</v>
      </c>
      <c r="CV145" s="64">
        <v>4</v>
      </c>
      <c r="CW145" s="64">
        <v>0</v>
      </c>
      <c r="CX145" s="64">
        <v>8</v>
      </c>
      <c r="CY145" s="64">
        <v>4</v>
      </c>
      <c r="CZ145" s="64">
        <v>4</v>
      </c>
      <c r="DA145" s="64">
        <v>8</v>
      </c>
      <c r="DB145" s="64">
        <v>4</v>
      </c>
      <c r="DC145" s="64">
        <v>12</v>
      </c>
      <c r="DD145" s="64">
        <v>8</v>
      </c>
      <c r="DE145" s="64">
        <v>8</v>
      </c>
      <c r="DF145" s="64">
        <v>12</v>
      </c>
      <c r="DG145" s="64">
        <v>12</v>
      </c>
      <c r="DH145" s="64">
        <v>8</v>
      </c>
      <c r="DI145" s="64">
        <v>16</v>
      </c>
      <c r="DJ145" s="64">
        <v>12</v>
      </c>
      <c r="DK145" s="64">
        <v>12</v>
      </c>
      <c r="DL145" s="64">
        <v>16</v>
      </c>
      <c r="DM145" s="64"/>
      <c r="DN145" s="64"/>
      <c r="DO145" s="64"/>
      <c r="DP145" s="64"/>
      <c r="DQ145" s="80">
        <v>20</v>
      </c>
      <c r="DR145" s="80">
        <v>20</v>
      </c>
      <c r="DS145" s="80"/>
      <c r="DT145" s="64"/>
      <c r="DU145" s="64"/>
      <c r="DV145" s="64"/>
      <c r="DW145" s="64"/>
      <c r="DX145" s="64"/>
      <c r="DY145" s="64"/>
      <c r="DZ145" s="64"/>
      <c r="EA145" s="64"/>
      <c r="EB145" s="64"/>
      <c r="EC145" s="64"/>
      <c r="ED145" s="64"/>
      <c r="EE145" s="64"/>
      <c r="EF145" s="64"/>
      <c r="EG145" s="64"/>
      <c r="EH145" s="64"/>
      <c r="EI145" s="69"/>
      <c r="EK145" s="64" t="s">
        <v>60</v>
      </c>
      <c r="EL145" s="64">
        <v>0</v>
      </c>
      <c r="EM145" s="64">
        <v>6</v>
      </c>
      <c r="EN145" s="64">
        <v>8</v>
      </c>
      <c r="EO145" s="64">
        <v>10</v>
      </c>
      <c r="EP145" s="64">
        <v>12</v>
      </c>
      <c r="EQ145" s="64">
        <v>14</v>
      </c>
      <c r="ER145" s="64">
        <v>16</v>
      </c>
      <c r="ES145" s="64">
        <v>18</v>
      </c>
      <c r="ET145" s="64">
        <v>20</v>
      </c>
      <c r="EU145" s="64">
        <v>22</v>
      </c>
      <c r="EV145" s="64">
        <v>24</v>
      </c>
      <c r="EW145" s="64">
        <v>26</v>
      </c>
      <c r="EX145" s="64">
        <v>28</v>
      </c>
      <c r="EY145" s="64">
        <v>30</v>
      </c>
      <c r="EZ145" s="64">
        <v>32</v>
      </c>
      <c r="FA145" s="64">
        <v>34</v>
      </c>
      <c r="FB145" s="64">
        <v>36</v>
      </c>
      <c r="FC145" s="64">
        <v>38</v>
      </c>
      <c r="FD145" s="64">
        <v>40</v>
      </c>
      <c r="FE145" s="64">
        <v>42</v>
      </c>
      <c r="FF145" s="64">
        <v>44</v>
      </c>
      <c r="FG145" s="64">
        <v>46</v>
      </c>
      <c r="FH145" s="64">
        <v>48</v>
      </c>
      <c r="FI145" s="64">
        <v>50</v>
      </c>
      <c r="FJ145" s="64"/>
      <c r="FK145" s="64" t="s">
        <v>205</v>
      </c>
      <c r="FL145" s="64">
        <v>0</v>
      </c>
      <c r="FM145" s="64">
        <v>6</v>
      </c>
      <c r="FN145" s="64">
        <v>8</v>
      </c>
      <c r="FO145" s="64">
        <v>10</v>
      </c>
      <c r="FP145" s="64">
        <v>12</v>
      </c>
      <c r="FQ145" s="64">
        <v>14</v>
      </c>
      <c r="FR145" s="64">
        <v>16</v>
      </c>
      <c r="FS145" s="64">
        <v>18</v>
      </c>
      <c r="FT145" s="64">
        <v>20</v>
      </c>
      <c r="FU145" s="64">
        <v>22</v>
      </c>
      <c r="FV145" s="64">
        <v>24</v>
      </c>
      <c r="FW145" s="64">
        <v>26</v>
      </c>
      <c r="FX145" s="64">
        <v>28</v>
      </c>
      <c r="FY145" s="64">
        <v>30</v>
      </c>
      <c r="FZ145" s="64">
        <v>32</v>
      </c>
      <c r="GA145" s="64">
        <v>34</v>
      </c>
      <c r="GB145" s="64">
        <v>36</v>
      </c>
      <c r="GC145" s="64">
        <v>38</v>
      </c>
      <c r="GD145" s="64">
        <v>40</v>
      </c>
      <c r="GE145" s="64">
        <v>42</v>
      </c>
      <c r="GF145" s="64">
        <v>44</v>
      </c>
      <c r="GG145" s="64">
        <v>46</v>
      </c>
      <c r="GH145" s="64">
        <v>48</v>
      </c>
      <c r="GI145" s="64">
        <v>50</v>
      </c>
      <c r="GJ145" s="64"/>
      <c r="GK145" s="64"/>
      <c r="GL145" s="70"/>
      <c r="GM145" s="64"/>
      <c r="GN145" s="64"/>
      <c r="GO145" s="64"/>
      <c r="GP145" s="64"/>
      <c r="GQ145" s="64"/>
      <c r="GR145" s="64"/>
      <c r="GS145" s="64"/>
      <c r="GT145" s="64"/>
      <c r="GU145" s="64"/>
      <c r="GV145" s="64"/>
      <c r="GW145" s="64"/>
      <c r="GX145" s="64"/>
      <c r="GY145" s="64"/>
      <c r="GZ145" s="64"/>
      <c r="HA145" s="64"/>
      <c r="HB145" s="64"/>
      <c r="HC145" s="64"/>
      <c r="HD145" s="64"/>
      <c r="HE145" s="64"/>
      <c r="HF145" s="64"/>
      <c r="HG145" s="64"/>
      <c r="HH145" s="64"/>
    </row>
    <row r="146" spans="1:216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>
        <f>INDEX(cenník!$C$2:$I$568,MATCH($L146,cenník!$B$2:$B$557,0),MATCH(M$2,cenník!$C$1:$I$1,0))</f>
        <v>897340</v>
      </c>
      <c r="N146" s="11" t="str">
        <f>INDEX(cenník!$C$2:$I$568,MATCH($L146,cenník!$B$2:$B$557,0),MATCH(N$2,cenník!$C$1:$I$1,0))</f>
        <v>ks</v>
      </c>
      <c r="O146" s="11">
        <f>SUM((C130*12),(C131*12),(C132*12),(C133*12),(C134*12),(C135*12),(C136*12),(C137*12),(C138*12),(C139*12),(C140*12),(C141*12),(C142*12),(C143*12),(C144*12),(C145*12))</f>
        <v>0</v>
      </c>
      <c r="P146" s="36">
        <f>INDEX(cenník!$C$2:$I$568,MATCH($L146,cenník!$B$2:$B$557,0),MATCH(P$2,cenník!$C$1:$I$1,0))</f>
        <v>0.62</v>
      </c>
      <c r="Q146" s="36">
        <f t="shared" si="339"/>
        <v>0</v>
      </c>
      <c r="R146" s="37">
        <f t="shared" si="326"/>
        <v>0</v>
      </c>
      <c r="S146" s="36">
        <f t="shared" si="325"/>
        <v>0.62</v>
      </c>
      <c r="T146" s="36">
        <f t="shared" si="340"/>
        <v>0</v>
      </c>
      <c r="U146" s="36">
        <f>INDEX(cenník!$C$2:$I$568,MATCH($L146,cenník!$B$2:$B$557,0),MATCH(U$2,cenník!$C$1:$I$1,0))*O146</f>
        <v>0</v>
      </c>
      <c r="V146" s="85"/>
      <c r="AC146" s="64"/>
      <c r="AD146" s="64"/>
      <c r="AE146" s="64"/>
      <c r="AF146" s="64"/>
      <c r="AG146" s="64"/>
      <c r="AH146" s="64">
        <f>(AB152-1)*3000</f>
        <v>30000</v>
      </c>
      <c r="AI146" s="64"/>
      <c r="AJ146" s="64"/>
      <c r="AK146" s="64"/>
      <c r="AL146" s="64"/>
      <c r="AM146" s="64"/>
      <c r="AQ146" s="64"/>
      <c r="AR146" s="64"/>
      <c r="AS146" s="64"/>
      <c r="AT146" s="64"/>
      <c r="AU146" s="64"/>
      <c r="AV146" s="64"/>
      <c r="AW146" s="64"/>
      <c r="AX146" s="64"/>
      <c r="AY146" s="64"/>
      <c r="AZ146" s="64"/>
      <c r="BA146" s="64"/>
      <c r="BB146" s="64"/>
      <c r="BC146" s="64"/>
      <c r="BD146" s="64"/>
      <c r="BE146" s="64"/>
      <c r="BF146" s="64"/>
      <c r="BG146" s="64"/>
      <c r="BH146" s="64" t="s">
        <v>103</v>
      </c>
      <c r="BI146" s="64">
        <v>0</v>
      </c>
      <c r="BJ146" s="64">
        <v>0</v>
      </c>
      <c r="BK146" s="64">
        <v>4</v>
      </c>
      <c r="BL146" s="64">
        <v>0</v>
      </c>
      <c r="BM146" s="64">
        <v>0</v>
      </c>
      <c r="BN146" s="64">
        <v>4</v>
      </c>
      <c r="BO146" s="64">
        <v>0</v>
      </c>
      <c r="BP146" s="64">
        <v>0</v>
      </c>
      <c r="BQ146" s="64">
        <v>4</v>
      </c>
      <c r="BR146" s="64">
        <v>8</v>
      </c>
      <c r="BS146" s="64">
        <v>0</v>
      </c>
      <c r="BT146" s="64">
        <v>8</v>
      </c>
      <c r="BU146" s="64">
        <v>8</v>
      </c>
      <c r="BV146" s="64">
        <v>0</v>
      </c>
      <c r="BW146" s="64">
        <v>8</v>
      </c>
      <c r="BX146" s="64">
        <v>8</v>
      </c>
      <c r="BY146" s="64">
        <v>0</v>
      </c>
      <c r="BZ146" s="64">
        <v>8</v>
      </c>
      <c r="CA146" s="64">
        <v>8</v>
      </c>
      <c r="CB146" s="64">
        <v>4</v>
      </c>
      <c r="CC146" s="64">
        <v>4</v>
      </c>
      <c r="CD146" s="64">
        <v>8</v>
      </c>
      <c r="CE146" s="64">
        <v>4</v>
      </c>
      <c r="CF146" s="64">
        <v>4</v>
      </c>
      <c r="CG146" s="64"/>
      <c r="CH146" s="64"/>
      <c r="CI146" s="64"/>
      <c r="CJ146" s="64"/>
      <c r="CK146" s="64"/>
      <c r="CL146" s="64"/>
      <c r="CM146" s="64"/>
      <c r="CN146" s="64" t="s">
        <v>103</v>
      </c>
      <c r="CO146" s="64">
        <v>0</v>
      </c>
      <c r="CP146" s="64">
        <v>4</v>
      </c>
      <c r="CQ146" s="64">
        <v>0</v>
      </c>
      <c r="CR146" s="64">
        <v>0</v>
      </c>
      <c r="CS146" s="64">
        <v>4</v>
      </c>
      <c r="CT146" s="64">
        <v>8</v>
      </c>
      <c r="CU146" s="64">
        <v>0</v>
      </c>
      <c r="CV146" s="64">
        <v>4</v>
      </c>
      <c r="CW146" s="64">
        <v>8</v>
      </c>
      <c r="CX146" s="64">
        <v>0</v>
      </c>
      <c r="CY146" s="64">
        <v>4</v>
      </c>
      <c r="CZ146" s="64">
        <v>8</v>
      </c>
      <c r="DA146" s="64">
        <v>0</v>
      </c>
      <c r="DB146" s="64">
        <v>8</v>
      </c>
      <c r="DC146" s="64">
        <v>0</v>
      </c>
      <c r="DD146" s="64">
        <v>4</v>
      </c>
      <c r="DE146" s="64">
        <v>8</v>
      </c>
      <c r="DF146" s="64">
        <v>0</v>
      </c>
      <c r="DG146" s="64">
        <v>4</v>
      </c>
      <c r="DH146" s="64">
        <v>8</v>
      </c>
      <c r="DI146" s="64">
        <v>0</v>
      </c>
      <c r="DJ146" s="64">
        <v>4</v>
      </c>
      <c r="DK146" s="64">
        <v>8</v>
      </c>
      <c r="DL146" s="64">
        <v>0</v>
      </c>
      <c r="DM146" s="64"/>
      <c r="DN146" s="64"/>
      <c r="DO146" s="64"/>
      <c r="DP146" s="64"/>
      <c r="DQ146" s="80">
        <v>22</v>
      </c>
      <c r="DR146" s="80">
        <v>22</v>
      </c>
      <c r="DS146" s="80"/>
      <c r="DT146" s="64"/>
      <c r="DU146" s="64"/>
      <c r="DV146" s="64"/>
      <c r="DW146" s="64"/>
      <c r="DX146" s="64"/>
      <c r="DY146" s="64"/>
      <c r="DZ146" s="64"/>
      <c r="EA146" s="64"/>
      <c r="EB146" s="64"/>
      <c r="EC146" s="64"/>
      <c r="ED146" s="64"/>
      <c r="EE146" s="64"/>
      <c r="EF146" s="64"/>
      <c r="EG146" s="64"/>
      <c r="EH146" s="64"/>
      <c r="EI146" s="69"/>
      <c r="EK146" s="64" t="s">
        <v>286</v>
      </c>
      <c r="EL146" s="64">
        <v>0</v>
      </c>
      <c r="EM146" s="64">
        <v>0</v>
      </c>
      <c r="EN146" s="64">
        <v>0</v>
      </c>
      <c r="EO146" s="64">
        <v>4</v>
      </c>
      <c r="EP146" s="64">
        <v>0</v>
      </c>
      <c r="EQ146" s="64">
        <v>0</v>
      </c>
      <c r="ER146" s="64">
        <v>0</v>
      </c>
      <c r="ES146" s="64">
        <v>0</v>
      </c>
      <c r="ET146" s="64">
        <v>0</v>
      </c>
      <c r="EU146" s="64">
        <v>0</v>
      </c>
      <c r="EV146" s="64">
        <v>0</v>
      </c>
      <c r="EW146" s="64">
        <v>0</v>
      </c>
      <c r="EX146" s="64">
        <v>0</v>
      </c>
      <c r="EY146" s="64">
        <v>0</v>
      </c>
      <c r="EZ146" s="64">
        <v>0</v>
      </c>
      <c r="FA146" s="64">
        <v>0</v>
      </c>
      <c r="FB146" s="64">
        <v>0</v>
      </c>
      <c r="FC146" s="64">
        <v>0</v>
      </c>
      <c r="FD146" s="64">
        <v>0</v>
      </c>
      <c r="FE146" s="64">
        <v>0</v>
      </c>
      <c r="FF146" s="64">
        <v>0</v>
      </c>
      <c r="FG146" s="64">
        <v>0</v>
      </c>
      <c r="FH146" s="64">
        <v>0</v>
      </c>
      <c r="FI146" s="64">
        <v>0</v>
      </c>
      <c r="FK146" s="64" t="s">
        <v>286</v>
      </c>
      <c r="FL146" s="64">
        <v>0</v>
      </c>
      <c r="FM146" s="64">
        <v>0</v>
      </c>
      <c r="FN146" s="64">
        <v>4</v>
      </c>
      <c r="FO146" s="64">
        <v>4</v>
      </c>
      <c r="FP146" s="64">
        <v>0</v>
      </c>
      <c r="FQ146" s="64">
        <v>0</v>
      </c>
      <c r="FR146" s="64">
        <v>0</v>
      </c>
      <c r="FS146" s="64">
        <v>0</v>
      </c>
      <c r="FT146" s="64">
        <v>0</v>
      </c>
      <c r="FU146" s="64">
        <v>0</v>
      </c>
      <c r="FV146" s="64">
        <v>0</v>
      </c>
      <c r="FW146" s="64">
        <v>0</v>
      </c>
      <c r="FX146" s="64">
        <v>0</v>
      </c>
      <c r="FY146" s="64">
        <v>0</v>
      </c>
      <c r="FZ146" s="64">
        <v>0</v>
      </c>
      <c r="GA146" s="64">
        <v>0</v>
      </c>
      <c r="GB146" s="64">
        <v>0</v>
      </c>
      <c r="GC146" s="64">
        <v>0</v>
      </c>
      <c r="GD146" s="64">
        <v>0</v>
      </c>
      <c r="GE146" s="64">
        <v>0</v>
      </c>
      <c r="GF146" s="64">
        <v>0</v>
      </c>
      <c r="GG146" s="64">
        <v>0</v>
      </c>
      <c r="GH146" s="64">
        <v>0</v>
      </c>
      <c r="GI146" s="64">
        <v>0</v>
      </c>
      <c r="GJ146" s="64"/>
      <c r="GK146" s="64"/>
      <c r="GL146" s="70"/>
      <c r="GM146" s="64"/>
      <c r="GN146" s="64"/>
      <c r="GO146" s="64"/>
      <c r="GP146" s="64"/>
      <c r="GQ146" s="64"/>
      <c r="GR146" s="64"/>
      <c r="GS146" s="64"/>
      <c r="GT146" s="64"/>
      <c r="GU146" s="64"/>
      <c r="GV146" s="64"/>
      <c r="GW146" s="64"/>
      <c r="GX146" s="64"/>
      <c r="GY146" s="64"/>
      <c r="GZ146" s="64"/>
      <c r="HA146" s="64"/>
      <c r="HB146" s="64"/>
      <c r="HC146" s="64"/>
      <c r="HD146" s="64"/>
      <c r="HE146" s="64"/>
      <c r="HF146" s="64"/>
      <c r="HG146" s="64"/>
      <c r="HH146" s="64"/>
    </row>
    <row r="147" spans="1:216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>
        <f>INDEX(cenník!$C$2:$I$568,MATCH($L147,cenník!$B$2:$B$557,0),MATCH(M$2,cenník!$C$1:$I$1,0))</f>
        <v>897300</v>
      </c>
      <c r="N147" s="11" t="str">
        <f>INDEX(cenník!$C$2:$I$568,MATCH($L147,cenník!$B$2:$B$557,0),MATCH(N$2,cenník!$C$1:$I$1,0))</f>
        <v>ks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6">
        <f>INDEX(cenník!$C$2:$I$568,MATCH($L147,cenník!$B$2:$B$557,0),MATCH(P$2,cenník!$C$1:$I$1,0))</f>
        <v>0.56999999999999995</v>
      </c>
      <c r="Q147" s="36">
        <f t="shared" si="339"/>
        <v>0</v>
      </c>
      <c r="R147" s="37">
        <f t="shared" si="326"/>
        <v>0</v>
      </c>
      <c r="S147" s="36">
        <f t="shared" si="325"/>
        <v>0.56999999999999995</v>
      </c>
      <c r="T147" s="36">
        <f t="shared" si="340"/>
        <v>0</v>
      </c>
      <c r="U147" s="36">
        <f>INDEX(cenník!$C$2:$I$568,MATCH($L147,cenník!$B$2:$B$557,0),MATCH(U$2,cenník!$C$1:$I$1,0))*O147</f>
        <v>0</v>
      </c>
      <c r="V147" s="85"/>
      <c r="AC147" s="64"/>
      <c r="AD147" s="64"/>
      <c r="AE147" s="64"/>
      <c r="AF147" s="64"/>
      <c r="AG147" s="64"/>
      <c r="AH147" s="64"/>
      <c r="AI147" s="64"/>
      <c r="AJ147" s="64"/>
      <c r="AK147" s="64"/>
      <c r="AL147" s="64"/>
      <c r="AM147" s="64"/>
      <c r="AQ147" s="64"/>
      <c r="AR147" s="64"/>
      <c r="AS147" s="64"/>
      <c r="AT147" s="64"/>
      <c r="AU147" s="64"/>
      <c r="AV147" s="64"/>
      <c r="AW147" s="64"/>
      <c r="AX147" s="64"/>
      <c r="AY147" s="64"/>
      <c r="AZ147" s="64"/>
      <c r="BA147" s="64"/>
      <c r="BB147" s="64"/>
      <c r="BC147" s="64"/>
      <c r="BD147" s="64"/>
      <c r="BE147" s="64"/>
      <c r="BF147" s="64"/>
      <c r="BG147" s="64"/>
      <c r="BH147" s="64" t="s">
        <v>16</v>
      </c>
      <c r="BI147" s="64">
        <v>0</v>
      </c>
      <c r="BJ147" s="64">
        <v>4</v>
      </c>
      <c r="BK147" s="64">
        <v>0</v>
      </c>
      <c r="BL147" s="64">
        <v>0</v>
      </c>
      <c r="BM147" s="64">
        <v>0</v>
      </c>
      <c r="BN147" s="64">
        <v>4</v>
      </c>
      <c r="BO147" s="64">
        <v>4</v>
      </c>
      <c r="BP147" s="64">
        <v>4</v>
      </c>
      <c r="BQ147" s="64">
        <v>0</v>
      </c>
      <c r="BR147" s="64">
        <v>4</v>
      </c>
      <c r="BS147" s="64">
        <v>0</v>
      </c>
      <c r="BT147" s="64">
        <v>0</v>
      </c>
      <c r="BU147" s="64">
        <v>0</v>
      </c>
      <c r="BV147" s="64">
        <v>4</v>
      </c>
      <c r="BW147" s="64">
        <v>4</v>
      </c>
      <c r="BX147" s="64">
        <v>4</v>
      </c>
      <c r="BY147" s="64">
        <v>0</v>
      </c>
      <c r="BZ147" s="64">
        <v>0</v>
      </c>
      <c r="CA147" s="64">
        <v>0</v>
      </c>
      <c r="CB147" s="64">
        <v>0</v>
      </c>
      <c r="CC147" s="64">
        <v>0</v>
      </c>
      <c r="CD147" s="64">
        <v>4</v>
      </c>
      <c r="CE147" s="64">
        <v>4</v>
      </c>
      <c r="CF147" s="64">
        <v>4</v>
      </c>
      <c r="CG147" s="64"/>
      <c r="CH147" s="64"/>
      <c r="CI147" s="64"/>
      <c r="CJ147" s="64"/>
      <c r="CK147" s="64"/>
      <c r="CL147" s="64"/>
      <c r="CM147" s="64"/>
      <c r="CN147" s="64" t="s">
        <v>16</v>
      </c>
      <c r="CO147" s="64">
        <v>0</v>
      </c>
      <c r="CP147" s="64">
        <v>0</v>
      </c>
      <c r="CQ147" s="64">
        <v>0</v>
      </c>
      <c r="CR147" s="64">
        <v>0</v>
      </c>
      <c r="CS147" s="64">
        <v>4</v>
      </c>
      <c r="CT147" s="64">
        <v>0</v>
      </c>
      <c r="CU147" s="64">
        <v>4</v>
      </c>
      <c r="CV147" s="64">
        <v>0</v>
      </c>
      <c r="CW147" s="64">
        <v>4</v>
      </c>
      <c r="CX147" s="64">
        <v>0</v>
      </c>
      <c r="CY147" s="64">
        <v>4</v>
      </c>
      <c r="CZ147" s="64">
        <v>0</v>
      </c>
      <c r="DA147" s="64">
        <v>4</v>
      </c>
      <c r="DB147" s="64">
        <v>4</v>
      </c>
      <c r="DC147" s="64">
        <v>0</v>
      </c>
      <c r="DD147" s="64">
        <v>4</v>
      </c>
      <c r="DE147" s="64">
        <v>0</v>
      </c>
      <c r="DF147" s="64">
        <v>4</v>
      </c>
      <c r="DG147" s="64">
        <v>0</v>
      </c>
      <c r="DH147" s="64">
        <v>4</v>
      </c>
      <c r="DI147" s="64">
        <v>0</v>
      </c>
      <c r="DJ147" s="64">
        <v>4</v>
      </c>
      <c r="DK147" s="64">
        <v>0</v>
      </c>
      <c r="DL147" s="64">
        <v>4</v>
      </c>
      <c r="DM147" s="64"/>
      <c r="DN147" s="64"/>
      <c r="DO147" s="64"/>
      <c r="DP147" s="64"/>
      <c r="DQ147" s="80">
        <v>24</v>
      </c>
      <c r="DR147" s="80">
        <v>24</v>
      </c>
      <c r="DS147" s="80"/>
      <c r="DT147" s="64"/>
      <c r="DU147" s="64"/>
      <c r="DV147" s="64"/>
      <c r="DW147" s="64"/>
      <c r="DX147" s="64"/>
      <c r="DY147" s="64"/>
      <c r="DZ147" s="64"/>
      <c r="EA147" s="64"/>
      <c r="EB147" s="64"/>
      <c r="EC147" s="64"/>
      <c r="ED147" s="64"/>
      <c r="EE147" s="64"/>
      <c r="EF147" s="64"/>
      <c r="EG147" s="64"/>
      <c r="EH147" s="64"/>
      <c r="EI147" s="69"/>
      <c r="EK147" s="64" t="s">
        <v>240</v>
      </c>
      <c r="EL147" s="64">
        <v>0</v>
      </c>
      <c r="EM147" s="64">
        <f>BJ146</f>
        <v>0</v>
      </c>
      <c r="EN147" s="64">
        <f>BK146</f>
        <v>4</v>
      </c>
      <c r="EO147" s="64">
        <v>0</v>
      </c>
      <c r="EP147" s="64">
        <f t="shared" ref="EP147:FI147" si="345">BM146</f>
        <v>0</v>
      </c>
      <c r="EQ147" s="64">
        <f t="shared" si="345"/>
        <v>4</v>
      </c>
      <c r="ER147" s="64">
        <f t="shared" si="345"/>
        <v>0</v>
      </c>
      <c r="ES147" s="64">
        <f t="shared" si="345"/>
        <v>0</v>
      </c>
      <c r="ET147" s="64">
        <f t="shared" si="345"/>
        <v>4</v>
      </c>
      <c r="EU147" s="64">
        <f t="shared" si="345"/>
        <v>8</v>
      </c>
      <c r="EV147" s="64">
        <f t="shared" si="345"/>
        <v>0</v>
      </c>
      <c r="EW147" s="64">
        <f t="shared" si="345"/>
        <v>8</v>
      </c>
      <c r="EX147" s="64">
        <f t="shared" si="345"/>
        <v>8</v>
      </c>
      <c r="EY147" s="64">
        <f t="shared" si="345"/>
        <v>0</v>
      </c>
      <c r="EZ147" s="64">
        <f t="shared" si="345"/>
        <v>8</v>
      </c>
      <c r="FA147" s="64">
        <f t="shared" si="345"/>
        <v>8</v>
      </c>
      <c r="FB147" s="64">
        <f t="shared" si="345"/>
        <v>0</v>
      </c>
      <c r="FC147" s="64">
        <f t="shared" si="345"/>
        <v>8</v>
      </c>
      <c r="FD147" s="64">
        <f t="shared" si="345"/>
        <v>8</v>
      </c>
      <c r="FE147" s="64">
        <f t="shared" si="345"/>
        <v>4</v>
      </c>
      <c r="FF147" s="64">
        <f t="shared" si="345"/>
        <v>4</v>
      </c>
      <c r="FG147" s="64">
        <f t="shared" si="345"/>
        <v>8</v>
      </c>
      <c r="FH147" s="64">
        <f t="shared" si="345"/>
        <v>4</v>
      </c>
      <c r="FI147" s="64">
        <f t="shared" si="345"/>
        <v>4</v>
      </c>
      <c r="FJ147" s="64"/>
      <c r="FK147" s="64" t="s">
        <v>240</v>
      </c>
      <c r="FL147" s="64">
        <v>0</v>
      </c>
      <c r="FM147" s="64">
        <f>CP146</f>
        <v>4</v>
      </c>
      <c r="FN147" s="64">
        <v>0</v>
      </c>
      <c r="FO147" s="64">
        <v>0</v>
      </c>
      <c r="FP147" s="64">
        <f t="shared" ref="FP147:GI147" si="346">CS146</f>
        <v>4</v>
      </c>
      <c r="FQ147" s="64">
        <f t="shared" si="346"/>
        <v>8</v>
      </c>
      <c r="FR147" s="64">
        <f t="shared" si="346"/>
        <v>0</v>
      </c>
      <c r="FS147" s="64">
        <f t="shared" si="346"/>
        <v>4</v>
      </c>
      <c r="FT147" s="64">
        <f t="shared" si="346"/>
        <v>8</v>
      </c>
      <c r="FU147" s="64">
        <f t="shared" si="346"/>
        <v>0</v>
      </c>
      <c r="FV147" s="64">
        <f t="shared" si="346"/>
        <v>4</v>
      </c>
      <c r="FW147" s="64">
        <f t="shared" si="346"/>
        <v>8</v>
      </c>
      <c r="FX147" s="64">
        <f t="shared" si="346"/>
        <v>0</v>
      </c>
      <c r="FY147" s="64">
        <f t="shared" si="346"/>
        <v>8</v>
      </c>
      <c r="FZ147" s="64">
        <f t="shared" si="346"/>
        <v>0</v>
      </c>
      <c r="GA147" s="64">
        <f t="shared" si="346"/>
        <v>4</v>
      </c>
      <c r="GB147" s="64">
        <f t="shared" si="346"/>
        <v>8</v>
      </c>
      <c r="GC147" s="64">
        <f t="shared" si="346"/>
        <v>0</v>
      </c>
      <c r="GD147" s="64">
        <f t="shared" si="346"/>
        <v>4</v>
      </c>
      <c r="GE147" s="64">
        <f t="shared" si="346"/>
        <v>8</v>
      </c>
      <c r="GF147" s="64">
        <f t="shared" si="346"/>
        <v>0</v>
      </c>
      <c r="GG147" s="64">
        <f t="shared" si="346"/>
        <v>4</v>
      </c>
      <c r="GH147" s="64">
        <f t="shared" si="346"/>
        <v>8</v>
      </c>
      <c r="GI147" s="64">
        <f t="shared" si="346"/>
        <v>0</v>
      </c>
      <c r="GJ147" s="64"/>
      <c r="GK147" s="64"/>
      <c r="GL147" s="70"/>
      <c r="GM147" s="64"/>
      <c r="GN147" s="64"/>
      <c r="GO147" s="64"/>
      <c r="GP147" s="64"/>
      <c r="GQ147" s="64"/>
      <c r="GR147" s="64"/>
      <c r="GS147" s="64"/>
      <c r="GT147" s="64"/>
      <c r="GU147" s="64"/>
      <c r="GV147" s="64"/>
      <c r="GW147" s="64"/>
      <c r="GX147" s="64"/>
      <c r="GY147" s="64"/>
      <c r="GZ147" s="64"/>
      <c r="HA147" s="64"/>
      <c r="HB147" s="64"/>
      <c r="HC147" s="64"/>
      <c r="HD147" s="64"/>
      <c r="HE147" s="64"/>
      <c r="HF147" s="64"/>
      <c r="HG147" s="64"/>
      <c r="HH147" s="64"/>
    </row>
    <row r="148" spans="1:216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>
        <f>INDEX(cenník!$C$2:$I$568,MATCH($L148,cenník!$B$2:$B$557,0),MATCH(M$2,cenník!$C$1:$I$1,0))</f>
        <v>898535</v>
      </c>
      <c r="N148" s="11" t="str">
        <f>INDEX(cenník!$C$2:$I$568,MATCH($L148,cenník!$B$2:$B$557,0),MATCH(N$2,cenník!$C$1:$I$1,0))</f>
        <v>ks</v>
      </c>
      <c r="O148" s="11">
        <f>IF(L148="-------",0,SUM(O146:O147))</f>
        <v>0</v>
      </c>
      <c r="P148" s="36">
        <f>INDEX(cenník!$C$2:$I$568,MATCH($L148,cenník!$B$2:$B$557,0),MATCH(P$2,cenník!$C$1:$I$1,0))</f>
        <v>0.21</v>
      </c>
      <c r="Q148" s="36">
        <f t="shared" si="339"/>
        <v>0</v>
      </c>
      <c r="R148" s="37">
        <f t="shared" si="326"/>
        <v>0</v>
      </c>
      <c r="S148" s="36">
        <f t="shared" si="325"/>
        <v>0.21</v>
      </c>
      <c r="T148" s="36">
        <f t="shared" si="340"/>
        <v>0</v>
      </c>
      <c r="U148" s="36">
        <f>INDEX(cenník!$C$2:$I$568,MATCH($L148,cenník!$B$2:$B$557,0),MATCH(U$2,cenník!$C$1:$I$1,0))*O148</f>
        <v>0</v>
      </c>
      <c r="V148" s="85"/>
      <c r="AC148" s="64"/>
      <c r="AD148" s="64"/>
      <c r="AE148" s="64"/>
      <c r="AF148" s="64"/>
      <c r="AG148" s="64"/>
      <c r="AH148" s="64"/>
      <c r="AI148" s="64"/>
      <c r="AJ148" s="64"/>
      <c r="AK148" s="64"/>
      <c r="AL148" s="64"/>
      <c r="AM148" s="64"/>
      <c r="AQ148" s="64"/>
      <c r="AR148" s="64"/>
      <c r="AS148" s="64"/>
      <c r="AT148" s="64"/>
      <c r="AU148" s="64"/>
      <c r="AV148" s="64"/>
      <c r="AW148" s="64"/>
      <c r="AX148" s="64"/>
      <c r="AY148" s="64"/>
      <c r="AZ148" s="64"/>
      <c r="BA148" s="64"/>
      <c r="BB148" s="64"/>
      <c r="BC148" s="64"/>
      <c r="BD148" s="64"/>
      <c r="BE148" s="64"/>
      <c r="BF148" s="64"/>
      <c r="BG148" s="64"/>
      <c r="BH148" s="64" t="s">
        <v>17</v>
      </c>
      <c r="BI148" s="64">
        <v>0</v>
      </c>
      <c r="BJ148" s="64">
        <v>0</v>
      </c>
      <c r="BK148" s="64">
        <v>0</v>
      </c>
      <c r="BL148" s="64">
        <v>0</v>
      </c>
      <c r="BM148" s="64">
        <v>0</v>
      </c>
      <c r="BN148" s="64">
        <v>4</v>
      </c>
      <c r="BO148" s="64">
        <v>4</v>
      </c>
      <c r="BP148" s="64">
        <v>4</v>
      </c>
      <c r="BQ148" s="64">
        <v>4</v>
      </c>
      <c r="BR148" s="64">
        <v>8</v>
      </c>
      <c r="BS148" s="64">
        <v>4</v>
      </c>
      <c r="BT148" s="64">
        <v>8</v>
      </c>
      <c r="BU148" s="64">
        <v>8</v>
      </c>
      <c r="BV148" s="64">
        <v>8</v>
      </c>
      <c r="BW148" s="64">
        <v>12</v>
      </c>
      <c r="BX148" s="64">
        <v>12</v>
      </c>
      <c r="BY148" s="64">
        <v>8</v>
      </c>
      <c r="BZ148" s="64">
        <v>12</v>
      </c>
      <c r="CA148" s="64">
        <v>12</v>
      </c>
      <c r="CB148" s="64">
        <v>12</v>
      </c>
      <c r="CC148" s="64">
        <v>12</v>
      </c>
      <c r="CD148" s="64">
        <v>16</v>
      </c>
      <c r="CE148" s="64">
        <v>16</v>
      </c>
      <c r="CF148" s="64">
        <v>16</v>
      </c>
      <c r="CG148" s="64"/>
      <c r="CH148" s="64"/>
      <c r="CI148" s="64"/>
      <c r="CJ148" s="64"/>
      <c r="CK148" s="64"/>
      <c r="CL148" s="64"/>
      <c r="CM148" s="64"/>
      <c r="CN148" s="64" t="s">
        <v>17</v>
      </c>
      <c r="CO148" s="64">
        <v>0</v>
      </c>
      <c r="CP148" s="64">
        <v>0</v>
      </c>
      <c r="CQ148" s="64">
        <v>0</v>
      </c>
      <c r="CR148" s="64">
        <v>0</v>
      </c>
      <c r="CS148" s="64">
        <v>4</v>
      </c>
      <c r="CT148" s="64">
        <v>4</v>
      </c>
      <c r="CU148" s="64">
        <v>4</v>
      </c>
      <c r="CV148" s="64">
        <v>4</v>
      </c>
      <c r="CW148" s="64">
        <v>8</v>
      </c>
      <c r="CX148" s="64">
        <v>4</v>
      </c>
      <c r="CY148" s="64">
        <v>8</v>
      </c>
      <c r="CZ148" s="64">
        <v>8</v>
      </c>
      <c r="DA148" s="64">
        <v>8</v>
      </c>
      <c r="DB148" s="64">
        <v>12</v>
      </c>
      <c r="DC148" s="64">
        <v>8</v>
      </c>
      <c r="DD148" s="64">
        <v>12</v>
      </c>
      <c r="DE148" s="64">
        <v>12</v>
      </c>
      <c r="DF148" s="64">
        <v>12</v>
      </c>
      <c r="DG148" s="64">
        <v>12</v>
      </c>
      <c r="DH148" s="64">
        <v>16</v>
      </c>
      <c r="DI148" s="64">
        <v>12</v>
      </c>
      <c r="DJ148" s="64">
        <v>16</v>
      </c>
      <c r="DK148" s="64">
        <v>16</v>
      </c>
      <c r="DL148" s="64">
        <v>16</v>
      </c>
      <c r="DM148" s="64"/>
      <c r="DN148" s="64"/>
      <c r="DO148" s="64"/>
      <c r="DP148" s="64"/>
      <c r="DQ148" s="80">
        <v>26</v>
      </c>
      <c r="DR148" s="80">
        <v>26</v>
      </c>
      <c r="DS148" s="80"/>
      <c r="DT148" s="64"/>
      <c r="DU148" s="64"/>
      <c r="DV148" s="64"/>
      <c r="DW148" s="64"/>
      <c r="DX148" s="64"/>
      <c r="DY148" s="64"/>
      <c r="DZ148" s="64"/>
      <c r="EA148" s="64"/>
      <c r="EB148" s="64"/>
      <c r="EC148" s="64"/>
      <c r="ED148" s="64"/>
      <c r="EE148" s="64"/>
      <c r="EF148" s="64"/>
      <c r="EG148" s="64"/>
      <c r="EH148" s="64"/>
      <c r="EI148" s="69"/>
      <c r="EJ148" s="64"/>
      <c r="EK148" s="64" t="s">
        <v>241</v>
      </c>
      <c r="EL148" s="64">
        <v>0</v>
      </c>
      <c r="EM148" s="64">
        <f>BJ147+(BJ145*2)</f>
        <v>4</v>
      </c>
      <c r="EN148" s="64">
        <f>BK147+(BK145*2)</f>
        <v>0</v>
      </c>
      <c r="EO148" s="64">
        <v>0</v>
      </c>
      <c r="EP148" s="64">
        <f t="shared" ref="EP148:FI148" si="347">BM147+(BM145*2)</f>
        <v>8</v>
      </c>
      <c r="EQ148" s="64">
        <f t="shared" si="347"/>
        <v>4</v>
      </c>
      <c r="ER148" s="64">
        <f t="shared" si="347"/>
        <v>12</v>
      </c>
      <c r="ES148" s="64">
        <f t="shared" si="347"/>
        <v>12</v>
      </c>
      <c r="ET148" s="64">
        <f t="shared" si="347"/>
        <v>8</v>
      </c>
      <c r="EU148" s="64">
        <f t="shared" si="347"/>
        <v>4</v>
      </c>
      <c r="EV148" s="64">
        <f t="shared" si="347"/>
        <v>16</v>
      </c>
      <c r="EW148" s="64">
        <f t="shared" si="347"/>
        <v>8</v>
      </c>
      <c r="EX148" s="64">
        <f t="shared" si="347"/>
        <v>8</v>
      </c>
      <c r="EY148" s="64">
        <f t="shared" si="347"/>
        <v>20</v>
      </c>
      <c r="EZ148" s="64">
        <f t="shared" si="347"/>
        <v>12</v>
      </c>
      <c r="FA148" s="64">
        <f t="shared" si="347"/>
        <v>12</v>
      </c>
      <c r="FB148" s="64">
        <f t="shared" si="347"/>
        <v>24</v>
      </c>
      <c r="FC148" s="64">
        <f t="shared" si="347"/>
        <v>16</v>
      </c>
      <c r="FD148" s="64">
        <f t="shared" si="347"/>
        <v>16</v>
      </c>
      <c r="FE148" s="64">
        <f t="shared" si="347"/>
        <v>24</v>
      </c>
      <c r="FF148" s="64">
        <f t="shared" si="347"/>
        <v>24</v>
      </c>
      <c r="FG148" s="64">
        <f t="shared" si="347"/>
        <v>20</v>
      </c>
      <c r="FH148" s="64">
        <f t="shared" si="347"/>
        <v>28</v>
      </c>
      <c r="FI148" s="64">
        <f t="shared" si="347"/>
        <v>28</v>
      </c>
      <c r="FJ148" s="64"/>
      <c r="FK148" s="64" t="s">
        <v>241</v>
      </c>
      <c r="FL148" s="64">
        <v>0</v>
      </c>
      <c r="FM148" s="64">
        <f>CP147+(CP145*2)</f>
        <v>0</v>
      </c>
      <c r="FN148" s="64">
        <v>0</v>
      </c>
      <c r="FO148" s="64">
        <v>0</v>
      </c>
      <c r="FP148" s="64">
        <f t="shared" ref="FP148:GI148" si="348">CS147+(CS145*2)</f>
        <v>4</v>
      </c>
      <c r="FQ148" s="64">
        <f t="shared" si="348"/>
        <v>0</v>
      </c>
      <c r="FR148" s="64">
        <f t="shared" si="348"/>
        <v>12</v>
      </c>
      <c r="FS148" s="64">
        <f t="shared" si="348"/>
        <v>8</v>
      </c>
      <c r="FT148" s="64">
        <f t="shared" si="348"/>
        <v>4</v>
      </c>
      <c r="FU148" s="64">
        <f t="shared" si="348"/>
        <v>16</v>
      </c>
      <c r="FV148" s="64">
        <f t="shared" si="348"/>
        <v>12</v>
      </c>
      <c r="FW148" s="64">
        <f t="shared" si="348"/>
        <v>8</v>
      </c>
      <c r="FX148" s="64">
        <f t="shared" si="348"/>
        <v>20</v>
      </c>
      <c r="FY148" s="64">
        <f t="shared" si="348"/>
        <v>12</v>
      </c>
      <c r="FZ148" s="64">
        <f t="shared" si="348"/>
        <v>24</v>
      </c>
      <c r="GA148" s="64">
        <f t="shared" si="348"/>
        <v>20</v>
      </c>
      <c r="GB148" s="64">
        <f t="shared" si="348"/>
        <v>16</v>
      </c>
      <c r="GC148" s="64">
        <f t="shared" si="348"/>
        <v>28</v>
      </c>
      <c r="GD148" s="64">
        <f t="shared" si="348"/>
        <v>24</v>
      </c>
      <c r="GE148" s="64">
        <f t="shared" si="348"/>
        <v>20</v>
      </c>
      <c r="GF148" s="64">
        <f t="shared" si="348"/>
        <v>32</v>
      </c>
      <c r="GG148" s="64">
        <f t="shared" si="348"/>
        <v>28</v>
      </c>
      <c r="GH148" s="64">
        <f t="shared" si="348"/>
        <v>24</v>
      </c>
      <c r="GI148" s="64">
        <f t="shared" si="348"/>
        <v>36</v>
      </c>
      <c r="GJ148" s="64"/>
      <c r="GK148" s="64"/>
      <c r="GL148" s="70"/>
      <c r="GM148" s="64"/>
      <c r="GN148" s="64"/>
      <c r="GO148" s="64"/>
      <c r="GP148" s="64"/>
      <c r="GQ148" s="64"/>
      <c r="GR148" s="64"/>
      <c r="GS148" s="64"/>
      <c r="GT148" s="64"/>
      <c r="GU148" s="64"/>
      <c r="GV148" s="64"/>
      <c r="GW148" s="64"/>
      <c r="GX148" s="64"/>
      <c r="GY148" s="64"/>
      <c r="GZ148" s="64"/>
      <c r="HA148" s="64"/>
      <c r="HB148" s="64"/>
      <c r="HC148" s="64"/>
      <c r="HD148" s="64"/>
      <c r="HE148" s="64"/>
      <c r="HF148" s="64"/>
      <c r="HG148" s="64"/>
      <c r="HH148" s="64"/>
    </row>
    <row r="149" spans="1:216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244</v>
      </c>
      <c r="M149" s="11">
        <f>INDEX(cenník!$C$2:$I$568,MATCH($L149,cenník!$B$2:$B$557,0),MATCH(M$2,cenník!$C$1:$I$1,0))</f>
        <v>166794</v>
      </c>
      <c r="N149" s="11" t="str">
        <f>INDEX(cenník!$C$2:$I$568,MATCH($L149,cenník!$B$2:$B$557,0),MATCH(N$2,cenník!$C$1:$I$1,0))</f>
        <v>100ks</v>
      </c>
      <c r="O149" s="11">
        <f>ROUNDUP(O148/100,0)</f>
        <v>0</v>
      </c>
      <c r="P149" s="36">
        <f>INDEX(cenník!$C$2:$I$568,MATCH($L149,cenník!$B$2:$B$557,0),MATCH(P$2,cenník!$C$1:$I$1,0))</f>
        <v>1.38</v>
      </c>
      <c r="Q149" s="36">
        <f t="shared" si="339"/>
        <v>0</v>
      </c>
      <c r="R149" s="37">
        <f t="shared" si="326"/>
        <v>0</v>
      </c>
      <c r="S149" s="36">
        <f t="shared" si="325"/>
        <v>1.38</v>
      </c>
      <c r="T149" s="36">
        <f t="shared" si="340"/>
        <v>0</v>
      </c>
      <c r="U149" s="36">
        <f>INDEX(cenník!$C$2:$I$568,MATCH($L149,cenník!$B$2:$B$557,0),MATCH(U$2,cenník!$C$1:$I$1,0))*O149</f>
        <v>0</v>
      </c>
      <c r="V149" s="85"/>
      <c r="AC149" s="64"/>
      <c r="AD149" s="64"/>
      <c r="AE149" s="64"/>
      <c r="AF149" s="64"/>
      <c r="AG149" s="64"/>
      <c r="AH149" s="64"/>
      <c r="AI149" s="64"/>
      <c r="AJ149" s="64"/>
      <c r="AK149" s="64"/>
      <c r="AL149" s="64"/>
      <c r="AM149" s="64"/>
      <c r="AQ149" s="64"/>
      <c r="AR149" s="64"/>
      <c r="AS149" s="64"/>
      <c r="AT149" s="64"/>
      <c r="AU149" s="64"/>
      <c r="AV149" s="64"/>
      <c r="AW149" s="64"/>
      <c r="AX149" s="64"/>
      <c r="AY149" s="64"/>
      <c r="AZ149" s="64"/>
      <c r="BA149" s="64"/>
      <c r="BB149" s="64"/>
      <c r="BC149" s="64"/>
      <c r="BD149" s="64"/>
      <c r="BE149" s="64"/>
      <c r="BF149" s="64"/>
      <c r="BG149" s="64"/>
      <c r="BH149" s="64"/>
      <c r="BI149" s="64"/>
      <c r="BJ149" s="64"/>
      <c r="BK149" s="64"/>
      <c r="BL149" s="64"/>
      <c r="BM149" s="64"/>
      <c r="BN149" s="64"/>
      <c r="BO149" s="64"/>
      <c r="BP149" s="64"/>
      <c r="BQ149" s="64"/>
      <c r="BR149" s="64"/>
      <c r="BS149" s="64"/>
      <c r="BT149" s="64"/>
      <c r="BU149" s="64"/>
      <c r="BV149" s="64"/>
      <c r="BW149" s="64"/>
      <c r="BX149" s="64"/>
      <c r="BY149" s="64"/>
      <c r="BZ149" s="64"/>
      <c r="CA149" s="64"/>
      <c r="CB149" s="64"/>
      <c r="CC149" s="64"/>
      <c r="CD149" s="64"/>
      <c r="CE149" s="64"/>
      <c r="CF149" s="64"/>
      <c r="CG149" s="64"/>
      <c r="CH149" s="64"/>
      <c r="CI149" s="64"/>
      <c r="CJ149" s="64"/>
      <c r="CK149" s="64"/>
      <c r="CL149" s="64"/>
      <c r="CM149" s="64"/>
      <c r="CN149" s="64"/>
      <c r="CO149" s="64"/>
      <c r="CP149" s="64"/>
      <c r="CQ149" s="64"/>
      <c r="CR149" s="64"/>
      <c r="CS149" s="64"/>
      <c r="CT149" s="64"/>
      <c r="CU149" s="64"/>
      <c r="CV149" s="64"/>
      <c r="CW149" s="64"/>
      <c r="CX149" s="64"/>
      <c r="CY149" s="64"/>
      <c r="CZ149" s="64"/>
      <c r="DA149" s="64"/>
      <c r="DB149" s="64"/>
      <c r="DC149" s="64"/>
      <c r="DD149" s="64"/>
      <c r="DE149" s="64"/>
      <c r="DF149" s="64"/>
      <c r="DG149" s="64"/>
      <c r="DH149" s="64"/>
      <c r="DI149" s="64"/>
      <c r="DJ149" s="64"/>
      <c r="DK149" s="64"/>
      <c r="DL149" s="64"/>
      <c r="DM149" s="64"/>
      <c r="DN149" s="64"/>
      <c r="DO149" s="64"/>
      <c r="DP149" s="64"/>
      <c r="DQ149" s="80"/>
      <c r="DR149" s="80">
        <v>28</v>
      </c>
      <c r="DS149" s="80"/>
      <c r="DT149" s="64"/>
      <c r="DU149" s="64"/>
      <c r="DV149" s="64"/>
      <c r="DW149" s="64"/>
      <c r="DX149" s="64"/>
      <c r="DY149" s="64"/>
      <c r="DZ149" s="64"/>
      <c r="EA149" s="64"/>
      <c r="EB149" s="64"/>
      <c r="EC149" s="64"/>
      <c r="ED149" s="64"/>
      <c r="EE149" s="64"/>
      <c r="EF149" s="64"/>
      <c r="EG149" s="64"/>
      <c r="EH149" s="64"/>
      <c r="EI149" s="69"/>
      <c r="EJ149" s="64"/>
      <c r="EK149" s="72" t="s">
        <v>364</v>
      </c>
      <c r="EL149" s="64">
        <v>0</v>
      </c>
      <c r="EM149" s="64">
        <f>((SUM(EM147:EM148)/4)-1)*4</f>
        <v>0</v>
      </c>
      <c r="EN149" s="64">
        <f>((SUM(EN147:EN148)/4)-1)*4</f>
        <v>0</v>
      </c>
      <c r="EO149" s="64">
        <v>0</v>
      </c>
      <c r="EP149" s="64">
        <f t="shared" ref="EP149:EX149" si="349">((SUM(EP147:EP148)/4)-1)*4</f>
        <v>4</v>
      </c>
      <c r="EQ149" s="64">
        <f t="shared" si="349"/>
        <v>4</v>
      </c>
      <c r="ER149" s="64">
        <f t="shared" si="349"/>
        <v>8</v>
      </c>
      <c r="ES149" s="64">
        <f t="shared" si="349"/>
        <v>8</v>
      </c>
      <c r="ET149" s="64">
        <f t="shared" si="349"/>
        <v>8</v>
      </c>
      <c r="EU149" s="64">
        <f t="shared" si="349"/>
        <v>8</v>
      </c>
      <c r="EV149" s="64">
        <f t="shared" si="349"/>
        <v>12</v>
      </c>
      <c r="EW149" s="64">
        <f t="shared" si="349"/>
        <v>12</v>
      </c>
      <c r="EX149" s="64">
        <f t="shared" si="349"/>
        <v>12</v>
      </c>
      <c r="EY149" s="64">
        <f>((SUM(EY147:EY148)/4)-1)*4</f>
        <v>16</v>
      </c>
      <c r="EZ149" s="64">
        <f>((SUM(EZ147:EZ148)/4)-1)*4</f>
        <v>16</v>
      </c>
      <c r="FA149" s="64">
        <f t="shared" ref="FA149:FI149" si="350">((SUM(FA147:FA148)/4)-1)*4</f>
        <v>16</v>
      </c>
      <c r="FB149" s="64">
        <f t="shared" si="350"/>
        <v>20</v>
      </c>
      <c r="FC149" s="64">
        <f t="shared" si="350"/>
        <v>20</v>
      </c>
      <c r="FD149" s="64">
        <f t="shared" si="350"/>
        <v>20</v>
      </c>
      <c r="FE149" s="64">
        <f t="shared" si="350"/>
        <v>24</v>
      </c>
      <c r="FF149" s="64">
        <f t="shared" si="350"/>
        <v>24</v>
      </c>
      <c r="FG149" s="64">
        <f t="shared" si="350"/>
        <v>24</v>
      </c>
      <c r="FH149" s="64">
        <f t="shared" si="350"/>
        <v>28</v>
      </c>
      <c r="FI149" s="64">
        <f t="shared" si="350"/>
        <v>28</v>
      </c>
      <c r="FJ149" s="64"/>
      <c r="FK149" s="72" t="s">
        <v>364</v>
      </c>
      <c r="FL149" s="64">
        <v>0</v>
      </c>
      <c r="FM149" s="64">
        <f>((SUM(FM147:FM148)/4)-1)*4</f>
        <v>0</v>
      </c>
      <c r="FN149" s="64">
        <v>0</v>
      </c>
      <c r="FO149" s="64">
        <v>0</v>
      </c>
      <c r="FP149" s="64">
        <f t="shared" ref="FP149:FX149" si="351">((SUM(FP147:FP148)/4)-1)*4</f>
        <v>4</v>
      </c>
      <c r="FQ149" s="64">
        <f t="shared" si="351"/>
        <v>4</v>
      </c>
      <c r="FR149" s="64">
        <f t="shared" si="351"/>
        <v>8</v>
      </c>
      <c r="FS149" s="64">
        <f t="shared" si="351"/>
        <v>8</v>
      </c>
      <c r="FT149" s="64">
        <f t="shared" si="351"/>
        <v>8</v>
      </c>
      <c r="FU149" s="64">
        <f t="shared" si="351"/>
        <v>12</v>
      </c>
      <c r="FV149" s="64">
        <f t="shared" si="351"/>
        <v>12</v>
      </c>
      <c r="FW149" s="64">
        <f t="shared" si="351"/>
        <v>12</v>
      </c>
      <c r="FX149" s="64">
        <f t="shared" si="351"/>
        <v>16</v>
      </c>
      <c r="FY149" s="64">
        <f>((SUM(FY147:FY148)/4)-1)*4</f>
        <v>16</v>
      </c>
      <c r="FZ149" s="64">
        <f t="shared" ref="FZ149:GI149" si="352">((SUM(FZ147:FZ148)/4)-1)*4</f>
        <v>20</v>
      </c>
      <c r="GA149" s="64">
        <f t="shared" si="352"/>
        <v>20</v>
      </c>
      <c r="GB149" s="64">
        <f t="shared" si="352"/>
        <v>20</v>
      </c>
      <c r="GC149" s="64">
        <f t="shared" si="352"/>
        <v>24</v>
      </c>
      <c r="GD149" s="64">
        <f t="shared" si="352"/>
        <v>24</v>
      </c>
      <c r="GE149" s="64">
        <f t="shared" si="352"/>
        <v>24</v>
      </c>
      <c r="GF149" s="64">
        <f t="shared" si="352"/>
        <v>28</v>
      </c>
      <c r="GG149" s="64">
        <f t="shared" si="352"/>
        <v>28</v>
      </c>
      <c r="GH149" s="64">
        <f t="shared" si="352"/>
        <v>28</v>
      </c>
      <c r="GI149" s="64">
        <f t="shared" si="352"/>
        <v>32</v>
      </c>
      <c r="GJ149" s="64"/>
      <c r="GK149" s="64"/>
      <c r="GL149" s="70"/>
      <c r="GM149" s="64"/>
      <c r="GN149" s="64"/>
      <c r="GO149" s="64"/>
      <c r="GP149" s="64"/>
      <c r="GQ149" s="64"/>
      <c r="GR149" s="64"/>
      <c r="GS149" s="64"/>
      <c r="GT149" s="64"/>
      <c r="GU149" s="64"/>
      <c r="GV149" s="64"/>
      <c r="GW149" s="64"/>
      <c r="GX149" s="64"/>
      <c r="GY149" s="64"/>
      <c r="GZ149" s="64"/>
      <c r="HA149" s="64"/>
      <c r="HB149" s="64"/>
      <c r="HC149" s="64"/>
      <c r="HD149" s="64"/>
      <c r="HE149" s="64"/>
      <c r="HF149" s="64"/>
      <c r="HG149" s="64"/>
      <c r="HH149" s="64"/>
    </row>
    <row r="150" spans="1:216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243</v>
      </c>
      <c r="M150" s="11">
        <f>INDEX(cenník!$C$2:$I$568,MATCH($L150,cenník!$B$2:$B$557,0),MATCH(M$2,cenník!$C$1:$I$1,0))</f>
        <v>660245</v>
      </c>
      <c r="N150" s="11" t="str">
        <f>INDEX(cenník!$C$2:$I$568,MATCH($L150,cenník!$B$2:$B$557,0),MATCH(N$2,cenník!$C$1:$I$1,0))</f>
        <v>ks</v>
      </c>
      <c r="O150" s="11">
        <f>O148</f>
        <v>0</v>
      </c>
      <c r="P150" s="36">
        <f>INDEX(cenník!$C$2:$I$568,MATCH($L150,cenník!$B$2:$B$557,0),MATCH(P$2,cenník!$C$1:$I$1,0))</f>
        <v>0.55000000000000004</v>
      </c>
      <c r="Q150" s="36">
        <f t="shared" si="339"/>
        <v>0</v>
      </c>
      <c r="R150" s="37">
        <f t="shared" si="326"/>
        <v>0</v>
      </c>
      <c r="S150" s="36">
        <f t="shared" si="325"/>
        <v>0.55000000000000004</v>
      </c>
      <c r="T150" s="36">
        <f t="shared" si="340"/>
        <v>0</v>
      </c>
      <c r="U150" s="36">
        <f>INDEX(cenník!$C$2:$I$568,MATCH($L150,cenník!$B$2:$B$557,0),MATCH(U$2,cenník!$C$1:$I$1,0))*O150</f>
        <v>0</v>
      </c>
      <c r="V150" s="85"/>
      <c r="AC150" s="64"/>
      <c r="AD150" s="64"/>
      <c r="AE150" s="64"/>
      <c r="AF150" s="64"/>
      <c r="AG150" s="64"/>
      <c r="AH150" s="64"/>
      <c r="AI150" s="64"/>
      <c r="AJ150" s="64"/>
      <c r="AK150" s="64"/>
      <c r="AL150" s="64"/>
      <c r="AM150" s="64"/>
      <c r="AN150" s="64"/>
      <c r="AO150" s="64"/>
      <c r="AP150" s="64" t="s">
        <v>189</v>
      </c>
      <c r="AQ150" s="64"/>
      <c r="AR150" s="64"/>
      <c r="AS150" s="64"/>
      <c r="AT150" s="64"/>
      <c r="AU150" s="64"/>
      <c r="AV150" s="64"/>
      <c r="AW150" s="64"/>
      <c r="AX150" s="64"/>
      <c r="AY150" s="64"/>
      <c r="AZ150" s="64"/>
      <c r="BA150" s="64"/>
      <c r="BB150" s="64"/>
      <c r="BC150" s="64"/>
      <c r="BD150" s="64"/>
      <c r="BE150" s="64"/>
      <c r="BF150" s="64"/>
      <c r="BG150" s="64"/>
      <c r="BH150" s="64"/>
      <c r="BI150" s="64"/>
      <c r="BJ150" s="64"/>
      <c r="BK150" s="64"/>
      <c r="BL150" s="64"/>
      <c r="BM150" s="64"/>
      <c r="BN150" s="64"/>
      <c r="BO150" s="64"/>
      <c r="BP150" s="64"/>
      <c r="BQ150" s="64"/>
      <c r="BR150" s="64"/>
      <c r="BS150" s="64"/>
      <c r="BT150" s="64"/>
      <c r="BU150" s="64"/>
      <c r="BV150" s="64"/>
      <c r="BW150" s="64"/>
      <c r="BX150" s="64"/>
      <c r="BY150" s="64"/>
      <c r="BZ150" s="64"/>
      <c r="CA150" s="64"/>
      <c r="CB150" s="64"/>
      <c r="CC150" s="64"/>
      <c r="CD150" s="64"/>
      <c r="CE150" s="64"/>
      <c r="CF150" s="64"/>
      <c r="CG150" s="64"/>
      <c r="CH150" s="64"/>
      <c r="CI150" s="64"/>
      <c r="CJ150" s="64"/>
      <c r="CK150" s="64"/>
      <c r="CL150" s="64"/>
      <c r="CM150" s="64"/>
      <c r="CN150" s="64"/>
      <c r="CO150" s="64"/>
      <c r="CP150" s="64"/>
      <c r="CQ150" s="64"/>
      <c r="CR150" s="64"/>
      <c r="CS150" s="64"/>
      <c r="CT150" s="64"/>
      <c r="CU150" s="64"/>
      <c r="CV150" s="64"/>
      <c r="CW150" s="64"/>
      <c r="CX150" s="64"/>
      <c r="CY150" s="64"/>
      <c r="CZ150" s="64"/>
      <c r="DA150" s="64"/>
      <c r="DB150" s="64"/>
      <c r="DC150" s="64"/>
      <c r="DD150" s="64"/>
      <c r="DE150" s="64"/>
      <c r="DF150" s="64"/>
      <c r="DG150" s="64"/>
      <c r="DH150" s="64"/>
      <c r="DI150" s="64"/>
      <c r="DJ150" s="64"/>
      <c r="DK150" s="64"/>
      <c r="DL150" s="64"/>
      <c r="DM150" s="64"/>
      <c r="DN150" s="64"/>
      <c r="DO150" s="64"/>
      <c r="DP150" s="64"/>
      <c r="DQ150" s="80"/>
      <c r="DR150" s="80">
        <v>30</v>
      </c>
      <c r="DS150" s="80"/>
      <c r="DT150" s="64"/>
      <c r="DU150" s="64"/>
      <c r="DV150" s="64"/>
      <c r="DW150" s="64"/>
      <c r="DX150" s="64"/>
      <c r="DY150" s="64"/>
      <c r="DZ150" s="64"/>
      <c r="EA150" s="64"/>
      <c r="EB150" s="64"/>
      <c r="EC150" s="64"/>
      <c r="ED150" s="64"/>
      <c r="EE150" s="64"/>
      <c r="EF150" s="64"/>
      <c r="EG150" s="64"/>
      <c r="EH150" s="64"/>
      <c r="EI150" s="69"/>
      <c r="EJ150" s="64"/>
      <c r="EK150" s="64"/>
      <c r="EL150" s="64"/>
      <c r="EM150" s="64"/>
      <c r="EN150" s="64"/>
      <c r="EO150" s="64"/>
      <c r="EP150" s="64"/>
      <c r="EQ150" s="64"/>
      <c r="ER150" s="64"/>
      <c r="ES150" s="64"/>
      <c r="ET150" s="64"/>
      <c r="EU150" s="64"/>
      <c r="EV150" s="64"/>
      <c r="EW150" s="64"/>
      <c r="EX150" s="64"/>
      <c r="EY150" s="64"/>
      <c r="EZ150" s="64"/>
      <c r="FA150" s="64"/>
      <c r="FB150" s="64"/>
      <c r="FC150" s="64"/>
      <c r="FD150" s="64"/>
      <c r="FE150" s="64"/>
      <c r="FF150" s="64"/>
      <c r="FG150" s="64"/>
      <c r="FH150" s="64"/>
      <c r="FI150" s="64"/>
      <c r="FJ150" s="64"/>
      <c r="FK150" s="64"/>
      <c r="FL150" s="64"/>
      <c r="FM150" s="64"/>
      <c r="FN150" s="64"/>
      <c r="FO150" s="64"/>
      <c r="FP150" s="64"/>
      <c r="FQ150" s="64"/>
      <c r="FR150" s="64"/>
      <c r="FS150" s="64"/>
      <c r="FT150" s="64"/>
      <c r="FU150" s="64"/>
      <c r="FV150" s="64"/>
      <c r="FW150" s="64"/>
      <c r="FX150" s="64"/>
      <c r="FY150" s="64"/>
      <c r="FZ150" s="64"/>
      <c r="GA150" s="64"/>
      <c r="GB150" s="64"/>
      <c r="GC150" s="64"/>
      <c r="GD150" s="64"/>
      <c r="GE150" s="64"/>
      <c r="GF150" s="64"/>
      <c r="GG150" s="64"/>
      <c r="GH150" s="64"/>
      <c r="GI150" s="64"/>
      <c r="GJ150" s="64"/>
      <c r="GK150" s="64"/>
      <c r="GL150" s="70"/>
      <c r="GM150" s="64"/>
      <c r="GN150" s="64"/>
      <c r="GO150" s="64"/>
      <c r="GP150" s="64"/>
      <c r="GQ150" s="64"/>
      <c r="GR150" s="64"/>
      <c r="GS150" s="64"/>
      <c r="GT150" s="64"/>
      <c r="GU150" s="64"/>
      <c r="GV150" s="64"/>
      <c r="GW150" s="64"/>
      <c r="GX150" s="64"/>
      <c r="GY150" s="64"/>
      <c r="GZ150" s="64"/>
      <c r="HA150" s="64"/>
      <c r="HB150" s="64"/>
      <c r="HC150" s="64"/>
      <c r="HD150" s="64"/>
      <c r="HE150" s="64"/>
      <c r="HF150" s="64"/>
      <c r="HG150" s="64"/>
      <c r="HH150" s="64"/>
    </row>
    <row r="151" spans="1:216" ht="15.75" thickBo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371</v>
      </c>
      <c r="M151" s="11">
        <f>INDEX(cenník!$C$2:$I$568,MATCH($L151,cenník!$B$2:$B$557,0),MATCH(M$2,cenník!$C$1:$I$1,0))</f>
        <v>6510443</v>
      </c>
      <c r="N151" s="11" t="str">
        <f>INDEX(cenník!$C$2:$I$568,MATCH($L151,cenník!$B$2:$B$557,0),MATCH(N$2,cenník!$C$1:$I$1,0))</f>
        <v>100ks</v>
      </c>
      <c r="O151" s="11">
        <f>O152</f>
        <v>0</v>
      </c>
      <c r="P151" s="36">
        <f>INDEX(cenník!$C$2:$I$568,MATCH($L151,cenník!$B$2:$B$557,0),MATCH(P$2,cenník!$C$1:$I$1,0))</f>
        <v>15.05</v>
      </c>
      <c r="Q151" s="36">
        <f t="shared" ref="Q151" si="353">O151*P151</f>
        <v>0</v>
      </c>
      <c r="R151" s="37">
        <f t="shared" si="326"/>
        <v>0</v>
      </c>
      <c r="S151" s="36">
        <f t="shared" si="325"/>
        <v>15.05</v>
      </c>
      <c r="T151" s="36">
        <f t="shared" ref="T151" si="354">O151*S151</f>
        <v>0</v>
      </c>
      <c r="U151" s="36">
        <f>INDEX(cenník!$C$2:$I$568,MATCH($L151,cenník!$B$2:$B$557,0),MATCH(U$2,cenník!$C$1:$I$1,0))*O151</f>
        <v>0</v>
      </c>
      <c r="V151" s="85"/>
      <c r="W151" s="82"/>
      <c r="X151" s="82"/>
      <c r="Y151" s="82"/>
      <c r="Z151" s="82"/>
      <c r="AA151" s="83" t="s">
        <v>124</v>
      </c>
      <c r="AB151" s="84" t="s">
        <v>128</v>
      </c>
      <c r="AC151" s="64"/>
      <c r="AD151" s="64"/>
      <c r="AE151" s="64"/>
      <c r="AF151" s="64"/>
      <c r="AG151" s="64"/>
      <c r="AH151" s="64"/>
      <c r="AI151" s="64"/>
      <c r="AJ151" s="64"/>
      <c r="AK151" s="64"/>
      <c r="AL151" s="64"/>
      <c r="AM151" s="64"/>
      <c r="AN151" s="64"/>
      <c r="AO151" s="84" t="s">
        <v>128</v>
      </c>
      <c r="AP151" s="64" t="s">
        <v>333</v>
      </c>
      <c r="AQ151" s="64">
        <v>1</v>
      </c>
      <c r="AR151" s="64">
        <v>2</v>
      </c>
      <c r="AS151" s="64">
        <v>3</v>
      </c>
      <c r="AT151" s="64">
        <v>4</v>
      </c>
      <c r="AU151" s="64">
        <v>5</v>
      </c>
      <c r="AV151" s="64"/>
      <c r="AW151" s="64"/>
      <c r="AX151" s="64"/>
      <c r="AY151" s="64"/>
      <c r="AZ151" s="64"/>
      <c r="BA151" s="64"/>
      <c r="BB151" s="64"/>
      <c r="BC151" s="64"/>
      <c r="BD151" s="64"/>
      <c r="BE151" s="64"/>
      <c r="BF151" s="64"/>
      <c r="BG151" s="64"/>
      <c r="BH151" s="64"/>
      <c r="BI151" s="64"/>
      <c r="BJ151" s="64"/>
      <c r="BK151" s="64"/>
      <c r="BL151" s="64"/>
      <c r="BM151" s="64"/>
      <c r="BN151" s="64"/>
      <c r="BO151" s="64"/>
      <c r="BP151" s="64"/>
      <c r="BQ151" s="64"/>
      <c r="BR151" s="64"/>
      <c r="BS151" s="64"/>
      <c r="BT151" s="64"/>
      <c r="BU151" s="64"/>
      <c r="BV151" s="64"/>
      <c r="BW151" s="64"/>
      <c r="BX151" s="64"/>
      <c r="BY151" s="64"/>
      <c r="BZ151" s="64"/>
      <c r="CA151" s="64"/>
      <c r="CB151" s="64"/>
      <c r="CC151" s="64"/>
      <c r="CD151" s="64"/>
      <c r="CE151" s="64"/>
      <c r="CF151" s="64"/>
      <c r="CG151" s="64"/>
      <c r="CH151" s="64"/>
      <c r="CI151" s="64"/>
      <c r="CJ151" s="64"/>
      <c r="CK151" s="64"/>
      <c r="CL151" s="64"/>
      <c r="CM151" s="64"/>
      <c r="CN151" s="64"/>
      <c r="CO151" s="64"/>
      <c r="CP151" s="64"/>
      <c r="CQ151" s="64"/>
      <c r="CR151" s="64"/>
      <c r="CS151" s="64"/>
      <c r="CT151" s="64"/>
      <c r="CU151" s="64"/>
      <c r="CV151" s="64"/>
      <c r="CW151" s="64"/>
      <c r="CX151" s="64"/>
      <c r="CY151" s="64"/>
      <c r="CZ151" s="64"/>
      <c r="DA151" s="64"/>
      <c r="DB151" s="64"/>
      <c r="DC151" s="64"/>
      <c r="DD151" s="64"/>
      <c r="DE151" s="64"/>
      <c r="DF151" s="64"/>
      <c r="DG151" s="64"/>
      <c r="DH151" s="64"/>
      <c r="DI151" s="64"/>
      <c r="DJ151" s="64"/>
      <c r="DK151" s="64"/>
      <c r="DL151" s="64"/>
      <c r="DM151" s="64"/>
      <c r="DN151" s="64"/>
      <c r="DO151" s="64"/>
      <c r="DP151" s="64"/>
      <c r="DQ151" s="80"/>
      <c r="DR151" s="80">
        <v>32</v>
      </c>
      <c r="DS151" s="80"/>
      <c r="DT151" s="64"/>
      <c r="DU151" s="64"/>
      <c r="DV151" s="64"/>
      <c r="DW151" s="64"/>
      <c r="DX151" s="64"/>
      <c r="DY151" s="64"/>
      <c r="DZ151" s="64"/>
      <c r="EA151" s="64"/>
      <c r="EB151" s="64"/>
      <c r="EC151" s="64"/>
      <c r="ED151" s="64"/>
      <c r="EE151" s="64"/>
      <c r="EF151" s="64"/>
      <c r="EG151" s="64"/>
      <c r="EH151" s="64"/>
      <c r="EI151" s="73"/>
      <c r="EJ151" s="74"/>
      <c r="EK151" s="74"/>
      <c r="EL151" s="74"/>
      <c r="EM151" s="74"/>
      <c r="EN151" s="74"/>
      <c r="EO151" s="74"/>
      <c r="EP151" s="74"/>
      <c r="EQ151" s="74"/>
      <c r="ER151" s="74"/>
      <c r="ES151" s="74"/>
      <c r="ET151" s="74"/>
      <c r="EU151" s="74"/>
      <c r="EV151" s="74"/>
      <c r="EW151" s="74"/>
      <c r="EX151" s="74"/>
      <c r="EY151" s="74"/>
      <c r="EZ151" s="74"/>
      <c r="FA151" s="74"/>
      <c r="FB151" s="74"/>
      <c r="FC151" s="74"/>
      <c r="FD151" s="74"/>
      <c r="FE151" s="74"/>
      <c r="FF151" s="74"/>
      <c r="FG151" s="74"/>
      <c r="FH151" s="74"/>
      <c r="FI151" s="74"/>
      <c r="FJ151" s="74"/>
      <c r="FK151" s="74"/>
      <c r="FL151" s="74"/>
      <c r="FM151" s="74"/>
      <c r="FN151" s="74"/>
      <c r="FO151" s="74"/>
      <c r="FP151" s="74"/>
      <c r="FQ151" s="74"/>
      <c r="FR151" s="74"/>
      <c r="FS151" s="74"/>
      <c r="FT151" s="74"/>
      <c r="FU151" s="74"/>
      <c r="FV151" s="74"/>
      <c r="FW151" s="74"/>
      <c r="FX151" s="74"/>
      <c r="FY151" s="74"/>
      <c r="FZ151" s="74"/>
      <c r="GA151" s="74"/>
      <c r="GB151" s="74"/>
      <c r="GC151" s="74"/>
      <c r="GD151" s="74"/>
      <c r="GE151" s="74"/>
      <c r="GF151" s="74"/>
      <c r="GG151" s="74"/>
      <c r="GH151" s="74"/>
      <c r="GI151" s="74"/>
      <c r="GJ151" s="74"/>
      <c r="GK151" s="74"/>
      <c r="GL151" s="75"/>
      <c r="GM151" s="64"/>
      <c r="GN151" s="64"/>
      <c r="GO151" s="64"/>
      <c r="GP151" s="64"/>
      <c r="GQ151" s="64"/>
      <c r="GR151" s="64"/>
      <c r="GS151" s="64"/>
      <c r="GT151" s="64"/>
      <c r="GU151" s="64"/>
      <c r="GV151" s="64"/>
      <c r="GW151" s="64"/>
      <c r="GX151" s="64"/>
      <c r="GY151" s="64"/>
      <c r="GZ151" s="64"/>
      <c r="HA151" s="64"/>
      <c r="HB151" s="64"/>
      <c r="HC151" s="64"/>
      <c r="HD151" s="64"/>
      <c r="HE151" s="64"/>
      <c r="HF151" s="64"/>
      <c r="HG151" s="64"/>
      <c r="HH151" s="64"/>
    </row>
    <row r="152" spans="1:216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150</v>
      </c>
      <c r="M152" s="11">
        <f>INDEX(cenník!$C$2:$I$568,MATCH($L152,cenník!$B$2:$B$557,0),MATCH(M$2,cenník!$C$1:$I$1,0))</f>
        <v>651643</v>
      </c>
      <c r="N152" s="11" t="str">
        <f>INDEX(cenník!$C$2:$I$568,MATCH($L152,cenník!$B$2:$B$557,0),MATCH(N$2,cenník!$C$1:$I$1,0))</f>
        <v>100ks</v>
      </c>
      <c r="O152" s="11">
        <f>ROUNDUP(((O133*13)+(O140*2)+(O158*2)+(O145*8)+E136+(O132*6)+(O159*2)+(O139*3))/100,0)</f>
        <v>0</v>
      </c>
      <c r="P152" s="36">
        <f>INDEX(cenník!$C$2:$I$568,MATCH($L152,cenník!$B$2:$B$557,0),MATCH(P$2,cenník!$C$1:$I$1,0))</f>
        <v>49.87</v>
      </c>
      <c r="Q152" s="36">
        <f t="shared" si="339"/>
        <v>0</v>
      </c>
      <c r="R152" s="37">
        <f t="shared" si="326"/>
        <v>0</v>
      </c>
      <c r="S152" s="36">
        <f t="shared" si="325"/>
        <v>49.87</v>
      </c>
      <c r="T152" s="36">
        <f t="shared" si="340"/>
        <v>0</v>
      </c>
      <c r="U152" s="36">
        <f>INDEX(cenník!$C$2:$I$568,MATCH($L152,cenník!$B$2:$B$557,0),MATCH(U$2,cenník!$C$1:$I$1,0))*O152</f>
        <v>0</v>
      </c>
      <c r="V152" s="85"/>
      <c r="W152" s="82"/>
      <c r="X152" s="82"/>
      <c r="Y152" s="82"/>
      <c r="Z152" s="82"/>
      <c r="AA152" s="64">
        <f>(VLOOKUP(AO152,$AI$152:$AK$156,3,1))*C162</f>
        <v>9</v>
      </c>
      <c r="AB152" s="64">
        <f t="shared" ref="AB152:AB167" si="355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11</v>
      </c>
      <c r="AC152" s="64"/>
      <c r="AD152" s="64"/>
      <c r="AE152" s="64"/>
      <c r="AF152" s="64"/>
      <c r="AG152" s="64"/>
      <c r="AH152" s="64"/>
      <c r="AI152" s="89">
        <v>0</v>
      </c>
      <c r="AJ152" s="89">
        <v>0</v>
      </c>
      <c r="AK152" s="87">
        <v>0</v>
      </c>
      <c r="AL152" s="64"/>
      <c r="AM152" s="64"/>
      <c r="AN152" s="64"/>
      <c r="AO152" s="64">
        <f t="shared" ref="AO152:AO167" si="356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11</v>
      </c>
      <c r="AP152" s="64">
        <v>1</v>
      </c>
      <c r="AQ152" s="64">
        <v>2000</v>
      </c>
      <c r="AR152" s="64">
        <v>2000</v>
      </c>
      <c r="AS152" s="64">
        <v>2000</v>
      </c>
      <c r="AT152" s="64">
        <v>2000</v>
      </c>
      <c r="AU152" s="64" t="s">
        <v>522</v>
      </c>
      <c r="AV152" s="64"/>
      <c r="AW152" s="64"/>
      <c r="AX152" s="64"/>
      <c r="AY152" s="64"/>
      <c r="AZ152" s="64"/>
      <c r="BA152" s="64"/>
      <c r="BB152" s="64"/>
      <c r="BC152" s="64"/>
      <c r="BD152" s="64"/>
      <c r="BE152" s="64"/>
      <c r="BF152" s="64"/>
      <c r="BG152" s="64"/>
      <c r="BH152" s="64"/>
      <c r="BI152" s="64"/>
      <c r="BJ152" s="64"/>
      <c r="BK152" s="64"/>
      <c r="BL152" s="64"/>
      <c r="BM152" s="64"/>
      <c r="BN152" s="64"/>
      <c r="BO152" s="64"/>
      <c r="BP152" s="64"/>
      <c r="BQ152" s="64"/>
      <c r="BR152" s="64"/>
      <c r="BS152" s="64"/>
      <c r="BT152" s="64"/>
      <c r="BU152" s="64"/>
      <c r="BV152" s="64"/>
      <c r="BW152" s="64"/>
      <c r="BX152" s="64"/>
      <c r="BY152" s="64"/>
      <c r="BZ152" s="64"/>
      <c r="CA152" s="64"/>
      <c r="CB152" s="64"/>
      <c r="CC152" s="64"/>
      <c r="CD152" s="64"/>
      <c r="CE152" s="64"/>
      <c r="CF152" s="64"/>
      <c r="CG152" s="64"/>
      <c r="CH152" s="64"/>
      <c r="CI152" s="64"/>
      <c r="CJ152" s="64"/>
      <c r="CK152" s="64"/>
      <c r="CL152" s="64"/>
      <c r="CM152" s="64"/>
      <c r="CN152" s="64"/>
      <c r="CO152" s="64"/>
      <c r="CP152" s="64"/>
      <c r="CQ152" s="64"/>
      <c r="CR152" s="64"/>
      <c r="CS152" s="64"/>
      <c r="CT152" s="64"/>
      <c r="CU152" s="64"/>
      <c r="CV152" s="64"/>
      <c r="CW152" s="64"/>
      <c r="CX152" s="64"/>
      <c r="CY152" s="64"/>
      <c r="CZ152" s="64"/>
      <c r="DA152" s="64"/>
      <c r="DB152" s="64"/>
      <c r="DC152" s="64"/>
      <c r="DD152" s="64"/>
      <c r="DE152" s="64"/>
      <c r="DF152" s="64"/>
      <c r="DG152" s="64"/>
      <c r="DH152" s="64"/>
      <c r="DI152" s="64"/>
      <c r="DJ152" s="64"/>
      <c r="DK152" s="64"/>
      <c r="DL152" s="64"/>
      <c r="DM152" s="64"/>
      <c r="DN152" s="64"/>
      <c r="DO152" s="64"/>
      <c r="DP152" s="64"/>
      <c r="DQ152" s="80"/>
      <c r="DR152" s="80">
        <v>34</v>
      </c>
      <c r="DS152" s="80"/>
      <c r="DT152" s="64"/>
      <c r="DU152" s="64"/>
      <c r="DV152" s="64"/>
      <c r="DW152" s="64"/>
      <c r="DX152" s="64"/>
      <c r="DY152" s="64"/>
      <c r="DZ152" s="64"/>
      <c r="EA152" s="64"/>
      <c r="EB152" s="64"/>
      <c r="EC152" s="64"/>
      <c r="ED152" s="64"/>
      <c r="EE152" s="64"/>
      <c r="EF152" s="64"/>
      <c r="EG152" s="64"/>
      <c r="EH152" s="64"/>
      <c r="EI152" s="64"/>
      <c r="EJ152" s="64"/>
      <c r="EK152" s="64"/>
      <c r="EL152" s="64"/>
      <c r="EM152" s="64"/>
      <c r="EN152" s="64"/>
      <c r="EO152" s="64"/>
      <c r="EP152" s="64"/>
      <c r="EQ152" s="64"/>
      <c r="ER152" s="64"/>
      <c r="ES152" s="64"/>
      <c r="ET152" s="64"/>
      <c r="EU152" s="64"/>
      <c r="EV152" s="64"/>
      <c r="EW152" s="64"/>
      <c r="EX152" s="64"/>
      <c r="EY152" s="64"/>
      <c r="EZ152" s="64"/>
      <c r="FA152" s="64"/>
      <c r="FB152" s="64"/>
      <c r="FC152" s="64"/>
      <c r="FD152" s="64"/>
      <c r="FE152" s="64"/>
      <c r="FF152" s="64"/>
      <c r="FG152" s="64"/>
      <c r="FH152" s="64"/>
      <c r="FI152" s="64"/>
      <c r="FJ152" s="64"/>
      <c r="FK152" s="64"/>
      <c r="FL152" s="64"/>
      <c r="FM152" s="64"/>
      <c r="FN152" s="64"/>
      <c r="FO152" s="64"/>
      <c r="FP152" s="64"/>
      <c r="FQ152" s="64"/>
      <c r="FR152" s="64"/>
      <c r="FS152" s="64"/>
      <c r="FT152" s="64"/>
      <c r="FU152" s="64"/>
      <c r="FV152" s="64"/>
      <c r="FW152" s="64"/>
      <c r="FX152" s="64"/>
      <c r="FY152" s="64"/>
      <c r="FZ152" s="64"/>
      <c r="GA152" s="64"/>
      <c r="GB152" s="64"/>
      <c r="GC152" s="64"/>
      <c r="GD152" s="64"/>
      <c r="GE152" s="64"/>
      <c r="GF152" s="64"/>
      <c r="GG152" s="64"/>
      <c r="GH152" s="64"/>
      <c r="GI152" s="64"/>
      <c r="GJ152" s="64"/>
      <c r="GK152" s="64"/>
      <c r="GL152" s="64"/>
      <c r="GM152" s="64"/>
      <c r="GN152" s="64"/>
      <c r="GO152" s="64"/>
      <c r="GP152" s="64"/>
      <c r="GQ152" s="64"/>
      <c r="GR152" s="64"/>
      <c r="GS152" s="64"/>
      <c r="GT152" s="64"/>
      <c r="GU152" s="64"/>
      <c r="GV152" s="64"/>
      <c r="GW152" s="64"/>
      <c r="GX152" s="64"/>
      <c r="GY152" s="64"/>
      <c r="GZ152" s="64"/>
      <c r="HA152" s="64"/>
      <c r="HB152" s="64"/>
      <c r="HC152" s="64"/>
      <c r="HD152" s="64"/>
      <c r="HE152" s="64"/>
      <c r="HF152" s="64"/>
      <c r="HG152" s="64"/>
      <c r="HH152" s="64"/>
    </row>
    <row r="153" spans="1:216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65</v>
      </c>
      <c r="M153" s="11">
        <f>INDEX(cenník!$C$2:$I$568,MATCH($L153,cenník!$B$2:$B$557,0),MATCH(M$2,cenník!$C$1:$I$1,0))</f>
        <v>897303</v>
      </c>
      <c r="N153" s="11" t="str">
        <f>INDEX(cenník!$C$2:$I$568,MATCH($L153,cenník!$B$2:$B$557,0),MATCH(N$2,cenník!$C$1:$I$1,0))</f>
        <v>ks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6">
        <f>INDEX(cenník!$C$2:$I$568,MATCH($L153,cenník!$B$2:$B$557,0),MATCH(P$2,cenník!$C$1:$I$1,0))</f>
        <v>0.83</v>
      </c>
      <c r="Q153" s="36">
        <f t="shared" si="339"/>
        <v>0</v>
      </c>
      <c r="R153" s="37">
        <f t="shared" si="326"/>
        <v>0</v>
      </c>
      <c r="S153" s="36">
        <f t="shared" si="325"/>
        <v>0.83</v>
      </c>
      <c r="T153" s="36">
        <f t="shared" si="340"/>
        <v>0</v>
      </c>
      <c r="U153" s="36">
        <f>INDEX(cenník!$C$2:$I$568,MATCH($L153,cenník!$B$2:$B$557,0),MATCH(U$2,cenník!$C$1:$I$1,0))*O153</f>
        <v>0</v>
      </c>
      <c r="V153" s="85"/>
      <c r="W153" s="72" t="s">
        <v>17</v>
      </c>
      <c r="X153" s="64" t="s">
        <v>104</v>
      </c>
      <c r="Y153" s="64" t="s">
        <v>103</v>
      </c>
      <c r="Z153" s="64" t="s">
        <v>16</v>
      </c>
      <c r="AA153" s="64">
        <f>(VLOOKUP(AO153,$AI$152:$AK$156,3,1))*C163</f>
        <v>0</v>
      </c>
      <c r="AB153" s="64">
        <f t="shared" si="355"/>
        <v>0</v>
      </c>
      <c r="AC153" s="64"/>
      <c r="AD153" s="64"/>
      <c r="AE153" s="64"/>
      <c r="AF153" s="64"/>
      <c r="AG153" s="64"/>
      <c r="AH153" s="64"/>
      <c r="AI153" s="89">
        <v>1</v>
      </c>
      <c r="AJ153" s="89">
        <v>1</v>
      </c>
      <c r="AK153" s="87">
        <v>1</v>
      </c>
      <c r="AL153" s="64"/>
      <c r="AM153" s="64"/>
      <c r="AN153" s="64"/>
      <c r="AO153" s="64">
        <f t="shared" si="356"/>
        <v>1</v>
      </c>
      <c r="AP153" s="64">
        <v>2</v>
      </c>
      <c r="AQ153" s="64" t="s">
        <v>522</v>
      </c>
      <c r="AR153" s="64">
        <v>1000</v>
      </c>
      <c r="AS153" s="64">
        <v>1000</v>
      </c>
      <c r="AT153" s="64" t="s">
        <v>522</v>
      </c>
      <c r="AU153" s="64" t="s">
        <v>522</v>
      </c>
      <c r="AV153" s="64"/>
      <c r="AW153" s="64"/>
      <c r="AX153" s="64"/>
      <c r="AY153" s="64"/>
      <c r="AZ153" s="64"/>
      <c r="BA153" s="64"/>
      <c r="BB153" s="64"/>
      <c r="BC153" s="64"/>
      <c r="BD153" s="64"/>
      <c r="BE153" s="64"/>
      <c r="BF153" s="64"/>
      <c r="BG153" s="64"/>
      <c r="BH153" s="64"/>
      <c r="BI153" s="64"/>
      <c r="BJ153" s="64"/>
      <c r="BK153" s="64"/>
      <c r="BL153" s="64"/>
      <c r="BM153" s="64"/>
      <c r="BN153" s="64"/>
      <c r="BO153" s="64"/>
      <c r="BP153" s="64"/>
      <c r="BQ153" s="64"/>
      <c r="BR153" s="64"/>
      <c r="BS153" s="64"/>
      <c r="BT153" s="64"/>
      <c r="BU153" s="64"/>
      <c r="BV153" s="64"/>
      <c r="BW153" s="64"/>
      <c r="BX153" s="64"/>
      <c r="BY153" s="64"/>
      <c r="BZ153" s="64"/>
      <c r="CA153" s="64"/>
      <c r="CB153" s="64"/>
      <c r="CC153" s="64"/>
      <c r="CD153" s="64"/>
      <c r="CE153" s="64"/>
      <c r="CF153" s="64"/>
      <c r="CG153" s="64"/>
      <c r="CH153" s="64"/>
      <c r="CI153" s="64"/>
      <c r="CJ153" s="64"/>
      <c r="CK153" s="64"/>
      <c r="CL153" s="64"/>
      <c r="CM153" s="64"/>
      <c r="CN153" s="64"/>
      <c r="CO153" s="64"/>
      <c r="CP153" s="64"/>
      <c r="CQ153" s="64"/>
      <c r="CR153" s="64"/>
      <c r="CS153" s="64"/>
      <c r="CT153" s="64"/>
      <c r="CU153" s="64"/>
      <c r="CV153" s="64"/>
      <c r="CW153" s="64"/>
      <c r="CX153" s="64"/>
      <c r="CY153" s="64"/>
      <c r="CZ153" s="64"/>
      <c r="DA153" s="64"/>
      <c r="DB153" s="64"/>
      <c r="DC153" s="64"/>
      <c r="DD153" s="64"/>
      <c r="DE153" s="64"/>
      <c r="DF153" s="64"/>
      <c r="DG153" s="64"/>
      <c r="DH153" s="64"/>
      <c r="DI153" s="64"/>
      <c r="DJ153" s="64"/>
      <c r="DK153" s="64"/>
      <c r="DL153" s="64"/>
      <c r="DM153" s="64"/>
      <c r="DN153" s="64"/>
      <c r="DO153" s="64"/>
      <c r="DP153" s="64"/>
      <c r="DQ153" s="80"/>
      <c r="DR153" s="80">
        <v>36</v>
      </c>
      <c r="DS153" s="80"/>
      <c r="DT153" s="64"/>
      <c r="DU153" s="64"/>
      <c r="DV153" s="64"/>
      <c r="DW153" s="64"/>
      <c r="DX153" s="64"/>
      <c r="DY153" s="64"/>
      <c r="DZ153" s="64"/>
      <c r="EA153" s="64"/>
      <c r="EB153" s="64"/>
      <c r="EC153" s="64"/>
      <c r="ED153" s="64"/>
      <c r="EE153" s="64"/>
      <c r="EF153" s="64"/>
      <c r="EG153" s="64"/>
      <c r="EH153" s="64"/>
      <c r="EI153" s="64"/>
      <c r="EJ153" s="64"/>
      <c r="EK153" s="64"/>
      <c r="EL153" s="64"/>
      <c r="EM153" s="64"/>
      <c r="EN153" s="64"/>
      <c r="EO153" s="64"/>
      <c r="EP153" s="64"/>
      <c r="EQ153" s="64"/>
      <c r="ER153" s="64"/>
      <c r="ES153" s="64"/>
      <c r="ET153" s="64"/>
      <c r="EU153" s="64"/>
      <c r="EV153" s="64"/>
      <c r="EW153" s="64"/>
      <c r="EX153" s="64"/>
      <c r="EY153" s="64"/>
      <c r="EZ153" s="64"/>
      <c r="FA153" s="64"/>
      <c r="FB153" s="64"/>
      <c r="FC153" s="64"/>
      <c r="FD153" s="64"/>
      <c r="FE153" s="64"/>
      <c r="FF153" s="64"/>
      <c r="FG153" s="64"/>
      <c r="FH153" s="64"/>
      <c r="FI153" s="64"/>
      <c r="FJ153" s="64"/>
      <c r="FK153" s="64"/>
      <c r="FL153" s="64"/>
      <c r="FM153" s="64"/>
      <c r="FN153" s="64"/>
      <c r="FO153" s="64"/>
      <c r="FP153" s="64"/>
      <c r="FQ153" s="64"/>
      <c r="FR153" s="64"/>
      <c r="FS153" s="64"/>
      <c r="FT153" s="64"/>
      <c r="FU153" s="64"/>
      <c r="FV153" s="64"/>
      <c r="FW153" s="64"/>
      <c r="FX153" s="64"/>
      <c r="FY153" s="64"/>
      <c r="FZ153" s="64"/>
      <c r="GA153" s="64"/>
      <c r="GB153" s="64"/>
      <c r="GC153" s="64"/>
      <c r="GD153" s="64"/>
      <c r="GE153" s="64"/>
      <c r="GF153" s="64"/>
      <c r="GG153" s="64"/>
      <c r="GH153" s="64"/>
      <c r="GI153" s="64"/>
      <c r="GJ153" s="64"/>
      <c r="GK153" s="64"/>
      <c r="GL153" s="64"/>
      <c r="GM153" s="64"/>
      <c r="GN153" s="64"/>
      <c r="GO153" s="64"/>
      <c r="GP153" s="64"/>
      <c r="GQ153" s="64"/>
      <c r="GR153" s="64"/>
      <c r="GS153" s="64"/>
      <c r="GT153" s="64"/>
      <c r="GU153" s="64"/>
      <c r="GV153" s="64"/>
      <c r="GW153" s="64"/>
      <c r="GX153" s="64"/>
      <c r="GY153" s="64"/>
      <c r="GZ153" s="64"/>
      <c r="HA153" s="64"/>
      <c r="HB153" s="64"/>
      <c r="HC153" s="64"/>
      <c r="HD153" s="64"/>
      <c r="HE153" s="64"/>
      <c r="HF153" s="64"/>
      <c r="HG153" s="64"/>
      <c r="HH153" s="64"/>
    </row>
    <row r="154" spans="1:216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245</v>
      </c>
      <c r="M154" s="11">
        <f>INDEX(cenník!$C$2:$I$568,MATCH($L154,cenník!$B$2:$B$557,0),MATCH(M$2,cenník!$C$1:$I$1,0))</f>
        <v>897311</v>
      </c>
      <c r="N154" s="11" t="str">
        <f>INDEX(cenník!$C$2:$I$568,MATCH($L154,cenník!$B$2:$B$557,0),MATCH(N$2,cenník!$C$1:$I$1,0))</f>
        <v>ks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6">
        <f>INDEX(cenník!$C$2:$I$568,MATCH($L154,cenník!$B$2:$B$557,0),MATCH(P$2,cenník!$C$1:$I$1,0))</f>
        <v>1.9</v>
      </c>
      <c r="Q154" s="36">
        <f t="shared" si="339"/>
        <v>0</v>
      </c>
      <c r="R154" s="37">
        <f t="shared" si="326"/>
        <v>0</v>
      </c>
      <c r="S154" s="36">
        <f t="shared" si="325"/>
        <v>1.9</v>
      </c>
      <c r="T154" s="36">
        <f t="shared" si="340"/>
        <v>0</v>
      </c>
      <c r="U154" s="36">
        <f>INDEX(cenník!$C$2:$I$568,MATCH($L154,cenník!$B$2:$B$557,0),MATCH(U$2,cenník!$C$1:$I$1,0))*O154</f>
        <v>0</v>
      </c>
      <c r="V154" s="85"/>
      <c r="W154" s="87">
        <f>(INDEX(($EL$139:$FI$142,$EL$146:$FI$149,$FL$139:$GI$142,$FL$146:$GI$149),MATCH($L$175,$EK$139:$EK$142,0),MATCH(A162,$EL$138:$FI$138,0),MATCH($G$163,$AE$24:$AE$27,0)))*C162</f>
        <v>20</v>
      </c>
      <c r="X154" s="87">
        <f>(INDEX(($EL$139:$FI$142,$EL$146:$FI$149,$FL$139:$GI$142,$FL$146:$GI$149),MATCH($L$172,$EK$139:$EK$142,0),MATCH(A162,$EL$138:$FI$138,0),MATCH($G$163,$AE$24:$AE$27,0)))*C162</f>
        <v>0</v>
      </c>
      <c r="Y154" s="87">
        <f>(INDEX(($EL$139:$FI$142,$EL$146:$FI$149,$FL$139:$GI$142,$FL$146:$GI$149),MATCH($L$173,$EK$139:$EK$142,0),MATCH(A162,$EL$138:$FI$138,0),MATCH($G$163,$AE$24:$AE$27,0)))*C162</f>
        <v>8</v>
      </c>
      <c r="Z154" s="87">
        <f>(INDEX(($EL$139:$FI$142,$EL$146:$FI$149,$FL$139:$GI$142,$FL$146:$GI$149),MATCH($L$174,$EK$139:$EK$142,0),MATCH(A162,$EL$138:$FI$138,0),MATCH($G$163,$AE$24:$AE$27,0)))*C162</f>
        <v>16</v>
      </c>
      <c r="AA154" s="64">
        <f t="shared" ref="AA154:AA167" si="357">(VLOOKUP(AO154,$AI$152:$AK$156,3,1))*C164</f>
        <v>0</v>
      </c>
      <c r="AB154" s="64">
        <f t="shared" si="355"/>
        <v>0</v>
      </c>
      <c r="AC154" s="64"/>
      <c r="AD154" s="64"/>
      <c r="AE154" s="64"/>
      <c r="AF154" s="64"/>
      <c r="AG154" s="64"/>
      <c r="AH154" s="64"/>
      <c r="AI154" s="90">
        <v>2</v>
      </c>
      <c r="AJ154" s="90" t="s">
        <v>335</v>
      </c>
      <c r="AK154" s="90">
        <v>6</v>
      </c>
      <c r="AL154" s="64"/>
      <c r="AM154" s="64"/>
      <c r="AN154" s="64"/>
      <c r="AO154" s="64">
        <f t="shared" si="356"/>
        <v>1</v>
      </c>
      <c r="AP154" s="64" t="s">
        <v>339</v>
      </c>
      <c r="AQ154" s="64">
        <v>1000</v>
      </c>
      <c r="AR154" s="64" t="s">
        <v>522</v>
      </c>
      <c r="AS154" s="64">
        <v>1000</v>
      </c>
      <c r="AT154" s="64" t="s">
        <v>522</v>
      </c>
      <c r="AU154" s="64" t="s">
        <v>347</v>
      </c>
      <c r="AV154" s="64"/>
      <c r="AW154" s="64"/>
      <c r="AX154" s="64"/>
      <c r="AY154" s="64"/>
      <c r="AZ154" s="64"/>
      <c r="BA154" s="64"/>
      <c r="BB154" s="64"/>
      <c r="BC154" s="64"/>
      <c r="BD154" s="64"/>
      <c r="BE154" s="64"/>
      <c r="BF154" s="64"/>
      <c r="BG154" s="64"/>
      <c r="BH154" s="64"/>
      <c r="BI154" s="64"/>
      <c r="BJ154" s="64"/>
      <c r="BK154" s="64"/>
      <c r="BL154" s="64"/>
      <c r="BM154" s="64"/>
      <c r="BN154" s="64"/>
      <c r="BO154" s="64"/>
      <c r="BP154" s="64"/>
      <c r="BQ154" s="64"/>
      <c r="BR154" s="64"/>
      <c r="BS154" s="64"/>
      <c r="BT154" s="64"/>
      <c r="BU154" s="64"/>
      <c r="BV154" s="64"/>
      <c r="BW154" s="64"/>
      <c r="BX154" s="64"/>
      <c r="BY154" s="64"/>
      <c r="BZ154" s="64"/>
      <c r="CA154" s="64"/>
      <c r="CB154" s="64"/>
      <c r="CC154" s="64"/>
      <c r="CD154" s="64"/>
      <c r="CE154" s="64"/>
      <c r="CF154" s="64"/>
      <c r="CG154" s="64"/>
      <c r="CH154" s="64"/>
      <c r="CI154" s="64"/>
      <c r="CJ154" s="64"/>
      <c r="CK154" s="64"/>
      <c r="CL154" s="64"/>
      <c r="CM154" s="64"/>
      <c r="CN154" s="64"/>
      <c r="CO154" s="64"/>
      <c r="CP154" s="64"/>
      <c r="CQ154" s="64"/>
      <c r="CR154" s="64"/>
      <c r="CS154" s="64"/>
      <c r="CT154" s="64"/>
      <c r="CU154" s="64"/>
      <c r="CV154" s="64"/>
      <c r="CW154" s="64"/>
      <c r="CX154" s="64"/>
      <c r="CY154" s="64"/>
      <c r="CZ154" s="64"/>
      <c r="DA154" s="64"/>
      <c r="DB154" s="64"/>
      <c r="DC154" s="64"/>
      <c r="DD154" s="64"/>
      <c r="DE154" s="64"/>
      <c r="DF154" s="64"/>
      <c r="DG154" s="64"/>
      <c r="DH154" s="64"/>
      <c r="DI154" s="64"/>
      <c r="DJ154" s="64"/>
      <c r="DK154" s="64"/>
      <c r="DL154" s="64"/>
      <c r="DM154" s="64"/>
      <c r="DN154" s="64"/>
      <c r="DO154" s="64"/>
      <c r="DP154" s="64"/>
      <c r="DQ154" s="80"/>
      <c r="DR154" s="80">
        <v>38</v>
      </c>
      <c r="DS154" s="80"/>
      <c r="DT154" s="64"/>
      <c r="DU154" s="64"/>
      <c r="DV154" s="64"/>
      <c r="DW154" s="64"/>
      <c r="DX154" s="64"/>
      <c r="DY154" s="64"/>
      <c r="DZ154" s="64"/>
      <c r="EA154" s="64"/>
      <c r="EB154" s="64"/>
      <c r="EC154" s="64"/>
      <c r="ED154" s="64"/>
      <c r="EE154" s="64"/>
      <c r="EF154" s="64"/>
      <c r="EG154" s="64"/>
      <c r="EH154" s="64"/>
      <c r="EI154" s="64"/>
      <c r="EJ154" s="64"/>
      <c r="EK154" s="64"/>
      <c r="EL154" s="64"/>
      <c r="EM154" s="64"/>
      <c r="EN154" s="64"/>
      <c r="EO154" s="64"/>
      <c r="EP154" s="64"/>
      <c r="EQ154" s="64"/>
      <c r="ER154" s="64"/>
      <c r="ES154" s="64"/>
      <c r="ET154" s="64"/>
      <c r="EU154" s="64"/>
      <c r="EV154" s="64"/>
      <c r="EW154" s="64"/>
      <c r="EX154" s="64"/>
      <c r="EY154" s="64"/>
      <c r="EZ154" s="64"/>
      <c r="FA154" s="64"/>
      <c r="FB154" s="64"/>
      <c r="FC154" s="64"/>
      <c r="FD154" s="64"/>
      <c r="FE154" s="64"/>
      <c r="FF154" s="64"/>
      <c r="FG154" s="64"/>
      <c r="FH154" s="64"/>
      <c r="FI154" s="64"/>
      <c r="FJ154" s="64"/>
      <c r="FK154" s="64"/>
      <c r="FL154" s="64"/>
      <c r="FM154" s="64"/>
      <c r="FN154" s="64"/>
      <c r="FO154" s="64"/>
      <c r="FP154" s="64"/>
      <c r="FQ154" s="64"/>
      <c r="FR154" s="64"/>
      <c r="FS154" s="64"/>
      <c r="FT154" s="64"/>
      <c r="FU154" s="64"/>
      <c r="FV154" s="64"/>
      <c r="FW154" s="64"/>
      <c r="FX154" s="64"/>
      <c r="FY154" s="64"/>
      <c r="FZ154" s="64"/>
      <c r="GA154" s="64"/>
      <c r="GB154" s="64"/>
      <c r="GC154" s="64"/>
      <c r="GD154" s="64"/>
      <c r="GE154" s="64"/>
      <c r="GF154" s="64"/>
      <c r="GG154" s="64"/>
      <c r="GH154" s="64"/>
      <c r="GI154" s="64"/>
      <c r="GJ154" s="64"/>
      <c r="GK154" s="64"/>
      <c r="GL154" s="64"/>
      <c r="GM154" s="64"/>
      <c r="GN154" s="64"/>
      <c r="GO154" s="64"/>
      <c r="GP154" s="64"/>
      <c r="GQ154" s="64"/>
      <c r="GR154" s="64"/>
      <c r="GS154" s="64"/>
      <c r="GT154" s="64"/>
      <c r="GU154" s="64"/>
      <c r="GV154" s="64"/>
      <c r="GW154" s="64"/>
      <c r="GX154" s="64"/>
      <c r="GY154" s="64"/>
      <c r="GZ154" s="64"/>
      <c r="HA154" s="64"/>
      <c r="HB154" s="64"/>
      <c r="HC154" s="64"/>
      <c r="HD154" s="64"/>
      <c r="HE154" s="64"/>
      <c r="HF154" s="64"/>
      <c r="HG154" s="64"/>
      <c r="HH154" s="64"/>
    </row>
    <row r="155" spans="1:216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127</v>
      </c>
      <c r="M155" s="11">
        <f>INDEX(cenník!$C$2:$I$568,MATCH($L155,cenník!$B$2:$B$557,0),MATCH(M$2,cenník!$C$1:$I$1,0))</f>
        <v>890111</v>
      </c>
      <c r="N155" s="11" t="str">
        <f>INDEX(cenník!$C$2:$I$568,MATCH($L155,cenník!$B$2:$B$557,0),MATCH(N$2,cenník!$C$1:$I$1,0))</f>
        <v>100ks</v>
      </c>
      <c r="O155" s="11">
        <f>ROUNDUP((O131*4)/100,0)</f>
        <v>0</v>
      </c>
      <c r="P155" s="36">
        <f>INDEX(cenník!$C$2:$I$568,MATCH($L155,cenník!$B$2:$B$557,0),MATCH(P$2,cenník!$C$1:$I$1,0))</f>
        <v>60.37</v>
      </c>
      <c r="Q155" s="36">
        <f t="shared" si="339"/>
        <v>0</v>
      </c>
      <c r="R155" s="37">
        <f t="shared" si="326"/>
        <v>0</v>
      </c>
      <c r="S155" s="36">
        <f t="shared" si="325"/>
        <v>60.37</v>
      </c>
      <c r="T155" s="36">
        <f t="shared" si="340"/>
        <v>0</v>
      </c>
      <c r="U155" s="36">
        <f>INDEX(cenník!$C$2:$I$568,MATCH($L155,cenník!$B$2:$B$557,0),MATCH(U$2,cenník!$C$1:$I$1,0))*O155</f>
        <v>0</v>
      </c>
      <c r="V155" s="85"/>
      <c r="W155" s="87">
        <f>(INDEX(($EL$139:$FI$142,$EL$146:$FI$149,$FL$139:$GI$142,$FL$146:$GI$149),MATCH($L$175,$EK$139:$EK$142,0),MATCH(A163,$EL$138:$FI$138,0),MATCH($G$163,$AE$24:$AE$27,0)))*C163</f>
        <v>0</v>
      </c>
      <c r="X155" s="87">
        <f>(INDEX(($EL$139:$FI$142,$EL$146:$FI$149,$FL$139:$GI$142,$FL$146:$GI$149),MATCH($L$172,$EK$139:$EK$142,0),MATCH(A163,$EL$138:$FI$138,0),MATCH($G$163,$AE$24:$AE$27,0)))*C163</f>
        <v>0</v>
      </c>
      <c r="Y155" s="87">
        <f>(INDEX(($EL$139:$FI$142,$EL$146:$FI$149,$FL$139:$GI$142,$FL$146:$GI$149),MATCH($L$173,$EK$139:$EK$142,0),MATCH(A163,$EL$138:$FI$138,0),MATCH($G$163,$AE$24:$AE$27,0)))*C163</f>
        <v>0</v>
      </c>
      <c r="Z155" s="87">
        <f>(INDEX(($EL$139:$FI$142,$EL$146:$FI$149,$FL$139:$GI$142,$FL$146:$GI$149),MATCH($L$174,$EK$139:$EK$142,0),MATCH(A163,$EL$138:$FI$138,0),MATCH($G$163,$AE$24:$AE$27,0)))*C163</f>
        <v>0</v>
      </c>
      <c r="AA155" s="64">
        <f t="shared" si="357"/>
        <v>0</v>
      </c>
      <c r="AB155" s="64">
        <f t="shared" si="355"/>
        <v>0</v>
      </c>
      <c r="AC155" s="64"/>
      <c r="AD155" s="64"/>
      <c r="AE155" s="64"/>
      <c r="AF155" s="64"/>
      <c r="AG155" s="64"/>
      <c r="AH155" s="64"/>
      <c r="AI155" s="90">
        <v>9</v>
      </c>
      <c r="AJ155" s="90" t="s">
        <v>334</v>
      </c>
      <c r="AK155" s="87">
        <v>9</v>
      </c>
      <c r="AL155" s="64"/>
      <c r="AM155" s="64"/>
      <c r="AN155" s="64"/>
      <c r="AO155" s="64">
        <f t="shared" si="356"/>
        <v>1</v>
      </c>
      <c r="AP155" s="64"/>
      <c r="AQ155" s="64"/>
      <c r="AR155" s="64"/>
      <c r="AS155" s="64"/>
      <c r="AT155" s="64"/>
      <c r="AU155" s="64"/>
      <c r="AV155" s="64"/>
      <c r="AW155" s="64"/>
      <c r="AX155" s="64"/>
      <c r="AY155" s="64"/>
      <c r="AZ155" s="64"/>
      <c r="BA155" s="64"/>
      <c r="BB155" s="64"/>
      <c r="BC155" s="64"/>
      <c r="BD155" s="64"/>
      <c r="BE155" s="64"/>
      <c r="BF155" s="64"/>
      <c r="BG155" s="64"/>
      <c r="BH155" s="64"/>
      <c r="BI155" s="64"/>
      <c r="BJ155" s="64"/>
      <c r="BK155" s="64"/>
      <c r="BL155" s="64"/>
      <c r="BM155" s="64"/>
      <c r="BN155" s="64"/>
      <c r="BO155" s="64"/>
      <c r="BP155" s="64"/>
      <c r="BQ155" s="64"/>
      <c r="BR155" s="64"/>
      <c r="BS155" s="64"/>
      <c r="BT155" s="64"/>
      <c r="BU155" s="64"/>
      <c r="BV155" s="64"/>
      <c r="BW155" s="64"/>
      <c r="BX155" s="64"/>
      <c r="BY155" s="64"/>
      <c r="BZ155" s="64"/>
      <c r="CA155" s="64"/>
      <c r="CB155" s="64"/>
      <c r="CC155" s="64"/>
      <c r="CD155" s="64"/>
      <c r="CE155" s="64"/>
      <c r="CF155" s="64"/>
      <c r="CG155" s="64"/>
      <c r="CH155" s="64"/>
      <c r="CI155" s="64"/>
      <c r="CJ155" s="64"/>
      <c r="CK155" s="64"/>
      <c r="CL155" s="64"/>
      <c r="CM155" s="64"/>
      <c r="CN155" s="64"/>
      <c r="CO155" s="64"/>
      <c r="CP155" s="64"/>
      <c r="CQ155" s="64"/>
      <c r="CR155" s="64"/>
      <c r="CS155" s="64"/>
      <c r="CT155" s="64"/>
      <c r="CU155" s="64"/>
      <c r="CV155" s="64"/>
      <c r="CW155" s="64"/>
      <c r="CX155" s="64"/>
      <c r="CY155" s="64"/>
      <c r="CZ155" s="64"/>
      <c r="DA155" s="64"/>
      <c r="DB155" s="64"/>
      <c r="DC155" s="64"/>
      <c r="DD155" s="64"/>
      <c r="DE155" s="64"/>
      <c r="DF155" s="64"/>
      <c r="DG155" s="64"/>
      <c r="DH155" s="64"/>
      <c r="DI155" s="64"/>
      <c r="DJ155" s="64"/>
      <c r="DK155" s="64"/>
      <c r="DL155" s="64"/>
      <c r="DM155" s="64"/>
      <c r="DN155" s="64"/>
      <c r="DO155" s="64"/>
      <c r="DP155" s="64"/>
      <c r="DQ155" s="80"/>
      <c r="DR155" s="80">
        <v>40</v>
      </c>
      <c r="DS155" s="80"/>
      <c r="DT155" s="64"/>
      <c r="DU155" s="64"/>
      <c r="DV155" s="64"/>
      <c r="DW155" s="64"/>
      <c r="DX155" s="64"/>
      <c r="DY155" s="64"/>
      <c r="DZ155" s="64"/>
      <c r="EA155" s="64"/>
      <c r="EB155" s="64"/>
      <c r="EC155" s="64"/>
      <c r="ED155" s="64"/>
      <c r="EE155" s="64"/>
      <c r="EF155" s="64"/>
      <c r="EG155" s="64"/>
      <c r="EH155" s="64"/>
      <c r="EI155" s="64"/>
      <c r="EJ155" s="64"/>
      <c r="EK155" s="64"/>
      <c r="EL155" s="64"/>
      <c r="EM155" s="64"/>
      <c r="EN155" s="64"/>
      <c r="EO155" s="64"/>
      <c r="EP155" s="64"/>
      <c r="EQ155" s="64"/>
      <c r="ER155" s="64"/>
      <c r="ES155" s="64"/>
      <c r="ET155" s="64"/>
      <c r="EU155" s="64"/>
      <c r="EV155" s="64"/>
      <c r="EW155" s="64"/>
      <c r="EX155" s="64"/>
      <c r="EY155" s="64"/>
      <c r="EZ155" s="64"/>
      <c r="FA155" s="64"/>
      <c r="FB155" s="64"/>
      <c r="FC155" s="64"/>
      <c r="FD155" s="64"/>
      <c r="FE155" s="64"/>
      <c r="FF155" s="64"/>
      <c r="FG155" s="64"/>
      <c r="FH155" s="64"/>
      <c r="FI155" s="64"/>
      <c r="FJ155" s="64"/>
      <c r="FK155" s="64"/>
      <c r="FL155" s="64"/>
      <c r="FM155" s="64"/>
      <c r="FN155" s="64"/>
      <c r="FO155" s="64"/>
      <c r="FP155" s="64"/>
      <c r="FQ155" s="64"/>
      <c r="FR155" s="64"/>
      <c r="FS155" s="64"/>
      <c r="FT155" s="64"/>
      <c r="FU155" s="64"/>
      <c r="FV155" s="64"/>
      <c r="FW155" s="64"/>
      <c r="FX155" s="64"/>
      <c r="FY155" s="64"/>
      <c r="FZ155" s="64"/>
      <c r="GA155" s="64"/>
      <c r="GB155" s="64"/>
      <c r="GC155" s="64"/>
      <c r="GD155" s="64"/>
      <c r="GE155" s="64"/>
      <c r="GF155" s="64"/>
      <c r="GG155" s="64"/>
      <c r="GH155" s="64"/>
      <c r="GI155" s="64"/>
      <c r="GJ155" s="64"/>
      <c r="GK155" s="64"/>
      <c r="GL155" s="64"/>
      <c r="GM155" s="64"/>
      <c r="GN155" s="64"/>
      <c r="GO155" s="64"/>
      <c r="GP155" s="64"/>
      <c r="GQ155" s="64"/>
      <c r="GR155" s="64"/>
      <c r="GS155" s="64"/>
      <c r="GT155" s="64"/>
      <c r="GU155" s="64"/>
      <c r="GV155" s="64"/>
      <c r="GW155" s="64"/>
      <c r="GX155" s="64"/>
      <c r="GY155" s="64"/>
      <c r="GZ155" s="64"/>
      <c r="HA155" s="64"/>
      <c r="HB155" s="64"/>
      <c r="HC155" s="64"/>
      <c r="HD155" s="64"/>
      <c r="HE155" s="64"/>
      <c r="HF155" s="64"/>
      <c r="HG155" s="64"/>
      <c r="HH155" s="64"/>
    </row>
    <row r="156" spans="1:216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38" t="s">
        <v>336</v>
      </c>
      <c r="M156" s="11">
        <f>INDEX(cenník!$C$2:$I$568,MATCH($L156,cenník!$B$2:$B$557,0),MATCH(M$2,cenník!$C$1:$I$1,0))</f>
        <v>890504</v>
      </c>
      <c r="N156" s="11" t="str">
        <f>INDEX(cenník!$C$2:$I$568,MATCH($L156,cenník!$B$2:$B$557,0),MATCH(N$2,cenník!$C$1:$I$1,0))</f>
        <v>ks</v>
      </c>
      <c r="O156" s="11">
        <f>SUM(C130:C145)*12</f>
        <v>0</v>
      </c>
      <c r="P156" s="36">
        <f>INDEX(cenník!$C$2:$I$568,MATCH($L156,cenník!$B$2:$B$557,0),MATCH(P$2,cenník!$C$1:$I$1,0))</f>
        <v>1.59</v>
      </c>
      <c r="Q156" s="36">
        <f t="shared" ref="Q156" si="358">O156*P156</f>
        <v>0</v>
      </c>
      <c r="R156" s="37">
        <f t="shared" si="326"/>
        <v>0</v>
      </c>
      <c r="S156" s="36">
        <f t="shared" si="325"/>
        <v>1.59</v>
      </c>
      <c r="T156" s="36">
        <f t="shared" ref="T156" si="359">O156*S156</f>
        <v>0</v>
      </c>
      <c r="U156" s="36">
        <f>INDEX(cenník!$C$2:$I$568,MATCH($L156,cenník!$B$2:$B$557,0),MATCH(U$2,cenník!$C$1:$I$1,0))*O156</f>
        <v>0</v>
      </c>
      <c r="V156" s="85"/>
      <c r="W156" s="87">
        <f>(INDEX(($EL$139:$FI$142,$EL$146:$FI$149,$FL$139:$GI$142,$FL$146:$GI$149),MATCH($L$175,$EK$139:$EK$142,0),MATCH(A164,$EL$138:$FI$138,0),MATCH($G$163,$AE$24:$AE$27,0)))*C164</f>
        <v>0</v>
      </c>
      <c r="X156" s="87">
        <f>(INDEX(($EL$139:$FI$142,$EL$146:$FI$149,$FL$139:$GI$142,$FL$146:$GI$149),MATCH($L$172,$EK$139:$EK$142,0),MATCH(A164,$EL$138:$FI$138,0),MATCH($G$163,$AE$24:$AE$27,0)))*C164</f>
        <v>0</v>
      </c>
      <c r="Y156" s="87">
        <f>(INDEX(($EL$139:$FI$142,$EL$146:$FI$149,$FL$139:$GI$142,$FL$146:$GI$149),MATCH($L$173,$EK$139:$EK$142,0),MATCH(A164,$EL$138:$FI$138,0),MATCH($G$163,$AE$24:$AE$27,0)))*C164</f>
        <v>0</v>
      </c>
      <c r="Z156" s="87">
        <f>(INDEX(($EL$139:$FI$142,$EL$146:$FI$149,$FL$139:$GI$142,$FL$146:$GI$149),MATCH($L$174,$EK$139:$EK$142,0),MATCH(A164,$EL$138:$FI$138,0),MATCH($G$163,$AE$24:$AE$27,0)))*C164</f>
        <v>0</v>
      </c>
      <c r="AA156" s="64">
        <f t="shared" si="357"/>
        <v>0</v>
      </c>
      <c r="AB156" s="64">
        <f t="shared" si="355"/>
        <v>0</v>
      </c>
      <c r="AC156" s="64"/>
      <c r="AD156" s="64"/>
      <c r="AE156" s="64"/>
      <c r="AF156" s="64"/>
      <c r="AG156" s="64"/>
      <c r="AH156" s="64"/>
      <c r="AI156" s="89">
        <v>13</v>
      </c>
      <c r="AJ156" s="89" t="s">
        <v>320</v>
      </c>
      <c r="AK156" s="87">
        <v>12</v>
      </c>
      <c r="AL156" s="64"/>
      <c r="AM156" s="64"/>
      <c r="AN156" s="64"/>
      <c r="AO156" s="64">
        <f t="shared" si="356"/>
        <v>1</v>
      </c>
      <c r="AQ156" s="64" t="s">
        <v>515</v>
      </c>
      <c r="AR156" s="64" t="s">
        <v>516</v>
      </c>
      <c r="AS156" s="64" t="s">
        <v>483</v>
      </c>
      <c r="AT156" s="64" t="s">
        <v>517</v>
      </c>
      <c r="AU156" s="64"/>
      <c r="AV156" s="64"/>
      <c r="AW156" s="64"/>
      <c r="AX156" s="64"/>
      <c r="AY156" s="64"/>
      <c r="AZ156" s="64"/>
      <c r="BA156" s="64"/>
      <c r="BB156" s="64"/>
      <c r="BC156" s="64"/>
      <c r="BD156" s="64"/>
      <c r="BE156" s="64"/>
      <c r="BF156" s="64"/>
      <c r="BG156" s="64"/>
      <c r="BH156" s="64"/>
      <c r="BI156" s="64"/>
      <c r="BJ156" s="64"/>
      <c r="BK156" s="64"/>
      <c r="BL156" s="64"/>
      <c r="BM156" s="64"/>
      <c r="BN156" s="64"/>
      <c r="BO156" s="64"/>
      <c r="BP156" s="64"/>
      <c r="BQ156" s="64"/>
      <c r="BR156" s="64"/>
      <c r="BS156" s="64"/>
      <c r="BT156" s="64"/>
      <c r="BU156" s="64"/>
      <c r="BV156" s="64"/>
      <c r="BW156" s="64"/>
      <c r="BX156" s="64"/>
      <c r="BY156" s="64"/>
      <c r="BZ156" s="64"/>
      <c r="CA156" s="64"/>
      <c r="CB156" s="64"/>
      <c r="CC156" s="64"/>
      <c r="CD156" s="64"/>
      <c r="CE156" s="64"/>
      <c r="CF156" s="64"/>
      <c r="CG156" s="64"/>
      <c r="CH156" s="64"/>
      <c r="CI156" s="64"/>
      <c r="CJ156" s="64"/>
      <c r="CK156" s="64"/>
      <c r="CL156" s="64"/>
      <c r="CM156" s="64"/>
      <c r="CN156" s="64"/>
      <c r="CO156" s="64"/>
      <c r="CP156" s="64"/>
      <c r="CQ156" s="64"/>
      <c r="CR156" s="64"/>
      <c r="CS156" s="64"/>
      <c r="CT156" s="64"/>
      <c r="CU156" s="64"/>
      <c r="CV156" s="64"/>
      <c r="CW156" s="64"/>
      <c r="CX156" s="64"/>
      <c r="CY156" s="64"/>
      <c r="CZ156" s="64"/>
      <c r="DA156" s="64"/>
      <c r="DB156" s="64"/>
      <c r="DC156" s="64"/>
      <c r="DD156" s="64"/>
      <c r="DE156" s="64"/>
      <c r="DF156" s="64"/>
      <c r="DG156" s="64"/>
      <c r="DH156" s="64"/>
      <c r="DI156" s="64"/>
      <c r="DJ156" s="64"/>
      <c r="DK156" s="64"/>
      <c r="DL156" s="64"/>
      <c r="DM156" s="64"/>
      <c r="DN156" s="64"/>
      <c r="DO156" s="64"/>
      <c r="DP156" s="64"/>
      <c r="DQ156" s="80"/>
      <c r="DR156" s="80">
        <v>42</v>
      </c>
      <c r="DS156" s="80"/>
      <c r="DT156" s="64"/>
      <c r="DU156" s="64"/>
      <c r="DV156" s="64"/>
      <c r="DW156" s="64"/>
      <c r="DX156" s="64"/>
      <c r="DY156" s="64"/>
      <c r="DZ156" s="64"/>
      <c r="EA156" s="64"/>
      <c r="EB156" s="64"/>
      <c r="EC156" s="64"/>
      <c r="ED156" s="64"/>
      <c r="EE156" s="64"/>
      <c r="EF156" s="64"/>
      <c r="EG156" s="64"/>
      <c r="EH156" s="64"/>
      <c r="EI156" s="64"/>
      <c r="EJ156" s="64"/>
      <c r="EK156" s="64"/>
      <c r="EL156" s="64"/>
      <c r="EM156" s="64"/>
      <c r="EN156" s="64"/>
      <c r="EO156" s="64"/>
      <c r="EP156" s="64"/>
      <c r="EQ156" s="64"/>
      <c r="ER156" s="64"/>
      <c r="ES156" s="64"/>
      <c r="ET156" s="64"/>
      <c r="EU156" s="64"/>
      <c r="EV156" s="64"/>
      <c r="EW156" s="64"/>
      <c r="EX156" s="64"/>
      <c r="EY156" s="64"/>
      <c r="EZ156" s="64"/>
      <c r="FA156" s="64"/>
      <c r="FB156" s="64"/>
      <c r="FC156" s="64"/>
      <c r="FD156" s="64"/>
      <c r="FE156" s="64"/>
      <c r="FF156" s="64"/>
      <c r="FG156" s="64"/>
      <c r="FH156" s="64"/>
      <c r="FI156" s="64"/>
      <c r="FJ156" s="64"/>
      <c r="FK156" s="64"/>
      <c r="FL156" s="64"/>
      <c r="FM156" s="64"/>
      <c r="FN156" s="64"/>
      <c r="FO156" s="64"/>
      <c r="FP156" s="64"/>
      <c r="FQ156" s="64"/>
      <c r="FR156" s="64"/>
      <c r="FS156" s="64"/>
      <c r="FT156" s="64"/>
      <c r="FU156" s="64"/>
      <c r="FV156" s="64"/>
      <c r="FW156" s="64"/>
      <c r="FX156" s="64"/>
      <c r="FY156" s="64"/>
      <c r="FZ156" s="64"/>
      <c r="GA156" s="64"/>
      <c r="GB156" s="64"/>
      <c r="GC156" s="64"/>
      <c r="GD156" s="64"/>
      <c r="GE156" s="64"/>
      <c r="GF156" s="64"/>
      <c r="GG156" s="64"/>
      <c r="GH156" s="64"/>
      <c r="GI156" s="64"/>
      <c r="GJ156" s="64"/>
      <c r="GK156" s="64"/>
      <c r="GL156" s="64"/>
      <c r="GM156" s="64"/>
      <c r="GN156" s="64"/>
      <c r="GO156" s="64"/>
      <c r="GP156" s="64"/>
      <c r="GQ156" s="64"/>
      <c r="GR156" s="64"/>
      <c r="GS156" s="64"/>
      <c r="GT156" s="64"/>
      <c r="GU156" s="64"/>
      <c r="GV156" s="64"/>
      <c r="GW156" s="64"/>
      <c r="GX156" s="64"/>
      <c r="GY156" s="64"/>
      <c r="GZ156" s="64"/>
      <c r="HA156" s="64"/>
      <c r="HB156" s="64"/>
      <c r="HC156" s="64"/>
      <c r="HD156" s="64"/>
      <c r="HE156" s="64"/>
      <c r="HF156" s="64"/>
      <c r="HG156" s="64"/>
      <c r="HH156" s="64"/>
    </row>
    <row r="157" spans="1:216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514</v>
      </c>
      <c r="M157" s="11"/>
      <c r="N157" s="11"/>
      <c r="O157" s="11"/>
      <c r="P157" s="36"/>
      <c r="Q157" s="36"/>
      <c r="R157" s="37"/>
      <c r="S157" s="36"/>
      <c r="T157" s="36"/>
      <c r="U157" s="36"/>
      <c r="V157" s="85"/>
      <c r="W157" s="87">
        <f>(INDEX(($EL$139:$FI$142,$EL$146:$FI$149,$FL$139:$GI$142,$FL$146:$GI$149),MATCH($L$175,$EK$139:$EK$142,0),MATCH(A165,$EL$138:$FI$138,0),MATCH($G$163,$AE$24:$AE$27,0)))*C165</f>
        <v>0</v>
      </c>
      <c r="X157" s="87">
        <f>(INDEX(($EL$139:$FI$142,$EL$146:$FI$149,$FL$139:$GI$142,$FL$146:$GI$149),MATCH($L$172,$EK$139:$EK$142,0),MATCH(A165,$EL$138:$FI$138,0),MATCH($G$163,$AE$24:$AE$27,0)))*C165</f>
        <v>0</v>
      </c>
      <c r="Y157" s="87">
        <f>(INDEX(($EL$139:$FI$142,$EL$146:$FI$149,$FL$139:$GI$142,$FL$146:$GI$149),MATCH($L$173,$EK$139:$EK$142,0),MATCH(A165,$EL$138:$FI$138,0),MATCH($G$163,$AE$24:$AE$27,0)))*C165</f>
        <v>0</v>
      </c>
      <c r="Z157" s="87">
        <f>(INDEX(($EL$139:$FI$142,$EL$146:$FI$149,$FL$139:$GI$142,$FL$146:$GI$149),MATCH($L$174,$EK$139:$EK$142,0),MATCH(A165,$EL$138:$FI$138,0),MATCH($G$163,$AE$24:$AE$27,0)))*C165</f>
        <v>0</v>
      </c>
      <c r="AA157" s="64">
        <f t="shared" si="357"/>
        <v>0</v>
      </c>
      <c r="AB157" s="64">
        <f t="shared" si="355"/>
        <v>0</v>
      </c>
      <c r="AC157" s="64"/>
      <c r="AD157" s="64"/>
      <c r="AE157" s="64"/>
      <c r="AF157" s="64"/>
      <c r="AG157" s="64"/>
      <c r="AH157" s="64"/>
      <c r="AI157" s="64"/>
      <c r="AJ157" s="64"/>
      <c r="AK157" s="64"/>
      <c r="AL157" s="64"/>
      <c r="AM157" s="64"/>
      <c r="AN157" s="64"/>
      <c r="AO157" s="64">
        <f t="shared" si="356"/>
        <v>1</v>
      </c>
      <c r="AP157" s="64">
        <v>25</v>
      </c>
      <c r="AQ157" s="64" t="s">
        <v>498</v>
      </c>
      <c r="AR157" s="64" t="s">
        <v>499</v>
      </c>
      <c r="AS157" s="64" t="s">
        <v>500</v>
      </c>
      <c r="AT157" s="64" t="s">
        <v>501</v>
      </c>
      <c r="AU157" s="64"/>
      <c r="AV157" s="64"/>
      <c r="AW157" s="64"/>
      <c r="AX157" s="64"/>
      <c r="AY157" s="64"/>
      <c r="AZ157" s="64"/>
      <c r="BA157" s="64"/>
      <c r="BB157" s="64"/>
      <c r="BC157" s="64"/>
      <c r="BD157" s="64"/>
      <c r="BE157" s="64"/>
      <c r="BF157" s="64"/>
      <c r="BG157" s="64"/>
      <c r="BH157" s="64"/>
      <c r="BI157" s="64"/>
      <c r="BJ157" s="64"/>
      <c r="BK157" s="64"/>
      <c r="BL157" s="64"/>
      <c r="BM157" s="64"/>
      <c r="BN157" s="64"/>
      <c r="BO157" s="64"/>
      <c r="BP157" s="64"/>
      <c r="BQ157" s="64"/>
      <c r="BR157" s="64"/>
      <c r="BS157" s="64"/>
      <c r="BT157" s="64"/>
      <c r="BU157" s="64"/>
      <c r="BV157" s="64"/>
      <c r="BW157" s="64"/>
      <c r="BX157" s="64"/>
      <c r="BY157" s="64"/>
      <c r="BZ157" s="64"/>
      <c r="CA157" s="64"/>
      <c r="CB157" s="64"/>
      <c r="CC157" s="64"/>
      <c r="CD157" s="64"/>
      <c r="CE157" s="64"/>
      <c r="CF157" s="64"/>
      <c r="CG157" s="64"/>
      <c r="CH157" s="64"/>
      <c r="CI157" s="64"/>
      <c r="CJ157" s="64"/>
      <c r="CK157" s="64"/>
      <c r="CL157" s="64"/>
      <c r="CM157" s="64"/>
      <c r="CN157" s="64"/>
      <c r="CO157" s="64"/>
      <c r="CP157" s="64"/>
      <c r="CQ157" s="64"/>
      <c r="CR157" s="64"/>
      <c r="CS157" s="64"/>
      <c r="CT157" s="64"/>
      <c r="CU157" s="64"/>
      <c r="CV157" s="64"/>
      <c r="CW157" s="64"/>
      <c r="CX157" s="64"/>
      <c r="CY157" s="64"/>
      <c r="CZ157" s="64"/>
      <c r="DA157" s="64"/>
      <c r="DB157" s="64"/>
      <c r="DC157" s="64"/>
      <c r="DD157" s="64"/>
      <c r="DE157" s="64"/>
      <c r="DF157" s="64"/>
      <c r="DG157" s="64"/>
      <c r="DH157" s="64"/>
      <c r="DI157" s="64"/>
      <c r="DJ157" s="64"/>
      <c r="DK157" s="64"/>
      <c r="DL157" s="64"/>
      <c r="DM157" s="64"/>
      <c r="DN157" s="64"/>
      <c r="DO157" s="64"/>
      <c r="DP157" s="64"/>
      <c r="DQ157" s="80"/>
      <c r="DR157" s="80">
        <v>44</v>
      </c>
      <c r="DS157" s="80"/>
      <c r="DT157" s="64"/>
      <c r="DU157" s="64"/>
      <c r="DV157" s="64"/>
      <c r="DW157" s="64"/>
      <c r="DX157" s="64"/>
      <c r="DY157" s="64"/>
      <c r="DZ157" s="64"/>
      <c r="EA157" s="64"/>
      <c r="EB157" s="64"/>
      <c r="EC157" s="64"/>
      <c r="ED157" s="64"/>
      <c r="EE157" s="64"/>
      <c r="EF157" s="64"/>
      <c r="EG157" s="64"/>
      <c r="EH157" s="64"/>
      <c r="EI157" s="64"/>
      <c r="EJ157" s="64"/>
      <c r="EK157" s="64"/>
      <c r="EL157" s="64"/>
      <c r="EM157" s="64"/>
      <c r="EN157" s="64"/>
      <c r="EO157" s="64"/>
      <c r="EP157" s="64"/>
      <c r="EQ157" s="64"/>
      <c r="ER157" s="64"/>
      <c r="ES157" s="64"/>
      <c r="ET157" s="64"/>
      <c r="EU157" s="64"/>
      <c r="EV157" s="64"/>
      <c r="EW157" s="64"/>
      <c r="EX157" s="64"/>
      <c r="EY157" s="64"/>
      <c r="EZ157" s="64"/>
      <c r="FA157" s="64"/>
      <c r="FB157" s="64"/>
      <c r="FC157" s="64"/>
      <c r="FD157" s="64"/>
      <c r="FE157" s="64"/>
      <c r="FF157" s="64"/>
      <c r="FG157" s="64"/>
      <c r="FH157" s="64"/>
      <c r="FI157" s="64"/>
      <c r="FJ157" s="64"/>
      <c r="FK157" s="64"/>
      <c r="FL157" s="64"/>
      <c r="FM157" s="64"/>
      <c r="FN157" s="64"/>
      <c r="FO157" s="64"/>
      <c r="FP157" s="64"/>
      <c r="FQ157" s="64"/>
      <c r="FR157" s="64"/>
      <c r="FS157" s="64"/>
      <c r="FT157" s="64"/>
      <c r="FU157" s="64"/>
      <c r="FV157" s="64"/>
      <c r="FW157" s="64"/>
      <c r="FX157" s="64"/>
      <c r="FY157" s="64"/>
      <c r="FZ157" s="64"/>
      <c r="GA157" s="64"/>
      <c r="GB157" s="64"/>
      <c r="GC157" s="64"/>
      <c r="GD157" s="64"/>
      <c r="GE157" s="64"/>
      <c r="GF157" s="64"/>
      <c r="GG157" s="64"/>
      <c r="GH157" s="64"/>
      <c r="GI157" s="64"/>
      <c r="GJ157" s="64"/>
      <c r="GK157" s="64"/>
      <c r="GL157" s="64"/>
      <c r="GM157" s="64"/>
      <c r="GN157" s="64"/>
      <c r="GO157" s="64"/>
      <c r="GP157" s="64"/>
      <c r="GQ157" s="64"/>
      <c r="GR157" s="64"/>
      <c r="GS157" s="64"/>
      <c r="GT157" s="64"/>
      <c r="GU157" s="64"/>
      <c r="GV157" s="64"/>
      <c r="GW157" s="64"/>
      <c r="GX157" s="64"/>
      <c r="GY157" s="64"/>
      <c r="GZ157" s="64"/>
      <c r="HA157" s="64"/>
      <c r="HB157" s="64"/>
      <c r="HC157" s="64"/>
      <c r="HD157" s="64"/>
      <c r="HE157" s="64"/>
      <c r="HF157" s="64"/>
      <c r="HG157" s="64"/>
      <c r="HH157" s="64"/>
    </row>
    <row r="158" spans="1:216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>
        <f>INDEX(cenník!$C$2:$I$568,MATCH($L158,cenník!$B$2:$B$557,0),MATCH(M$2,cenník!$C$1:$I$1,0))</f>
        <v>867832</v>
      </c>
      <c r="N158" s="11" t="str">
        <f>INDEX(cenník!$C$2:$I$568,MATCH($L158,cenník!$B$2:$B$557,0),MATCH(N$2,cenník!$C$1:$I$1,0))</f>
        <v>ks</v>
      </c>
      <c r="O158" s="11">
        <f>E134*2</f>
        <v>0</v>
      </c>
      <c r="P158" s="36">
        <f>INDEX(cenník!$C$2:$I$568,MATCH($L158,cenník!$B$2:$B$557,0),MATCH(P$2,cenník!$C$1:$I$1,0))</f>
        <v>56</v>
      </c>
      <c r="Q158" s="36">
        <f>O158*P158</f>
        <v>0</v>
      </c>
      <c r="R158" s="37">
        <f>$E$135</f>
        <v>0</v>
      </c>
      <c r="S158" s="36">
        <f>P158*((100-$E$135)/100)</f>
        <v>56</v>
      </c>
      <c r="T158" s="36">
        <f>O158*S158</f>
        <v>0</v>
      </c>
      <c r="U158" s="36">
        <f>INDEX(cenník!$C$2:$I$568,MATCH($L158,cenník!$B$2:$B$557,0),MATCH(U$2,cenník!$C$1:$I$1,0))*O158</f>
        <v>0</v>
      </c>
      <c r="V158" s="85"/>
      <c r="W158" s="87">
        <f>(INDEX(($EL$139:$FI$142,$EL$146:$FI$149,$FL$139:$GI$142,$FL$146:$GI$149),MATCH($L$175,$EK$139:$EK$142,0),MATCH(A166,$EL$138:$FI$138,0),MATCH($G$163,$AE$24:$AE$27,0)))*C166</f>
        <v>0</v>
      </c>
      <c r="X158" s="87">
        <f>(INDEX(($EL$139:$FI$142,$EL$146:$FI$149,$FL$139:$GI$142,$FL$146:$GI$149),MATCH($L$172,$EK$139:$EK$142,0),MATCH(A166,$EL$138:$FI$138,0),MATCH($G$163,$AE$24:$AE$27,0)))*C166</f>
        <v>0</v>
      </c>
      <c r="Y158" s="87">
        <f>(INDEX(($EL$139:$FI$142,$EL$146:$FI$149,$FL$139:$GI$142,$FL$146:$GI$149),MATCH($L$173,$EK$139:$EK$142,0),MATCH(A166,$EL$138:$FI$138,0),MATCH($G$163,$AE$24:$AE$27,0)))*C166</f>
        <v>0</v>
      </c>
      <c r="Z158" s="87">
        <f>(INDEX(($EL$139:$FI$142,$EL$146:$FI$149,$FL$139:$GI$142,$FL$146:$GI$149),MATCH($L$174,$EK$139:$EK$142,0),MATCH(A166,$EL$138:$FI$138,0),MATCH($G$163,$AE$24:$AE$27,0)))*C166</f>
        <v>0</v>
      </c>
      <c r="AA158" s="64">
        <f t="shared" si="357"/>
        <v>0</v>
      </c>
      <c r="AB158" s="64">
        <f t="shared" si="355"/>
        <v>0</v>
      </c>
      <c r="AC158" s="64"/>
      <c r="AD158" s="64"/>
      <c r="AE158" s="64"/>
      <c r="AF158" s="64"/>
      <c r="AG158" s="64"/>
      <c r="AH158" s="64"/>
      <c r="AI158" s="64"/>
      <c r="AJ158" s="64"/>
      <c r="AK158" s="64"/>
      <c r="AL158" s="64"/>
      <c r="AM158" s="64"/>
      <c r="AN158" s="64"/>
      <c r="AO158" s="64">
        <f t="shared" si="356"/>
        <v>1</v>
      </c>
      <c r="AP158" s="64">
        <v>30</v>
      </c>
      <c r="AQ158" s="64" t="s">
        <v>502</v>
      </c>
      <c r="AR158" s="64" t="s">
        <v>503</v>
      </c>
      <c r="AS158" s="64" t="s">
        <v>504</v>
      </c>
      <c r="AT158" s="64" t="s">
        <v>505</v>
      </c>
      <c r="AU158" s="64"/>
      <c r="AV158" s="64"/>
      <c r="AW158" s="64"/>
      <c r="AX158" s="64"/>
      <c r="AY158" s="64"/>
      <c r="AZ158" s="64"/>
      <c r="BA158" s="64"/>
      <c r="BB158" s="64"/>
      <c r="BC158" s="64"/>
      <c r="BD158" s="64"/>
      <c r="BE158" s="64"/>
      <c r="BF158" s="64"/>
      <c r="BG158" s="64"/>
      <c r="BH158" s="64"/>
      <c r="BI158" s="64"/>
      <c r="BJ158" s="64"/>
      <c r="BK158" s="64"/>
      <c r="BL158" s="64"/>
      <c r="BM158" s="64"/>
      <c r="BN158" s="64"/>
      <c r="BO158" s="64"/>
      <c r="BP158" s="64"/>
      <c r="BQ158" s="64"/>
      <c r="BR158" s="64"/>
      <c r="BS158" s="64"/>
      <c r="BT158" s="64"/>
      <c r="BU158" s="64"/>
      <c r="BV158" s="64"/>
      <c r="BW158" s="64"/>
      <c r="BX158" s="64"/>
      <c r="BY158" s="64"/>
      <c r="BZ158" s="64"/>
      <c r="CA158" s="64"/>
      <c r="CB158" s="64"/>
      <c r="CC158" s="64"/>
      <c r="CD158" s="64"/>
      <c r="CE158" s="64"/>
      <c r="CF158" s="64"/>
      <c r="CG158" s="64"/>
      <c r="CH158" s="64"/>
      <c r="CI158" s="64"/>
      <c r="CJ158" s="64"/>
      <c r="CK158" s="64"/>
      <c r="CL158" s="64"/>
      <c r="CM158" s="64"/>
      <c r="CN158" s="64"/>
      <c r="CO158" s="64"/>
      <c r="CP158" s="64"/>
      <c r="CQ158" s="64"/>
      <c r="CR158" s="64"/>
      <c r="CS158" s="64"/>
      <c r="CT158" s="64"/>
      <c r="CU158" s="64"/>
      <c r="CV158" s="64"/>
      <c r="CW158" s="64"/>
      <c r="CX158" s="64"/>
      <c r="CY158" s="64"/>
      <c r="CZ158" s="64"/>
      <c r="DA158" s="64"/>
      <c r="DB158" s="64"/>
      <c r="DC158" s="64"/>
      <c r="DD158" s="64"/>
      <c r="DE158" s="64"/>
      <c r="DF158" s="64"/>
      <c r="DG158" s="64"/>
      <c r="DH158" s="64"/>
      <c r="DI158" s="64"/>
      <c r="DJ158" s="64"/>
      <c r="DK158" s="64"/>
      <c r="DL158" s="64"/>
      <c r="DM158" s="64"/>
      <c r="DN158" s="64"/>
      <c r="DO158" s="64"/>
      <c r="DP158" s="64"/>
      <c r="DQ158" s="80"/>
      <c r="DR158" s="80">
        <v>46</v>
      </c>
      <c r="DS158" s="80"/>
      <c r="DT158" s="64"/>
      <c r="DU158" s="64"/>
      <c r="DV158" s="64"/>
      <c r="DW158" s="64"/>
      <c r="DX158" s="64"/>
      <c r="DY158" s="64"/>
      <c r="DZ158" s="64"/>
      <c r="EA158" s="64"/>
      <c r="EB158" s="64"/>
      <c r="EC158" s="64"/>
      <c r="ED158" s="64"/>
      <c r="EE158" s="64"/>
      <c r="EF158" s="64"/>
      <c r="EG158" s="64"/>
      <c r="EH158" s="64"/>
      <c r="EI158" s="64"/>
      <c r="EJ158" s="64"/>
      <c r="EK158" s="64"/>
      <c r="EL158" s="64"/>
      <c r="EM158" s="64"/>
      <c r="EN158" s="64"/>
      <c r="EO158" s="64"/>
      <c r="EP158" s="64"/>
      <c r="EQ158" s="64"/>
      <c r="ER158" s="64"/>
      <c r="ES158" s="64"/>
      <c r="ET158" s="64"/>
      <c r="EU158" s="64"/>
      <c r="EV158" s="64"/>
      <c r="EW158" s="64"/>
      <c r="EX158" s="64"/>
      <c r="EY158" s="64"/>
      <c r="EZ158" s="64"/>
      <c r="FA158" s="64"/>
      <c r="FB158" s="64"/>
      <c r="FC158" s="64"/>
      <c r="FD158" s="64"/>
      <c r="FE158" s="64"/>
      <c r="FF158" s="64"/>
      <c r="FG158" s="64"/>
      <c r="FH158" s="64"/>
      <c r="FI158" s="64"/>
      <c r="FJ158" s="64"/>
      <c r="FK158" s="64"/>
      <c r="FL158" s="64"/>
      <c r="FM158" s="64"/>
      <c r="FN158" s="64"/>
      <c r="FO158" s="64"/>
      <c r="FP158" s="64"/>
      <c r="FQ158" s="64"/>
      <c r="FR158" s="64"/>
      <c r="FS158" s="64"/>
      <c r="FT158" s="64"/>
      <c r="FU158" s="64"/>
      <c r="FV158" s="64"/>
      <c r="FW158" s="64"/>
      <c r="FX158" s="64"/>
      <c r="FY158" s="64"/>
      <c r="FZ158" s="64"/>
      <c r="GA158" s="64"/>
      <c r="GB158" s="64"/>
      <c r="GC158" s="64"/>
      <c r="GD158" s="64"/>
      <c r="GE158" s="64"/>
      <c r="GF158" s="64"/>
      <c r="GG158" s="64"/>
      <c r="GH158" s="64"/>
      <c r="GI158" s="64"/>
      <c r="GJ158" s="64"/>
      <c r="GK158" s="64"/>
      <c r="GL158" s="64"/>
      <c r="GM158" s="64"/>
      <c r="GN158" s="64"/>
      <c r="GO158" s="64"/>
      <c r="GP158" s="64"/>
      <c r="GQ158" s="64"/>
      <c r="GR158" s="64"/>
      <c r="GS158" s="64"/>
      <c r="GT158" s="64"/>
      <c r="GU158" s="64"/>
      <c r="GV158" s="64"/>
      <c r="GW158" s="64"/>
      <c r="GX158" s="64"/>
      <c r="GY158" s="64"/>
      <c r="GZ158" s="64"/>
      <c r="HA158" s="64"/>
      <c r="HB158" s="64"/>
      <c r="HC158" s="64"/>
      <c r="HD158" s="64"/>
      <c r="HE158" s="64"/>
      <c r="HF158" s="64"/>
      <c r="HG158" s="64"/>
      <c r="HH158" s="64"/>
    </row>
    <row r="159" spans="1:216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290</v>
      </c>
      <c r="M159" s="11">
        <f>INDEX(cenník!$C$2:$I$568,MATCH($L159,cenník!$B$2:$B$557,0),MATCH(M$2,cenník!$C$1:$I$1,0))</f>
        <v>867810</v>
      </c>
      <c r="N159" s="11" t="str">
        <f>INDEX(cenník!$C$2:$I$568,MATCH($L159,cenník!$B$2:$B$557,0),MATCH(N$2,cenník!$C$1:$I$1,0))</f>
        <v>ks</v>
      </c>
      <c r="O159" s="11">
        <f>E134*4</f>
        <v>0</v>
      </c>
      <c r="P159" s="36">
        <f>INDEX(cenník!$C$2:$I$568,MATCH($L159,cenník!$B$2:$B$557,0),MATCH(P$2,cenník!$C$1:$I$1,0))</f>
        <v>17.5</v>
      </c>
      <c r="Q159" s="36">
        <f>O159*P159</f>
        <v>0</v>
      </c>
      <c r="R159" s="37">
        <f>$E$135</f>
        <v>0</v>
      </c>
      <c r="S159" s="36">
        <f>P159*((100-$E$135)/100)</f>
        <v>17.5</v>
      </c>
      <c r="T159" s="36">
        <f>O159*S159</f>
        <v>0</v>
      </c>
      <c r="U159" s="36">
        <f>INDEX(cenník!$C$2:$I$568,MATCH($L159,cenník!$B$2:$B$557,0),MATCH(U$2,cenník!$C$1:$I$1,0))*O159</f>
        <v>0</v>
      </c>
      <c r="V159" s="85"/>
      <c r="W159" s="87">
        <f>(INDEX(($EL$139:$FI$142,$EL$146:$FI$149,$FL$139:$GI$142,$FL$146:$GI$149),MATCH($L$175,$EK$139:$EK$142,0),MATCH(A167,$EL$138:$FI$138,0),MATCH($G$163,$AE$24:$AE$27,0)))*C167</f>
        <v>0</v>
      </c>
      <c r="X159" s="87">
        <f>(INDEX(($EL$139:$FI$142,$EL$146:$FI$149,$FL$139:$GI$142,$FL$146:$GI$149),MATCH($L$172,$EK$139:$EK$142,0),MATCH(A167,$EL$138:$FI$138,0),MATCH($G$163,$AE$24:$AE$27,0)))*C167</f>
        <v>0</v>
      </c>
      <c r="Y159" s="87">
        <f>(INDEX(($EL$139:$FI$142,$EL$146:$FI$149,$FL$139:$GI$142,$FL$146:$GI$149),MATCH($L$173,$EK$139:$EK$142,0),MATCH(A167,$EL$138:$FI$138,0),MATCH($G$163,$AE$24:$AE$27,0)))*C167</f>
        <v>0</v>
      </c>
      <c r="Z159" s="87">
        <f>(INDEX(($EL$139:$FI$142,$EL$146:$FI$149,$FL$139:$GI$142,$FL$146:$GI$149),MATCH($L$174,$EK$139:$EK$142,0),MATCH(A167,$EL$138:$FI$138,0),MATCH($G$163,$AE$24:$AE$27,0)))*C167</f>
        <v>0</v>
      </c>
      <c r="AA159" s="64">
        <f t="shared" si="357"/>
        <v>0</v>
      </c>
      <c r="AB159" s="64">
        <f t="shared" si="355"/>
        <v>0</v>
      </c>
      <c r="AC159" s="64"/>
      <c r="AD159" s="64"/>
      <c r="AE159" s="64"/>
      <c r="AF159" s="64"/>
      <c r="AG159" s="64"/>
      <c r="AH159" s="64"/>
      <c r="AI159" s="64"/>
      <c r="AJ159" s="64"/>
      <c r="AK159" s="64"/>
      <c r="AL159" s="64"/>
      <c r="AM159" s="64"/>
      <c r="AN159" s="64"/>
      <c r="AO159" s="64">
        <f t="shared" si="356"/>
        <v>1</v>
      </c>
      <c r="AP159" s="64"/>
      <c r="AQ159" s="64"/>
      <c r="AR159" s="64"/>
      <c r="AS159" s="64"/>
      <c r="AT159" s="64"/>
      <c r="AU159" s="64"/>
      <c r="AV159" s="64"/>
      <c r="AW159" s="64"/>
      <c r="AX159" s="64"/>
      <c r="AY159" s="64"/>
      <c r="AZ159" s="64"/>
      <c r="BA159" s="64"/>
      <c r="BB159" s="64"/>
      <c r="BC159" s="64"/>
      <c r="BD159" s="64"/>
      <c r="BE159" s="64"/>
      <c r="BF159" s="64"/>
      <c r="BG159" s="64"/>
      <c r="BH159" s="64"/>
      <c r="BI159" s="64"/>
      <c r="BJ159" s="64"/>
      <c r="BK159" s="64"/>
      <c r="BL159" s="64"/>
      <c r="BM159" s="64"/>
      <c r="BN159" s="64"/>
      <c r="BO159" s="64"/>
      <c r="BP159" s="64"/>
      <c r="BQ159" s="64"/>
      <c r="BR159" s="64"/>
      <c r="BS159" s="64"/>
      <c r="BT159" s="64"/>
      <c r="BU159" s="64"/>
      <c r="BV159" s="64"/>
      <c r="BW159" s="64"/>
      <c r="BX159" s="64"/>
      <c r="BY159" s="64"/>
      <c r="BZ159" s="64"/>
      <c r="CA159" s="64"/>
      <c r="CB159" s="64"/>
      <c r="CC159" s="64"/>
      <c r="CD159" s="64"/>
      <c r="CE159" s="64"/>
      <c r="CF159" s="64"/>
      <c r="CG159" s="64"/>
      <c r="CH159" s="64"/>
      <c r="CI159" s="64"/>
      <c r="CJ159" s="64"/>
      <c r="CK159" s="64"/>
      <c r="CL159" s="64"/>
      <c r="CM159" s="64"/>
      <c r="CN159" s="64"/>
      <c r="CO159" s="64"/>
      <c r="CP159" s="64"/>
      <c r="CQ159" s="64"/>
      <c r="CR159" s="64"/>
      <c r="CS159" s="64"/>
      <c r="CT159" s="64"/>
      <c r="CU159" s="64"/>
      <c r="CV159" s="64"/>
      <c r="CW159" s="64"/>
      <c r="CX159" s="64"/>
      <c r="CY159" s="64"/>
      <c r="CZ159" s="64"/>
      <c r="DA159" s="64"/>
      <c r="DB159" s="64"/>
      <c r="DC159" s="64"/>
      <c r="DD159" s="64"/>
      <c r="DE159" s="64"/>
      <c r="DF159" s="64"/>
      <c r="DG159" s="64"/>
      <c r="DH159" s="64"/>
      <c r="DI159" s="64"/>
      <c r="DJ159" s="64"/>
      <c r="DK159" s="64"/>
      <c r="DL159" s="64"/>
      <c r="DM159" s="64"/>
      <c r="DN159" s="64"/>
      <c r="DO159" s="64"/>
      <c r="DP159" s="64"/>
      <c r="DQ159" s="80"/>
      <c r="DR159" s="80">
        <v>48</v>
      </c>
      <c r="DS159" s="80"/>
      <c r="DT159" s="64"/>
      <c r="DU159" s="64"/>
      <c r="DV159" s="64"/>
      <c r="DW159" s="64"/>
      <c r="DX159" s="64"/>
      <c r="DY159" s="64"/>
      <c r="DZ159" s="64"/>
      <c r="EA159" s="64"/>
      <c r="EB159" s="64"/>
      <c r="EC159" s="64"/>
      <c r="ED159" s="64"/>
      <c r="EE159" s="64"/>
      <c r="EF159" s="64"/>
      <c r="EG159" s="64"/>
      <c r="EH159" s="64"/>
      <c r="EI159" s="64"/>
      <c r="EJ159" s="64"/>
      <c r="EK159" s="64"/>
      <c r="EL159" s="64"/>
      <c r="EM159" s="64"/>
      <c r="EN159" s="64"/>
      <c r="EO159" s="64"/>
      <c r="EP159" s="64"/>
      <c r="EQ159" s="64"/>
      <c r="ER159" s="64"/>
      <c r="ES159" s="64"/>
      <c r="ET159" s="64"/>
      <c r="EU159" s="64"/>
      <c r="EV159" s="64"/>
      <c r="EW159" s="64"/>
      <c r="EX159" s="64"/>
      <c r="EY159" s="64"/>
      <c r="EZ159" s="64"/>
      <c r="FA159" s="64"/>
      <c r="FB159" s="64"/>
      <c r="FC159" s="64"/>
      <c r="FD159" s="64"/>
      <c r="FE159" s="64"/>
      <c r="FF159" s="64"/>
      <c r="FG159" s="64"/>
      <c r="FH159" s="64"/>
      <c r="FI159" s="64"/>
      <c r="FJ159" s="64"/>
      <c r="FK159" s="64"/>
      <c r="FL159" s="64"/>
      <c r="FM159" s="64"/>
      <c r="FN159" s="64"/>
      <c r="FO159" s="64"/>
      <c r="FP159" s="64"/>
      <c r="FQ159" s="64"/>
      <c r="FR159" s="64"/>
      <c r="FS159" s="64"/>
      <c r="FT159" s="64"/>
      <c r="FU159" s="64"/>
      <c r="FV159" s="64"/>
      <c r="FW159" s="64"/>
      <c r="FX159" s="64"/>
      <c r="FY159" s="64"/>
      <c r="FZ159" s="64"/>
      <c r="GA159" s="64"/>
      <c r="GB159" s="64"/>
      <c r="GC159" s="64"/>
      <c r="GD159" s="64"/>
      <c r="GE159" s="64"/>
      <c r="GF159" s="64"/>
      <c r="GG159" s="64"/>
      <c r="GH159" s="64"/>
      <c r="GI159" s="64"/>
      <c r="GJ159" s="64"/>
      <c r="GK159" s="64"/>
      <c r="GL159" s="64"/>
      <c r="GM159" s="64"/>
      <c r="GN159" s="64"/>
      <c r="GO159" s="64"/>
      <c r="GP159" s="64"/>
      <c r="GQ159" s="64"/>
      <c r="GR159" s="64"/>
      <c r="GS159" s="64"/>
      <c r="GT159" s="64"/>
      <c r="GU159" s="64"/>
      <c r="GV159" s="64"/>
      <c r="GW159" s="64"/>
      <c r="GX159" s="64"/>
      <c r="GY159" s="64"/>
      <c r="GZ159" s="64"/>
      <c r="HA159" s="64"/>
      <c r="HB159" s="64"/>
      <c r="HC159" s="64"/>
      <c r="HD159" s="64"/>
      <c r="HE159" s="64"/>
      <c r="HF159" s="64"/>
      <c r="HG159" s="64"/>
      <c r="HH159" s="64"/>
    </row>
    <row r="160" spans="1:216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3"/>
      <c r="N160" s="23"/>
      <c r="O160" s="23"/>
      <c r="P160" s="23"/>
      <c r="Q160" s="23"/>
      <c r="R160" s="23"/>
      <c r="S160" s="23"/>
      <c r="T160" s="36">
        <f>SUM(T131:T159)</f>
        <v>0</v>
      </c>
      <c r="U160" s="36">
        <f>SUM(U131:U159)</f>
        <v>0</v>
      </c>
      <c r="V160" s="85"/>
      <c r="W160" s="87">
        <f>(INDEX(($EL$139:$FI$142,$EL$146:$FI$149,$FL$139:$GI$142,$FL$146:$GI$149),MATCH($L$175,$EK$139:$EK$142,0),MATCH(A168,$EL$138:$FI$138,0),MATCH($G$163,$AE$24:$AE$27,0)))*C168</f>
        <v>0</v>
      </c>
      <c r="X160" s="87">
        <f>(INDEX(($EL$139:$FI$142,$EL$146:$FI$149,$FL$139:$GI$142,$FL$146:$GI$149),MATCH($L$172,$EK$139:$EK$142,0),MATCH(A168,$EL$138:$FI$138,0),MATCH($G$163,$AE$24:$AE$27,0)))*C168</f>
        <v>0</v>
      </c>
      <c r="Y160" s="87">
        <f>(INDEX(($EL$139:$FI$142,$EL$146:$FI$149,$FL$139:$GI$142,$FL$146:$GI$149),MATCH($L$173,$EK$139:$EK$142,0),MATCH(A168,$EL$138:$FI$138,0),MATCH($G$163,$AE$24:$AE$27,0)))*C168</f>
        <v>0</v>
      </c>
      <c r="Z160" s="87">
        <f>(INDEX(($EL$139:$FI$142,$EL$146:$FI$149,$FL$139:$GI$142,$FL$146:$GI$149),MATCH($L$174,$EK$139:$EK$142,0),MATCH(A168,$EL$138:$FI$138,0),MATCH($G$163,$AE$24:$AE$27,0)))*C168</f>
        <v>0</v>
      </c>
      <c r="AA160" s="64">
        <f t="shared" si="357"/>
        <v>0</v>
      </c>
      <c r="AB160" s="64">
        <f t="shared" si="355"/>
        <v>0</v>
      </c>
      <c r="AC160" s="64"/>
      <c r="AD160" s="64"/>
      <c r="AE160" s="64"/>
      <c r="AF160" s="64"/>
      <c r="AG160" s="64"/>
      <c r="AH160" s="64"/>
      <c r="AI160" s="64"/>
      <c r="AJ160" s="64"/>
      <c r="AK160" s="64"/>
      <c r="AL160" s="64"/>
      <c r="AM160" s="64"/>
      <c r="AN160" s="64"/>
      <c r="AO160" s="64">
        <f t="shared" si="356"/>
        <v>1</v>
      </c>
      <c r="AP160" s="64"/>
      <c r="AQ160" s="64"/>
      <c r="AR160" s="64"/>
      <c r="AS160" s="64"/>
      <c r="AT160" s="64"/>
      <c r="AU160" s="64"/>
      <c r="AV160" s="64"/>
      <c r="AW160" s="64"/>
      <c r="AX160" s="64"/>
      <c r="AY160" s="64"/>
      <c r="AZ160" s="64"/>
      <c r="BA160" s="64"/>
      <c r="BB160" s="64"/>
      <c r="BC160" s="64"/>
      <c r="BD160" s="64"/>
      <c r="BE160" s="64"/>
      <c r="BF160" s="64"/>
      <c r="BG160" s="64"/>
      <c r="BH160" s="64"/>
      <c r="BI160" s="64"/>
      <c r="BJ160" s="64"/>
      <c r="BK160" s="64"/>
      <c r="BL160" s="64"/>
      <c r="BM160" s="64"/>
      <c r="BN160" s="64"/>
      <c r="BO160" s="64"/>
      <c r="BP160" s="64"/>
      <c r="BQ160" s="64"/>
      <c r="BR160" s="64"/>
      <c r="BS160" s="64"/>
      <c r="BT160" s="64"/>
      <c r="BU160" s="64"/>
      <c r="BV160" s="64"/>
      <c r="BW160" s="64"/>
      <c r="BX160" s="64"/>
      <c r="BY160" s="64"/>
      <c r="BZ160" s="64"/>
      <c r="CA160" s="64"/>
      <c r="CB160" s="64"/>
      <c r="CC160" s="64"/>
      <c r="CD160" s="64"/>
      <c r="CE160" s="64"/>
      <c r="CF160" s="64"/>
      <c r="CG160" s="64"/>
      <c r="CH160" s="64"/>
      <c r="CI160" s="64"/>
      <c r="CJ160" s="64"/>
      <c r="CK160" s="64"/>
      <c r="CL160" s="64"/>
      <c r="CM160" s="64"/>
      <c r="CN160" s="64"/>
      <c r="CO160" s="64"/>
      <c r="CP160" s="64"/>
      <c r="CQ160" s="64"/>
      <c r="CR160" s="64"/>
      <c r="CS160" s="64"/>
      <c r="CT160" s="64"/>
      <c r="CU160" s="64"/>
      <c r="CV160" s="64"/>
      <c r="CW160" s="64"/>
      <c r="CX160" s="64"/>
      <c r="CY160" s="64"/>
      <c r="CZ160" s="64"/>
      <c r="DA160" s="64"/>
      <c r="DB160" s="64"/>
      <c r="DC160" s="64"/>
      <c r="DD160" s="64"/>
      <c r="DE160" s="64"/>
      <c r="DF160" s="64"/>
      <c r="DG160" s="64"/>
      <c r="DH160" s="64"/>
      <c r="DI160" s="64"/>
      <c r="DJ160" s="64"/>
      <c r="DK160" s="64"/>
      <c r="DL160" s="64"/>
      <c r="DM160" s="64"/>
      <c r="DN160" s="64"/>
      <c r="DO160" s="64"/>
      <c r="DP160" s="64"/>
      <c r="DQ160" s="80"/>
      <c r="DR160" s="80">
        <v>50</v>
      </c>
      <c r="DS160" s="80"/>
      <c r="DT160" s="64"/>
      <c r="DU160" s="64"/>
      <c r="DV160" s="64"/>
      <c r="DW160" s="64"/>
      <c r="DX160" s="64"/>
      <c r="DY160" s="64"/>
      <c r="DZ160" s="64"/>
      <c r="EA160" s="64"/>
      <c r="EB160" s="64"/>
      <c r="EC160" s="64"/>
      <c r="ED160" s="64"/>
      <c r="EE160" s="64"/>
      <c r="EF160" s="64"/>
      <c r="EG160" s="64"/>
      <c r="EH160" s="64"/>
      <c r="EI160" s="64"/>
      <c r="EJ160" s="64"/>
      <c r="EK160" s="64"/>
      <c r="EL160" s="64"/>
      <c r="EM160" s="64"/>
      <c r="EN160" s="64"/>
      <c r="EO160" s="64"/>
      <c r="EP160" s="64"/>
      <c r="EQ160" s="64"/>
      <c r="ER160" s="64"/>
      <c r="ES160" s="64"/>
      <c r="ET160" s="64"/>
      <c r="EU160" s="64"/>
      <c r="EV160" s="64"/>
      <c r="EW160" s="64"/>
      <c r="EX160" s="64"/>
      <c r="EY160" s="64"/>
      <c r="EZ160" s="64"/>
      <c r="FA160" s="64"/>
      <c r="FB160" s="64"/>
      <c r="FC160" s="64"/>
      <c r="FD160" s="64"/>
      <c r="FE160" s="64"/>
      <c r="FF160" s="64"/>
      <c r="FG160" s="64"/>
      <c r="FH160" s="64"/>
      <c r="FI160" s="64"/>
      <c r="FJ160" s="64"/>
      <c r="FK160" s="64"/>
      <c r="FL160" s="64"/>
      <c r="FM160" s="64"/>
      <c r="FN160" s="64"/>
      <c r="FO160" s="64"/>
      <c r="FP160" s="64"/>
      <c r="FQ160" s="64"/>
      <c r="FR160" s="64"/>
      <c r="FS160" s="64"/>
      <c r="FT160" s="64"/>
      <c r="FU160" s="64"/>
      <c r="FV160" s="64"/>
      <c r="FW160" s="64"/>
      <c r="FX160" s="64"/>
      <c r="FY160" s="64"/>
      <c r="FZ160" s="64"/>
      <c r="GA160" s="64"/>
      <c r="GB160" s="64"/>
      <c r="GC160" s="64"/>
      <c r="GD160" s="64"/>
      <c r="GE160" s="64"/>
      <c r="GF160" s="64"/>
      <c r="GG160" s="64"/>
      <c r="GH160" s="64"/>
      <c r="GI160" s="64"/>
      <c r="GJ160" s="64"/>
      <c r="GK160" s="64"/>
      <c r="GL160" s="64"/>
      <c r="GM160" s="64"/>
      <c r="GN160" s="64"/>
      <c r="GO160" s="64"/>
      <c r="GP160" s="64"/>
      <c r="GQ160" s="64"/>
      <c r="GR160" s="64"/>
      <c r="GS160" s="64"/>
      <c r="GT160" s="64"/>
      <c r="GU160" s="64"/>
      <c r="GV160" s="64"/>
      <c r="GW160" s="64"/>
      <c r="GX160" s="64"/>
      <c r="GY160" s="64"/>
      <c r="GZ160" s="64"/>
      <c r="HA160" s="64"/>
      <c r="HB160" s="64"/>
      <c r="HC160" s="64"/>
      <c r="HD160" s="64"/>
      <c r="HE160" s="64"/>
      <c r="HF160" s="64"/>
      <c r="HG160" s="64"/>
      <c r="HH160" s="64"/>
    </row>
    <row r="161" spans="1:216" ht="39" x14ac:dyDescent="0.25">
      <c r="A161" s="3" t="s">
        <v>554</v>
      </c>
      <c r="B161" s="3"/>
      <c r="C161" s="3" t="s">
        <v>555</v>
      </c>
      <c r="D161" s="9"/>
      <c r="E161" s="9"/>
      <c r="F161" s="9"/>
      <c r="G161" s="9"/>
      <c r="H161" s="9"/>
      <c r="I161" s="9"/>
      <c r="J161" s="9"/>
      <c r="K161" s="9"/>
      <c r="L161" s="221" t="str">
        <f>IF(E165="zatĺkaná","KONŠTRUKCIA W-V2G1-25°/30°",IF(E165="betónovaná","KONŠTRUKCIA W-V2B1-25°/30°",IF(E165="kotvená","KONŠTRUKCIA W-V2K1-25°/30°",IF(E165="na zemných skrutkach","KONŠTRUKCIA W-V2S1-25°/30°"))))</f>
        <v>KONŠTRUKCIA W-V2G1-25°/30°</v>
      </c>
      <c r="M161" s="221"/>
      <c r="N161" s="221"/>
      <c r="O161" s="221"/>
      <c r="P161" s="221"/>
      <c r="Q161" s="221"/>
      <c r="R161" s="221"/>
      <c r="S161" s="221"/>
      <c r="T161" s="221"/>
      <c r="U161" s="221"/>
      <c r="V161" s="85"/>
      <c r="W161" s="87">
        <f>(INDEX(($EL$139:$FI$142,$EL$146:$FI$149,$FL$139:$GI$142,$FL$146:$GI$149),MATCH($L$175,$EK$139:$EK$142,0),MATCH(A169,$EL$138:$FI$138,0),MATCH($G$163,$AE$24:$AE$27,0)))*C169</f>
        <v>0</v>
      </c>
      <c r="X161" s="87">
        <f>(INDEX(($EL$139:$FI$142,$EL$146:$FI$149,$FL$139:$GI$142,$FL$146:$GI$149),MATCH($L$172,$EK$139:$EK$142,0),MATCH(A169,$EL$138:$FI$138,0),MATCH($G$163,$AE$24:$AE$27,0)))*C169</f>
        <v>0</v>
      </c>
      <c r="Y161" s="87">
        <f>(INDEX(($EL$139:$FI$142,$EL$146:$FI$149,$FL$139:$GI$142,$FL$146:$GI$149),MATCH($L$173,$EK$139:$EK$142,0),MATCH(A169,$EL$138:$FI$138,0),MATCH($G$163,$AE$24:$AE$27,0)))*C169</f>
        <v>0</v>
      </c>
      <c r="Z161" s="87">
        <f>(INDEX(($EL$139:$FI$142,$EL$146:$FI$149,$FL$139:$GI$142,$FL$146:$GI$149),MATCH($L$174,$EK$139:$EK$142,0),MATCH(A169,$EL$138:$FI$138,0),MATCH($G$163,$AE$24:$AE$27,0)))*C169</f>
        <v>0</v>
      </c>
      <c r="AA161" s="64">
        <f t="shared" si="357"/>
        <v>0</v>
      </c>
      <c r="AB161" s="64">
        <f t="shared" si="355"/>
        <v>0</v>
      </c>
      <c r="AC161" s="64"/>
      <c r="AD161" s="64"/>
      <c r="AE161" s="64"/>
      <c r="AF161" s="64"/>
      <c r="AG161" s="64"/>
      <c r="AH161" s="64"/>
      <c r="AI161" s="64"/>
      <c r="AJ161" s="64"/>
      <c r="AK161" s="64"/>
      <c r="AL161" s="64"/>
      <c r="AM161" s="64"/>
      <c r="AN161" s="64"/>
      <c r="AO161" s="64">
        <f t="shared" si="356"/>
        <v>1</v>
      </c>
      <c r="AP161" s="64"/>
      <c r="AQ161" s="64"/>
      <c r="AR161" s="64"/>
      <c r="AS161" s="64"/>
      <c r="AT161" s="64"/>
      <c r="AU161" s="64"/>
      <c r="AV161" s="64"/>
      <c r="AW161" s="64"/>
      <c r="AX161" s="64"/>
      <c r="AY161" s="64"/>
      <c r="AZ161" s="64"/>
      <c r="BA161" s="64"/>
      <c r="BB161" s="64"/>
      <c r="BC161" s="64"/>
      <c r="BD161" s="64"/>
      <c r="BE161" s="64"/>
      <c r="BF161" s="64"/>
      <c r="BG161" s="64"/>
      <c r="BH161" s="64"/>
      <c r="BI161" s="64"/>
      <c r="BJ161" s="64"/>
      <c r="BK161" s="64"/>
      <c r="BL161" s="64"/>
      <c r="BM161" s="64"/>
      <c r="BN161" s="64"/>
      <c r="BO161" s="64"/>
      <c r="BP161" s="64"/>
      <c r="BQ161" s="64"/>
      <c r="BR161" s="64"/>
      <c r="BS161" s="64"/>
      <c r="BT161" s="64"/>
      <c r="BU161" s="64"/>
      <c r="BV161" s="64"/>
      <c r="BW161" s="64"/>
      <c r="BX161" s="64"/>
      <c r="BY161" s="64"/>
      <c r="BZ161" s="64"/>
      <c r="CA161" s="64"/>
      <c r="CB161" s="64"/>
      <c r="CC161" s="64"/>
      <c r="CD161" s="64"/>
      <c r="CE161" s="64"/>
      <c r="CF161" s="64"/>
      <c r="CG161" s="64"/>
      <c r="CH161" s="64"/>
      <c r="CI161" s="64"/>
      <c r="CJ161" s="64"/>
      <c r="CK161" s="64"/>
      <c r="CL161" s="64"/>
      <c r="CM161" s="64"/>
      <c r="CN161" s="64"/>
      <c r="CO161" s="64"/>
      <c r="CP161" s="64"/>
      <c r="CQ161" s="64"/>
      <c r="CR161" s="64"/>
      <c r="CS161" s="64"/>
      <c r="CT161" s="64"/>
      <c r="CU161" s="64"/>
      <c r="CV161" s="64"/>
      <c r="CW161" s="64"/>
      <c r="CX161" s="64"/>
      <c r="CY161" s="64"/>
      <c r="CZ161" s="64"/>
      <c r="DA161" s="64"/>
      <c r="DB161" s="64"/>
      <c r="DC161" s="64"/>
      <c r="DD161" s="64"/>
      <c r="DE161" s="64"/>
      <c r="DF161" s="64"/>
      <c r="DG161" s="64"/>
      <c r="DH161" s="64"/>
      <c r="DI161" s="64"/>
      <c r="DJ161" s="64"/>
      <c r="DK161" s="64"/>
      <c r="DL161" s="64"/>
      <c r="DM161" s="64"/>
      <c r="DN161" s="64"/>
      <c r="DO161" s="64"/>
      <c r="DP161" s="64"/>
      <c r="DQ161" s="80"/>
      <c r="DR161" s="80"/>
      <c r="DS161" s="80"/>
      <c r="DT161" s="64"/>
      <c r="DU161" s="64"/>
      <c r="DV161" s="64"/>
      <c r="DW161" s="64"/>
      <c r="DX161" s="64"/>
      <c r="DY161" s="64"/>
      <c r="DZ161" s="64"/>
      <c r="EA161" s="64"/>
      <c r="EB161" s="64"/>
      <c r="EC161" s="64"/>
      <c r="ED161" s="64"/>
      <c r="EE161" s="64"/>
      <c r="EF161" s="64"/>
      <c r="EG161" s="64"/>
      <c r="EH161" s="64"/>
      <c r="EI161" s="64"/>
      <c r="EJ161" s="64"/>
      <c r="EK161" s="64"/>
      <c r="EL161" s="64"/>
      <c r="EM161" s="64"/>
      <c r="EN161" s="64"/>
      <c r="EO161" s="64"/>
      <c r="EP161" s="64"/>
      <c r="EQ161" s="64"/>
      <c r="ER161" s="64"/>
      <c r="ES161" s="64"/>
      <c r="ET161" s="64"/>
      <c r="EU161" s="64"/>
      <c r="EV161" s="64"/>
      <c r="EW161" s="64"/>
      <c r="EX161" s="64"/>
      <c r="EY161" s="64"/>
      <c r="EZ161" s="64"/>
      <c r="FA161" s="64"/>
      <c r="FB161" s="64"/>
      <c r="FC161" s="64"/>
      <c r="FD161" s="64"/>
      <c r="FE161" s="64"/>
      <c r="FF161" s="64"/>
      <c r="FG161" s="64"/>
      <c r="FH161" s="64"/>
      <c r="FI161" s="64"/>
      <c r="FJ161" s="64"/>
      <c r="FK161" s="64"/>
      <c r="FL161" s="64"/>
      <c r="FM161" s="64"/>
      <c r="FN161" s="64"/>
      <c r="FO161" s="64"/>
      <c r="FP161" s="64"/>
      <c r="FQ161" s="64"/>
      <c r="FR161" s="64"/>
      <c r="FS161" s="64"/>
      <c r="FT161" s="64"/>
      <c r="FU161" s="64"/>
      <c r="FV161" s="64"/>
      <c r="FW161" s="64"/>
      <c r="FX161" s="64"/>
      <c r="FY161" s="64"/>
      <c r="FZ161" s="64"/>
      <c r="GA161" s="64"/>
      <c r="GB161" s="64"/>
      <c r="GC161" s="64"/>
      <c r="GD161" s="64"/>
      <c r="GE161" s="64"/>
      <c r="GF161" s="64"/>
      <c r="GG161" s="64"/>
      <c r="GH161" s="64"/>
      <c r="GI161" s="64"/>
      <c r="GJ161" s="64"/>
      <c r="GK161" s="64"/>
      <c r="GL161" s="64"/>
      <c r="GM161" s="64"/>
      <c r="GN161" s="64"/>
      <c r="GO161" s="64"/>
      <c r="GP161" s="64"/>
      <c r="GQ161" s="64"/>
      <c r="GR161" s="64"/>
      <c r="GS161" s="64"/>
      <c r="GT161" s="64"/>
      <c r="GU161" s="64"/>
      <c r="GV161" s="64"/>
      <c r="GW161" s="64"/>
      <c r="GX161" s="64"/>
      <c r="GY161" s="64"/>
      <c r="GZ161" s="64"/>
      <c r="HA161" s="64"/>
      <c r="HB161" s="64"/>
      <c r="HC161" s="64"/>
      <c r="HD161" s="64"/>
      <c r="HE161" s="64"/>
      <c r="HF161" s="64"/>
      <c r="HG161" s="64"/>
      <c r="HH161" s="64"/>
    </row>
    <row r="162" spans="1:216" x14ac:dyDescent="0.25">
      <c r="A162" s="8">
        <v>38</v>
      </c>
      <c r="B162" s="5" t="s">
        <v>61</v>
      </c>
      <c r="C162" s="8">
        <v>1</v>
      </c>
      <c r="D162" s="9"/>
      <c r="E162" s="1"/>
      <c r="F162" s="9"/>
      <c r="G162" s="9"/>
      <c r="H162" s="9"/>
      <c r="I162" s="9"/>
      <c r="J162" s="9"/>
      <c r="K162" s="9"/>
      <c r="L162" s="5" t="s">
        <v>53</v>
      </c>
      <c r="M162" s="5" t="s">
        <v>559</v>
      </c>
      <c r="N162" s="5" t="s">
        <v>436</v>
      </c>
      <c r="O162" s="5" t="s">
        <v>442</v>
      </c>
      <c r="P162" s="5" t="s">
        <v>443</v>
      </c>
      <c r="Q162" s="5" t="s">
        <v>444</v>
      </c>
      <c r="R162" s="5" t="s">
        <v>445</v>
      </c>
      <c r="S162" s="5" t="s">
        <v>446</v>
      </c>
      <c r="T162" s="5" t="s">
        <v>447</v>
      </c>
      <c r="U162" s="5" t="s">
        <v>438</v>
      </c>
      <c r="V162" s="64"/>
      <c r="W162" s="87">
        <f>(INDEX(($EL$139:$FI$142,$EL$146:$FI$149,$FL$139:$GI$142,$FL$146:$GI$149),MATCH($L$175,$EK$139:$EK$142,0),MATCH(A170,$EL$138:$FI$138,0),MATCH($G$163,$AE$24:$AE$27,0)))*C170</f>
        <v>0</v>
      </c>
      <c r="X162" s="87">
        <f>(INDEX(($EL$139:$FI$142,$EL$146:$FI$149,$FL$139:$GI$142,$FL$146:$GI$149),MATCH($L$172,$EK$139:$EK$142,0),MATCH(A170,$EL$138:$FI$138,0),MATCH($G$163,$AE$24:$AE$27,0)))*C170</f>
        <v>0</v>
      </c>
      <c r="Y162" s="87">
        <f>(INDEX(($EL$139:$FI$142,$EL$146:$FI$149,$FL$139:$GI$142,$FL$146:$GI$149),MATCH($L$173,$EK$139:$EK$142,0),MATCH(A170,$EL$138:$FI$138,0),MATCH($G$163,$AE$24:$AE$27,0)))*C170</f>
        <v>0</v>
      </c>
      <c r="Z162" s="87">
        <f>(INDEX(($EL$139:$FI$142,$EL$146:$FI$149,$FL$139:$GI$142,$FL$146:$GI$149),MATCH($L$174,$EK$139:$EK$142,0),MATCH(A170,$EL$138:$FI$138,0),MATCH($G$163,$AE$24:$AE$27,0)))*C170</f>
        <v>0</v>
      </c>
      <c r="AA162" s="64">
        <f t="shared" si="357"/>
        <v>0</v>
      </c>
      <c r="AB162" s="64">
        <f t="shared" si="355"/>
        <v>0</v>
      </c>
      <c r="AC162" s="64"/>
      <c r="AD162" s="64"/>
      <c r="AE162" s="64"/>
      <c r="AF162" s="64"/>
      <c r="AG162" s="64"/>
      <c r="AH162" s="64"/>
      <c r="AI162" s="64"/>
      <c r="AJ162" s="64"/>
      <c r="AK162" s="64"/>
      <c r="AL162" s="64"/>
      <c r="AM162" s="64"/>
      <c r="AN162" s="64"/>
      <c r="AO162" s="64">
        <f t="shared" si="356"/>
        <v>1</v>
      </c>
      <c r="AP162" s="64"/>
      <c r="AQ162" s="64"/>
      <c r="AR162" s="64"/>
      <c r="AS162" s="64"/>
      <c r="AT162" s="64"/>
      <c r="AU162" s="64"/>
      <c r="AV162" s="64"/>
      <c r="AW162" s="64"/>
      <c r="AX162" s="64"/>
      <c r="AY162" s="64"/>
      <c r="AZ162" s="64"/>
      <c r="BA162" s="64"/>
      <c r="BB162" s="64"/>
      <c r="BC162" s="64"/>
      <c r="BD162" s="64"/>
      <c r="BE162" s="64"/>
      <c r="BF162" s="64"/>
      <c r="BG162" s="64"/>
      <c r="BH162" s="64"/>
      <c r="BI162" s="64"/>
      <c r="BJ162" s="64"/>
      <c r="BK162" s="64"/>
      <c r="BL162" s="64"/>
      <c r="BM162" s="64"/>
      <c r="BN162" s="64"/>
      <c r="BO162" s="64"/>
      <c r="BP162" s="64"/>
      <c r="BQ162" s="64"/>
      <c r="BR162" s="64"/>
      <c r="BS162" s="64"/>
      <c r="BT162" s="64"/>
      <c r="BU162" s="64"/>
      <c r="BV162" s="64"/>
      <c r="BW162" s="64"/>
      <c r="BX162" s="64"/>
      <c r="BY162" s="64"/>
      <c r="BZ162" s="64"/>
      <c r="CA162" s="64"/>
      <c r="CB162" s="64"/>
      <c r="CC162" s="64"/>
      <c r="CD162" s="64"/>
      <c r="CE162" s="64"/>
      <c r="CF162" s="64"/>
      <c r="CG162" s="64"/>
      <c r="CH162" s="64"/>
      <c r="CI162" s="64"/>
      <c r="CJ162" s="64"/>
      <c r="CK162" s="64"/>
      <c r="CL162" s="64"/>
      <c r="CM162" s="64"/>
      <c r="CN162" s="64"/>
      <c r="CO162" s="64"/>
      <c r="CP162" s="64"/>
      <c r="CQ162" s="64"/>
      <c r="CR162" s="64"/>
      <c r="CS162" s="64"/>
      <c r="CT162" s="64"/>
      <c r="CU162" s="64"/>
      <c r="CV162" s="64"/>
      <c r="CW162" s="64"/>
      <c r="CX162" s="64"/>
      <c r="CY162" s="64"/>
      <c r="CZ162" s="64"/>
      <c r="DA162" s="64"/>
      <c r="DB162" s="64"/>
      <c r="DC162" s="64"/>
      <c r="DD162" s="64"/>
      <c r="DE162" s="64"/>
      <c r="DF162" s="64"/>
      <c r="DG162" s="64"/>
      <c r="DH162" s="64"/>
      <c r="DI162" s="64"/>
      <c r="DJ162" s="64"/>
      <c r="DK162" s="64"/>
      <c r="DL162" s="64"/>
      <c r="DM162" s="64"/>
      <c r="DN162" s="64"/>
      <c r="DO162" s="64"/>
      <c r="DP162" s="64"/>
      <c r="DQ162" s="80"/>
      <c r="DR162" s="80"/>
      <c r="DS162" s="80"/>
      <c r="DT162" s="64"/>
      <c r="DU162" s="64"/>
      <c r="DV162" s="64"/>
      <c r="DW162" s="64"/>
      <c r="DX162" s="64"/>
      <c r="DY162" s="64"/>
      <c r="DZ162" s="64"/>
      <c r="EA162" s="64"/>
      <c r="EB162" s="64"/>
      <c r="EC162" s="64"/>
      <c r="ED162" s="64"/>
      <c r="EE162" s="64"/>
      <c r="EF162" s="64"/>
      <c r="EG162" s="64"/>
      <c r="EH162" s="64"/>
      <c r="EI162" s="64"/>
      <c r="EJ162" s="64"/>
      <c r="EK162" s="64"/>
      <c r="EL162" s="64"/>
      <c r="EM162" s="64"/>
      <c r="EN162" s="64"/>
      <c r="EO162" s="64"/>
      <c r="EP162" s="64"/>
      <c r="EQ162" s="64"/>
      <c r="ER162" s="64"/>
      <c r="ES162" s="64"/>
      <c r="ET162" s="64"/>
      <c r="EU162" s="64"/>
      <c r="EV162" s="64"/>
      <c r="EW162" s="64"/>
      <c r="EX162" s="64"/>
      <c r="EY162" s="64"/>
      <c r="EZ162" s="64"/>
      <c r="FA162" s="64"/>
      <c r="FB162" s="64"/>
      <c r="FC162" s="64"/>
      <c r="FD162" s="64"/>
      <c r="FE162" s="64"/>
      <c r="FF162" s="64"/>
      <c r="FG162" s="64"/>
      <c r="FH162" s="64"/>
      <c r="FI162" s="64"/>
      <c r="FJ162" s="64"/>
      <c r="FK162" s="64"/>
      <c r="FL162" s="64"/>
      <c r="FM162" s="64"/>
      <c r="FN162" s="64"/>
      <c r="FO162" s="64"/>
      <c r="FP162" s="64"/>
      <c r="FQ162" s="64"/>
      <c r="FR162" s="64"/>
      <c r="FS162" s="64"/>
      <c r="FT162" s="64"/>
      <c r="FU162" s="64"/>
      <c r="FV162" s="64"/>
      <c r="FW162" s="64"/>
      <c r="FX162" s="64"/>
      <c r="FY162" s="64"/>
      <c r="FZ162" s="64"/>
      <c r="GA162" s="64"/>
      <c r="GB162" s="64"/>
      <c r="GC162" s="64"/>
      <c r="GD162" s="64"/>
      <c r="GE162" s="64"/>
      <c r="GF162" s="64"/>
      <c r="GG162" s="64"/>
      <c r="GH162" s="64"/>
      <c r="GI162" s="64"/>
      <c r="GJ162" s="64"/>
      <c r="GK162" s="64"/>
      <c r="GL162" s="64"/>
      <c r="GM162" s="64"/>
      <c r="GN162" s="64"/>
      <c r="GO162" s="64"/>
      <c r="GP162" s="64"/>
      <c r="GQ162" s="64"/>
      <c r="GR162" s="64"/>
      <c r="GS162" s="64"/>
      <c r="GT162" s="64"/>
      <c r="GU162" s="64"/>
      <c r="GV162" s="64"/>
      <c r="GW162" s="64"/>
      <c r="GX162" s="64"/>
      <c r="GY162" s="64"/>
      <c r="GZ162" s="64"/>
      <c r="HA162" s="64"/>
      <c r="HB162" s="64"/>
      <c r="HC162" s="64"/>
      <c r="HD162" s="64"/>
      <c r="HE162" s="64"/>
      <c r="HF162" s="64"/>
      <c r="HG162" s="64"/>
      <c r="HH162" s="64"/>
    </row>
    <row r="163" spans="1:216" x14ac:dyDescent="0.25">
      <c r="A163" s="8"/>
      <c r="B163" s="5" t="s">
        <v>61</v>
      </c>
      <c r="C163" s="8"/>
      <c r="D163" s="6" t="s">
        <v>452</v>
      </c>
      <c r="E163" s="8" t="s">
        <v>67</v>
      </c>
      <c r="F163" s="5" t="s">
        <v>61</v>
      </c>
      <c r="G163" s="8" t="s">
        <v>60</v>
      </c>
      <c r="H163" s="5" t="s">
        <v>61</v>
      </c>
      <c r="I163" s="8">
        <v>35</v>
      </c>
      <c r="J163" s="5" t="s">
        <v>62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str">
        <f>INDEX(cenník!$C$2:$I$568,MATCH($L163,cenník!$B$2:$B$557,0),MATCH(M$2,cenník!$C$1:$I$1,0))</f>
        <v>-------</v>
      </c>
      <c r="N163" s="11">
        <f>INDEX(cenník!$C$2:$I$568,MATCH($L163,cenník!$B$2:$B$557,0),MATCH(N$2,cenník!$C$1:$I$1,0))</f>
        <v>0</v>
      </c>
      <c r="O163" s="11">
        <f>IF(L163="-------",0,O165)</f>
        <v>0</v>
      </c>
      <c r="P163" s="36">
        <f>INDEX(cenník!$C$2:$I$568,MATCH($L163,cenník!$B$2:$B$557,0),MATCH(P$2,cenník!$C$1:$I$1,0))</f>
        <v>0</v>
      </c>
      <c r="Q163" s="36">
        <f>O163*P163</f>
        <v>0</v>
      </c>
      <c r="R163" s="37">
        <f t="shared" ref="R163:R186" si="360">$E$167</f>
        <v>0</v>
      </c>
      <c r="S163" s="36">
        <f t="shared" ref="S163:S186" si="361">P163*((100-$E$167)/100)</f>
        <v>0</v>
      </c>
      <c r="T163" s="36">
        <f>O163*S163</f>
        <v>0</v>
      </c>
      <c r="U163" s="36">
        <f>INDEX(cenník!$C$2:$I$568,MATCH($L163,cenník!$B$2:$B$557,0),MATCH(U$2,cenník!$C$1:$I$1,0))*O163</f>
        <v>0</v>
      </c>
      <c r="V163" s="64"/>
      <c r="W163" s="87">
        <f>(INDEX(($EL$139:$FI$142,$EL$146:$FI$149,$FL$139:$GI$142,$FL$146:$GI$149),MATCH($L$175,$EK$139:$EK$142,0),MATCH(A171,$EL$138:$FI$138,0),MATCH($G$163,$AE$24:$AE$27,0)))*C171</f>
        <v>0</v>
      </c>
      <c r="X163" s="87">
        <f>(INDEX(($EL$139:$FI$142,$EL$146:$FI$149,$FL$139:$GI$142,$FL$146:$GI$149),MATCH($L$172,$EK$139:$EK$142,0),MATCH(A171,$EL$138:$FI$138,0),MATCH($G$163,$AE$24:$AE$27,0)))*C171</f>
        <v>0</v>
      </c>
      <c r="Y163" s="87">
        <f>(INDEX(($EL$139:$FI$142,$EL$146:$FI$149,$FL$139:$GI$142,$FL$146:$GI$149),MATCH($L$173,$EK$139:$EK$142,0),MATCH(A171,$EL$138:$FI$138,0),MATCH($G$163,$AE$24:$AE$27,0)))*C171</f>
        <v>0</v>
      </c>
      <c r="Z163" s="87">
        <f>(INDEX(($EL$139:$FI$142,$EL$146:$FI$149,$FL$139:$GI$142,$FL$146:$GI$149),MATCH($L$174,$EK$139:$EK$142,0),MATCH(A171,$EL$138:$FI$138,0),MATCH($G$163,$AE$24:$AE$27,0)))*C171</f>
        <v>0</v>
      </c>
      <c r="AA163" s="64">
        <f t="shared" si="357"/>
        <v>0</v>
      </c>
      <c r="AB163" s="64">
        <f t="shared" si="355"/>
        <v>0</v>
      </c>
      <c r="AC163" s="64"/>
      <c r="AD163" s="64"/>
      <c r="AE163" s="64"/>
      <c r="AF163" s="64"/>
      <c r="AG163" s="64"/>
      <c r="AH163" s="64"/>
      <c r="AI163" s="64"/>
      <c r="AJ163" s="64"/>
      <c r="AK163" s="64"/>
      <c r="AL163" s="64"/>
      <c r="AM163" s="64"/>
      <c r="AN163" s="64"/>
      <c r="AO163" s="64">
        <f t="shared" si="356"/>
        <v>1</v>
      </c>
      <c r="AP163" s="64"/>
      <c r="AQ163" s="64"/>
      <c r="AR163" s="64"/>
      <c r="AS163" s="64"/>
      <c r="AT163" s="64"/>
      <c r="AU163" s="64"/>
      <c r="AV163" s="64"/>
      <c r="AW163" s="64"/>
      <c r="AX163" s="64"/>
      <c r="AY163" s="64"/>
      <c r="AZ163" s="64"/>
      <c r="BA163" s="64"/>
      <c r="BB163" s="64"/>
      <c r="BC163" s="64"/>
      <c r="BD163" s="64"/>
      <c r="BE163" s="64"/>
      <c r="BF163" s="64"/>
      <c r="BG163" s="64"/>
      <c r="BH163" s="64"/>
      <c r="BI163" s="64"/>
      <c r="BJ163" s="64"/>
      <c r="BK163" s="64"/>
      <c r="BL163" s="64"/>
      <c r="BM163" s="64"/>
      <c r="BN163" s="64"/>
      <c r="BO163" s="64"/>
      <c r="BP163" s="64"/>
      <c r="BQ163" s="64"/>
      <c r="BR163" s="64"/>
      <c r="BS163" s="64"/>
      <c r="BT163" s="64"/>
      <c r="BU163" s="64"/>
      <c r="BV163" s="64"/>
      <c r="BW163" s="64"/>
      <c r="BX163" s="64"/>
      <c r="BY163" s="64"/>
      <c r="BZ163" s="64"/>
      <c r="CA163" s="64"/>
      <c r="CB163" s="64"/>
      <c r="CC163" s="64"/>
      <c r="CD163" s="64"/>
      <c r="CE163" s="64"/>
      <c r="CF163" s="64"/>
      <c r="CG163" s="64"/>
      <c r="CH163" s="64"/>
      <c r="CI163" s="64"/>
      <c r="CJ163" s="64"/>
      <c r="CK163" s="64"/>
      <c r="CL163" s="64"/>
      <c r="CM163" s="64"/>
      <c r="CN163" s="64"/>
      <c r="CO163" s="64"/>
      <c r="CP163" s="64"/>
      <c r="CQ163" s="64"/>
      <c r="CR163" s="64"/>
      <c r="CS163" s="64"/>
      <c r="CT163" s="64"/>
      <c r="CU163" s="64"/>
      <c r="CV163" s="64"/>
      <c r="CW163" s="64"/>
      <c r="CX163" s="64"/>
      <c r="CY163" s="64"/>
      <c r="CZ163" s="64"/>
      <c r="DA163" s="64"/>
      <c r="DB163" s="64"/>
      <c r="DC163" s="64"/>
      <c r="DD163" s="64"/>
      <c r="DE163" s="64"/>
      <c r="DF163" s="64"/>
      <c r="DG163" s="64"/>
      <c r="DH163" s="64"/>
      <c r="DI163" s="64"/>
      <c r="DJ163" s="64"/>
      <c r="DK163" s="64"/>
      <c r="DL163" s="64"/>
      <c r="DM163" s="64"/>
      <c r="DN163" s="64"/>
      <c r="DO163" s="64"/>
      <c r="DP163" s="64"/>
      <c r="DQ163" s="80"/>
      <c r="DR163" s="80"/>
      <c r="DS163" s="80"/>
      <c r="DT163" s="64"/>
      <c r="DU163" s="64"/>
      <c r="DV163" s="64"/>
      <c r="DW163" s="64"/>
      <c r="DX163" s="64"/>
      <c r="DY163" s="64"/>
      <c r="DZ163" s="64"/>
      <c r="EA163" s="64"/>
      <c r="EB163" s="64"/>
      <c r="EC163" s="64"/>
      <c r="ED163" s="64"/>
      <c r="EE163" s="64"/>
      <c r="EF163" s="64"/>
      <c r="EG163" s="64"/>
      <c r="EH163" s="64"/>
      <c r="EI163" s="64"/>
      <c r="EJ163" s="64"/>
      <c r="EK163" s="64"/>
      <c r="EL163" s="64"/>
      <c r="EM163" s="64"/>
      <c r="EN163" s="64"/>
      <c r="EO163" s="64"/>
      <c r="EP163" s="64"/>
      <c r="EQ163" s="64"/>
      <c r="ER163" s="64"/>
      <c r="ES163" s="64"/>
      <c r="ET163" s="64"/>
      <c r="EU163" s="64"/>
      <c r="EV163" s="64"/>
      <c r="EW163" s="64"/>
      <c r="EX163" s="64"/>
      <c r="EY163" s="64"/>
      <c r="EZ163" s="64"/>
      <c r="FA163" s="64"/>
      <c r="FB163" s="64"/>
      <c r="FC163" s="64"/>
      <c r="FD163" s="64"/>
      <c r="FE163" s="64"/>
      <c r="FF163" s="64"/>
      <c r="FG163" s="64"/>
      <c r="FH163" s="64"/>
      <c r="FI163" s="64"/>
      <c r="FJ163" s="64"/>
      <c r="FK163" s="64"/>
      <c r="FL163" s="64"/>
      <c r="FM163" s="64"/>
      <c r="FN163" s="64"/>
      <c r="FO163" s="64"/>
      <c r="FP163" s="64"/>
      <c r="FQ163" s="64"/>
      <c r="FR163" s="64"/>
      <c r="FS163" s="64"/>
      <c r="FT163" s="64"/>
      <c r="FU163" s="64"/>
      <c r="FV163" s="64"/>
      <c r="FW163" s="64"/>
      <c r="FX163" s="64"/>
      <c r="FY163" s="64"/>
      <c r="FZ163" s="64"/>
      <c r="GA163" s="64"/>
      <c r="GB163" s="64"/>
      <c r="GC163" s="64"/>
      <c r="GD163" s="64"/>
      <c r="GE163" s="64"/>
      <c r="GF163" s="64"/>
      <c r="GG163" s="64"/>
      <c r="GH163" s="64"/>
      <c r="GI163" s="64"/>
      <c r="GJ163" s="64"/>
      <c r="GK163" s="64"/>
      <c r="GL163" s="64"/>
      <c r="GM163" s="64"/>
      <c r="GN163" s="64"/>
      <c r="GO163" s="64"/>
      <c r="GP163" s="64"/>
      <c r="GQ163" s="64"/>
      <c r="GR163" s="64"/>
      <c r="GS163" s="64"/>
      <c r="GT163" s="64"/>
      <c r="GU163" s="64"/>
      <c r="GV163" s="64"/>
      <c r="GW163" s="64"/>
      <c r="GX163" s="64"/>
      <c r="GY163" s="64"/>
      <c r="GZ163" s="64"/>
      <c r="HA163" s="64"/>
      <c r="HB163" s="64"/>
      <c r="HC163" s="64"/>
      <c r="HD163" s="64"/>
      <c r="HE163" s="64"/>
      <c r="HF163" s="64"/>
      <c r="HG163" s="64"/>
      <c r="HH163" s="64"/>
    </row>
    <row r="164" spans="1:216" x14ac:dyDescent="0.25">
      <c r="A164" s="8"/>
      <c r="B164" s="5" t="s">
        <v>61</v>
      </c>
      <c r="C164" s="8"/>
      <c r="D164" s="6" t="s">
        <v>456</v>
      </c>
      <c r="E164" s="8" t="s">
        <v>467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str">
        <f>INDEX(cenník!$C$2:$I$568,MATCH($L164,cenník!$B$2:$B$557,0),MATCH(M$2,cenník!$C$1:$I$1,0))</f>
        <v>-------</v>
      </c>
      <c r="N164" s="11">
        <f>INDEX(cenník!$C$2:$I$568,MATCH($L164,cenník!$B$2:$B$557,0),MATCH(N$2,cenník!$C$1:$I$1,0))</f>
        <v>0</v>
      </c>
      <c r="O164" s="11">
        <f>IF(E165=AC7,SUM(O165),IF(E165=AC8,SUM(O165),IF(E165=AC5,0,IF(E165=AC6,0,0))))</f>
        <v>0</v>
      </c>
      <c r="P164" s="36">
        <f>INDEX(cenník!$C$2:$I$568,MATCH($L164,cenník!$B$2:$B$557,0),MATCH(P$2,cenník!$C$1:$I$1,0))</f>
        <v>0</v>
      </c>
      <c r="Q164" s="36">
        <f>O164*P164</f>
        <v>0</v>
      </c>
      <c r="R164" s="37">
        <f t="shared" si="360"/>
        <v>0</v>
      </c>
      <c r="S164" s="36">
        <f t="shared" si="361"/>
        <v>0</v>
      </c>
      <c r="T164" s="36">
        <f>O164*S164</f>
        <v>0</v>
      </c>
      <c r="U164" s="36">
        <f>INDEX(cenník!$C$2:$I$568,MATCH($L164,cenník!$B$2:$B$557,0),MATCH(U$2,cenník!$C$1:$I$1,0))*O164</f>
        <v>0</v>
      </c>
      <c r="V164" s="64"/>
      <c r="W164" s="87">
        <f>(INDEX(($EL$139:$FI$142,$EL$146:$FI$149,$FL$139:$GI$142,$FL$146:$GI$149),MATCH($L$175,$EK$139:$EK$142,0),MATCH(A172,$EL$138:$FI$138,0),MATCH($G$163,$AE$24:$AE$27,0)))*C172</f>
        <v>0</v>
      </c>
      <c r="X164" s="87">
        <f>(INDEX(($EL$139:$FI$142,$EL$146:$FI$149,$FL$139:$GI$142,$FL$146:$GI$149),MATCH($L$172,$EK$139:$EK$142,0),MATCH(A172,$EL$138:$FI$138,0),MATCH($G$163,$AE$24:$AE$27,0)))*C172</f>
        <v>0</v>
      </c>
      <c r="Y164" s="87">
        <f>(INDEX(($EL$139:$FI$142,$EL$146:$FI$149,$FL$139:$GI$142,$FL$146:$GI$149),MATCH($L$173,$EK$139:$EK$142,0),MATCH(A172,$EL$138:$FI$138,0),MATCH($G$163,$AE$24:$AE$27,0)))*C172</f>
        <v>0</v>
      </c>
      <c r="Z164" s="87">
        <f>(INDEX(($EL$139:$FI$142,$EL$146:$FI$149,$FL$139:$GI$142,$FL$146:$GI$149),MATCH($L$174,$EK$139:$EK$142,0),MATCH(A172,$EL$138:$FI$138,0),MATCH($G$163,$AE$24:$AE$27,0)))*C172</f>
        <v>0</v>
      </c>
      <c r="AA164" s="64">
        <f t="shared" si="357"/>
        <v>0</v>
      </c>
      <c r="AB164" s="64">
        <f t="shared" si="355"/>
        <v>0</v>
      </c>
      <c r="AC164" s="64"/>
      <c r="AD164" s="64"/>
      <c r="AE164" s="64"/>
      <c r="AF164" s="64"/>
      <c r="AG164" s="64"/>
      <c r="AH164" s="64"/>
      <c r="AI164" s="64"/>
      <c r="AJ164" s="64"/>
      <c r="AK164" s="64"/>
      <c r="AL164" s="64"/>
      <c r="AM164" s="64"/>
      <c r="AN164" s="64"/>
      <c r="AO164" s="64">
        <f t="shared" si="356"/>
        <v>1</v>
      </c>
      <c r="AP164" s="64"/>
      <c r="AQ164" s="64"/>
      <c r="AR164" s="64"/>
      <c r="AS164" s="64"/>
      <c r="AT164" s="64"/>
      <c r="AU164" s="64"/>
      <c r="AV164" s="64"/>
      <c r="AW164" s="64"/>
      <c r="AX164" s="64"/>
      <c r="AY164" s="64"/>
      <c r="AZ164" s="64"/>
      <c r="BA164" s="64"/>
      <c r="BB164" s="64"/>
      <c r="BC164" s="64"/>
      <c r="BD164" s="64"/>
      <c r="BE164" s="64"/>
      <c r="BF164" s="64"/>
      <c r="BG164" s="64"/>
      <c r="BH164" s="64"/>
      <c r="BI164" s="64"/>
      <c r="BJ164" s="64"/>
      <c r="BK164" s="64"/>
      <c r="BL164" s="64"/>
      <c r="BM164" s="64"/>
      <c r="BN164" s="64"/>
      <c r="BO164" s="64"/>
      <c r="BP164" s="64"/>
      <c r="BQ164" s="64"/>
      <c r="BR164" s="64"/>
      <c r="BS164" s="64"/>
      <c r="BT164" s="64"/>
      <c r="BU164" s="64"/>
      <c r="BV164" s="64"/>
      <c r="BW164" s="64"/>
      <c r="BX164" s="64"/>
      <c r="BY164" s="64"/>
      <c r="BZ164" s="64"/>
      <c r="CA164" s="64"/>
      <c r="CB164" s="64"/>
      <c r="CC164" s="64"/>
      <c r="CD164" s="64"/>
      <c r="CE164" s="64"/>
      <c r="CF164" s="64"/>
      <c r="CG164" s="64"/>
      <c r="CH164" s="64"/>
      <c r="CI164" s="64"/>
      <c r="CJ164" s="64"/>
      <c r="CK164" s="64"/>
      <c r="CL164" s="64"/>
      <c r="CM164" s="64"/>
      <c r="CN164" s="64"/>
      <c r="CO164" s="64"/>
      <c r="CP164" s="64"/>
      <c r="CQ164" s="64"/>
      <c r="CR164" s="64"/>
      <c r="CS164" s="64"/>
      <c r="CT164" s="64"/>
      <c r="CU164" s="64"/>
      <c r="CV164" s="64"/>
      <c r="CW164" s="64"/>
      <c r="CX164" s="64"/>
      <c r="CY164" s="64"/>
      <c r="CZ164" s="64"/>
      <c r="DA164" s="64"/>
      <c r="DB164" s="64"/>
      <c r="DC164" s="64"/>
      <c r="DD164" s="64"/>
      <c r="DE164" s="64"/>
      <c r="DF164" s="64"/>
      <c r="DG164" s="64"/>
      <c r="DH164" s="64"/>
      <c r="DI164" s="64"/>
      <c r="DJ164" s="64"/>
      <c r="DK164" s="64"/>
      <c r="DL164" s="64"/>
      <c r="DM164" s="64"/>
      <c r="DN164" s="64"/>
      <c r="DO164" s="64"/>
      <c r="DP164" s="64"/>
      <c r="DQ164" s="80"/>
      <c r="DR164" s="80"/>
      <c r="DS164" s="80"/>
      <c r="DT164" s="64"/>
      <c r="DU164" s="64"/>
      <c r="DV164" s="64"/>
      <c r="DW164" s="64"/>
      <c r="DX164" s="64"/>
      <c r="DY164" s="64"/>
      <c r="DZ164" s="64"/>
      <c r="EA164" s="64"/>
      <c r="EB164" s="64"/>
      <c r="EC164" s="64"/>
      <c r="ED164" s="64"/>
      <c r="EE164" s="64"/>
      <c r="EF164" s="64"/>
      <c r="EG164" s="64"/>
      <c r="EH164" s="64"/>
      <c r="EI164" s="64"/>
      <c r="EJ164" s="64"/>
      <c r="EK164" s="64"/>
      <c r="EL164" s="64"/>
      <c r="EM164" s="64"/>
      <c r="EN164" s="64"/>
      <c r="EO164" s="64"/>
      <c r="EP164" s="64"/>
      <c r="EQ164" s="64"/>
      <c r="ER164" s="64"/>
      <c r="ES164" s="64"/>
      <c r="ET164" s="64"/>
      <c r="EU164" s="64"/>
      <c r="EV164" s="64"/>
      <c r="EW164" s="64"/>
      <c r="EX164" s="64"/>
      <c r="EY164" s="64"/>
      <c r="EZ164" s="64"/>
      <c r="FA164" s="64"/>
      <c r="FB164" s="64"/>
      <c r="FC164" s="64"/>
      <c r="FD164" s="64"/>
      <c r="FE164" s="64"/>
      <c r="FF164" s="64"/>
      <c r="FG164" s="64"/>
      <c r="FH164" s="64"/>
      <c r="FI164" s="64"/>
      <c r="FJ164" s="64"/>
      <c r="FK164" s="64"/>
      <c r="FL164" s="64"/>
      <c r="FM164" s="64"/>
      <c r="FN164" s="64"/>
      <c r="FO164" s="64"/>
      <c r="FP164" s="64"/>
      <c r="FQ164" s="64"/>
      <c r="FR164" s="64"/>
      <c r="FS164" s="64"/>
      <c r="FT164" s="64"/>
      <c r="FU164" s="64"/>
      <c r="FV164" s="64"/>
      <c r="FW164" s="64"/>
      <c r="FX164" s="64"/>
      <c r="FY164" s="64"/>
      <c r="FZ164" s="64"/>
      <c r="GA164" s="64"/>
      <c r="GB164" s="64"/>
      <c r="GC164" s="64"/>
      <c r="GD164" s="64"/>
      <c r="GE164" s="64"/>
      <c r="GF164" s="64"/>
      <c r="GG164" s="64"/>
      <c r="GH164" s="64"/>
      <c r="GI164" s="64"/>
      <c r="GJ164" s="64"/>
      <c r="GK164" s="64"/>
      <c r="GL164" s="64"/>
      <c r="GM164" s="64"/>
      <c r="GN164" s="64"/>
      <c r="GO164" s="64"/>
      <c r="GP164" s="64"/>
      <c r="GQ164" s="64"/>
      <c r="GR164" s="64"/>
      <c r="GS164" s="64"/>
      <c r="GT164" s="64"/>
      <c r="GU164" s="64"/>
      <c r="GV164" s="64"/>
      <c r="GW164" s="64"/>
      <c r="GX164" s="64"/>
      <c r="GY164" s="64"/>
      <c r="GZ164" s="64"/>
      <c r="HA164" s="64"/>
      <c r="HB164" s="64"/>
      <c r="HC164" s="64"/>
      <c r="HD164" s="64"/>
      <c r="HE164" s="64"/>
      <c r="HF164" s="64"/>
      <c r="HG164" s="64"/>
      <c r="HH164" s="64"/>
    </row>
    <row r="165" spans="1:216" x14ac:dyDescent="0.25">
      <c r="A165" s="8"/>
      <c r="B165" s="5" t="s">
        <v>61</v>
      </c>
      <c r="C165" s="8"/>
      <c r="D165" s="6" t="s">
        <v>475</v>
      </c>
      <c r="E165" s="8" t="s">
        <v>515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>
        <f>INDEX(cenník!$C$2:$I$568,MATCH($L165,cenník!$B$2:$B$557,0),MATCH(M$2,cenník!$C$1:$I$1,0))</f>
        <v>855136</v>
      </c>
      <c r="N165" s="11" t="str">
        <f>INDEX(cenník!$C$2:$I$568,MATCH($L165,cenník!$B$2:$B$557,0),MATCH(N$2,cenník!$C$1:$I$1,0))</f>
        <v>ks</v>
      </c>
      <c r="O165" s="11">
        <f>SUM(AB152:AB167)</f>
        <v>11</v>
      </c>
      <c r="P165" s="36">
        <f>INDEX(cenník!$C$2:$I$568,MATCH($L165,cenník!$B$2:$B$557,0),MATCH(P$2,cenník!$C$1:$I$1,0))</f>
        <v>97.84</v>
      </c>
      <c r="Q165" s="36">
        <f>O165*P165</f>
        <v>1076.24</v>
      </c>
      <c r="R165" s="37">
        <f t="shared" si="360"/>
        <v>0</v>
      </c>
      <c r="S165" s="36">
        <f t="shared" si="361"/>
        <v>97.84</v>
      </c>
      <c r="T165" s="36">
        <f t="shared" ref="T165:T170" si="362">O165*S165</f>
        <v>1076.24</v>
      </c>
      <c r="U165" s="36">
        <f>INDEX(cenník!$C$2:$I$568,MATCH($L165,cenník!$B$2:$B$557,0),MATCH(U$2,cenník!$C$1:$I$1,0))*O165</f>
        <v>244.64</v>
      </c>
      <c r="V165" s="82"/>
      <c r="W165" s="87">
        <f>(INDEX(($EL$139:$FI$142,$EL$146:$FI$149,$FL$139:$GI$142,$FL$146:$GI$149),MATCH($L$175,$EK$139:$EK$142,0),MATCH(A173,$EL$138:$FI$138,0),MATCH($G$163,$AE$24:$AE$27,0)))*C173</f>
        <v>0</v>
      </c>
      <c r="X165" s="87">
        <f>(INDEX(($EL$139:$FI$142,$EL$146:$FI$149,$FL$139:$GI$142,$FL$146:$GI$149),MATCH($L$172,$EK$139:$EK$142,0),MATCH(A173,$EL$138:$FI$138,0),MATCH($G$163,$AE$24:$AE$27,0)))*C173</f>
        <v>0</v>
      </c>
      <c r="Y165" s="87">
        <f>(INDEX(($EL$139:$FI$142,$EL$146:$FI$149,$FL$139:$GI$142,$FL$146:$GI$149),MATCH($L$173,$EK$139:$EK$142,0),MATCH(A173,$EL$138:$FI$138,0),MATCH($G$163,$AE$24:$AE$27,0)))*C173</f>
        <v>0</v>
      </c>
      <c r="Z165" s="87">
        <f>(INDEX(($EL$139:$FI$142,$EL$146:$FI$149,$FL$139:$GI$142,$FL$146:$GI$149),MATCH($L$174,$EK$139:$EK$142,0),MATCH(A173,$EL$138:$FI$138,0),MATCH($G$163,$AE$24:$AE$27,0)))*C173</f>
        <v>0</v>
      </c>
      <c r="AA165" s="64">
        <f t="shared" si="357"/>
        <v>0</v>
      </c>
      <c r="AB165" s="64">
        <f t="shared" si="355"/>
        <v>0</v>
      </c>
      <c r="AC165" s="64"/>
      <c r="AD165" s="64"/>
      <c r="AE165" s="64"/>
      <c r="AF165" s="64"/>
      <c r="AG165" s="64"/>
      <c r="AH165" s="64"/>
      <c r="AI165" s="64"/>
      <c r="AJ165" s="64"/>
      <c r="AK165" s="64"/>
      <c r="AL165" s="64"/>
      <c r="AM165" s="64"/>
      <c r="AN165" s="64"/>
      <c r="AO165" s="64">
        <f t="shared" si="356"/>
        <v>1</v>
      </c>
      <c r="AP165" s="64"/>
      <c r="AQ165" s="64"/>
      <c r="AR165" s="64"/>
      <c r="AS165" s="64"/>
      <c r="AT165" s="64"/>
      <c r="AU165" s="64"/>
      <c r="AV165" s="64"/>
      <c r="AW165" s="64"/>
      <c r="AX165" s="64"/>
      <c r="AY165" s="64"/>
      <c r="AZ165" s="64"/>
      <c r="BA165" s="64"/>
      <c r="BB165" s="64"/>
      <c r="BC165" s="64"/>
      <c r="BD165" s="64"/>
      <c r="BE165" s="64"/>
      <c r="BF165" s="64"/>
      <c r="BG165" s="64"/>
      <c r="BH165" s="64"/>
      <c r="BI165" s="64"/>
      <c r="BJ165" s="64"/>
      <c r="BK165" s="64"/>
      <c r="BL165" s="64"/>
      <c r="BM165" s="64"/>
      <c r="BN165" s="64"/>
      <c r="BO165" s="64"/>
      <c r="BP165" s="64"/>
      <c r="BQ165" s="64"/>
      <c r="BR165" s="64"/>
      <c r="BS165" s="64"/>
      <c r="BT165" s="64"/>
      <c r="BU165" s="64"/>
      <c r="BV165" s="64"/>
      <c r="BW165" s="64"/>
      <c r="BX165" s="64"/>
      <c r="BY165" s="64"/>
      <c r="BZ165" s="64"/>
      <c r="CA165" s="64"/>
      <c r="CB165" s="64"/>
      <c r="CC165" s="64"/>
      <c r="CD165" s="64"/>
      <c r="CE165" s="64"/>
      <c r="CF165" s="64"/>
      <c r="CG165" s="64"/>
      <c r="CH165" s="64"/>
      <c r="CI165" s="64"/>
      <c r="CJ165" s="64"/>
      <c r="CK165" s="64"/>
      <c r="CL165" s="64"/>
      <c r="CM165" s="64"/>
      <c r="CN165" s="64"/>
      <c r="CO165" s="64"/>
      <c r="CP165" s="64"/>
      <c r="CQ165" s="64"/>
      <c r="CR165" s="64"/>
      <c r="CS165" s="64"/>
      <c r="CT165" s="64"/>
      <c r="CU165" s="64"/>
      <c r="CV165" s="64"/>
      <c r="CW165" s="64"/>
      <c r="CX165" s="64"/>
      <c r="CY165" s="64"/>
      <c r="CZ165" s="64"/>
      <c r="DA165" s="64"/>
      <c r="DB165" s="64"/>
      <c r="DC165" s="64"/>
      <c r="DD165" s="64"/>
      <c r="DE165" s="64"/>
      <c r="DF165" s="64"/>
      <c r="DG165" s="64"/>
      <c r="DH165" s="64"/>
      <c r="DI165" s="64"/>
      <c r="DJ165" s="64"/>
      <c r="DK165" s="64"/>
      <c r="DL165" s="64"/>
      <c r="DM165" s="64"/>
      <c r="DN165" s="64"/>
      <c r="DO165" s="64"/>
      <c r="DP165" s="64"/>
      <c r="DQ165" s="80"/>
      <c r="DR165" s="80">
        <v>0</v>
      </c>
      <c r="DS165" s="80"/>
      <c r="DT165" s="64"/>
      <c r="DU165" s="64"/>
      <c r="DV165" s="64"/>
      <c r="DW165" s="64"/>
      <c r="DX165" s="64"/>
      <c r="DY165" s="64"/>
      <c r="DZ165" s="64"/>
      <c r="EA165" s="64"/>
      <c r="EB165" s="64"/>
      <c r="EC165" s="64"/>
      <c r="ED165" s="64"/>
      <c r="EE165" s="64"/>
      <c r="EF165" s="64"/>
      <c r="EG165" s="64"/>
      <c r="EH165" s="64"/>
      <c r="EI165" s="64"/>
      <c r="EJ165" s="64"/>
      <c r="EK165" s="64"/>
      <c r="EL165" s="64"/>
      <c r="EM165" s="64"/>
      <c r="EN165" s="64"/>
      <c r="EO165" s="64"/>
      <c r="EP165" s="64"/>
      <c r="EQ165" s="64"/>
      <c r="ER165" s="64"/>
      <c r="ES165" s="64"/>
      <c r="ET165" s="64"/>
      <c r="EU165" s="64"/>
      <c r="EV165" s="64"/>
      <c r="EW165" s="64"/>
      <c r="EX165" s="64"/>
      <c r="EY165" s="64"/>
      <c r="EZ165" s="64"/>
      <c r="FA165" s="64"/>
      <c r="FB165" s="64"/>
      <c r="FC165" s="64"/>
      <c r="FD165" s="64"/>
      <c r="FE165" s="64"/>
      <c r="FF165" s="64"/>
      <c r="FG165" s="64"/>
      <c r="FH165" s="64"/>
      <c r="FI165" s="64"/>
      <c r="FJ165" s="64"/>
      <c r="FK165" s="64"/>
      <c r="FL165" s="64"/>
      <c r="FM165" s="64"/>
      <c r="FN165" s="64"/>
      <c r="FO165" s="64"/>
      <c r="FP165" s="64"/>
      <c r="FQ165" s="64"/>
      <c r="FR165" s="64"/>
      <c r="FS165" s="64"/>
      <c r="FT165" s="64"/>
      <c r="FU165" s="64"/>
      <c r="FV165" s="64"/>
      <c r="FW165" s="64"/>
      <c r="FX165" s="64"/>
      <c r="FY165" s="64"/>
      <c r="FZ165" s="64"/>
      <c r="GA165" s="64"/>
      <c r="GB165" s="64"/>
      <c r="GC165" s="64"/>
      <c r="GD165" s="64"/>
      <c r="GE165" s="64"/>
      <c r="GF165" s="64"/>
      <c r="GG165" s="64"/>
      <c r="GH165" s="64"/>
      <c r="GI165" s="64"/>
      <c r="GJ165" s="64"/>
      <c r="GK165" s="64"/>
      <c r="GL165" s="64"/>
      <c r="GM165" s="64"/>
      <c r="GN165" s="64"/>
      <c r="GO165" s="64"/>
      <c r="GP165" s="64"/>
      <c r="GQ165" s="64"/>
      <c r="GR165" s="64"/>
      <c r="GS165" s="64"/>
      <c r="GT165" s="64"/>
      <c r="GU165" s="64"/>
      <c r="GV165" s="64"/>
      <c r="GW165" s="64"/>
      <c r="GX165" s="64"/>
      <c r="GY165" s="64"/>
      <c r="GZ165" s="64"/>
      <c r="HA165" s="64"/>
      <c r="HB165" s="64"/>
      <c r="HC165" s="64"/>
      <c r="HD165" s="64"/>
      <c r="HE165" s="64"/>
      <c r="HF165" s="64"/>
      <c r="HG165" s="64"/>
      <c r="HH165" s="64"/>
    </row>
    <row r="166" spans="1:216" x14ac:dyDescent="0.25">
      <c r="A166" s="8"/>
      <c r="B166" s="5" t="s">
        <v>61</v>
      </c>
      <c r="C166" s="8"/>
      <c r="D166" s="6" t="s">
        <v>488</v>
      </c>
      <c r="E166" s="8">
        <v>1</v>
      </c>
      <c r="F166" s="5"/>
      <c r="G166" s="5"/>
      <c r="H166" s="5"/>
      <c r="I166" s="5"/>
      <c r="J166" s="5" t="s">
        <v>461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>
        <f>INDEX(cenník!$C$2:$I$568,MATCH($L166,cenník!$B$2:$B$557,0),MATCH(M$2,cenník!$C$1:$I$1,0))</f>
        <v>863725</v>
      </c>
      <c r="N166" s="11" t="str">
        <f>INDEX(cenník!$C$2:$I$568,MATCH($L166,cenník!$B$2:$B$557,0),MATCH(N$2,cenník!$C$1:$I$1,0))</f>
        <v>ks</v>
      </c>
      <c r="O166" s="11">
        <f>O165</f>
        <v>11</v>
      </c>
      <c r="P166" s="36">
        <f>INDEX(cenník!$C$2:$I$568,MATCH($L166,cenník!$B$2:$B$557,0),MATCH(P$2,cenník!$C$1:$I$1,0))</f>
        <v>30.99</v>
      </c>
      <c r="Q166" s="36">
        <f t="shared" ref="Q166:Q170" si="363">O166*P166</f>
        <v>340.89</v>
      </c>
      <c r="R166" s="37">
        <f t="shared" si="360"/>
        <v>0</v>
      </c>
      <c r="S166" s="36">
        <f t="shared" si="361"/>
        <v>30.99</v>
      </c>
      <c r="T166" s="36">
        <f t="shared" si="362"/>
        <v>340.89</v>
      </c>
      <c r="U166" s="36">
        <f>INDEX(cenník!$C$2:$I$568,MATCH($L166,cenník!$B$2:$B$557,0),MATCH(U$2,cenník!$C$1:$I$1,0))*O166</f>
        <v>70.400000000000006</v>
      </c>
      <c r="V166" s="82"/>
      <c r="W166" s="87">
        <f>(INDEX(($EL$139:$FI$142,$EL$146:$FI$149,$FL$139:$GI$142,$FL$146:$GI$149),MATCH($L$175,$EK$139:$EK$142,0),MATCH(A174,$EL$138:$FI$138,0),MATCH($G$163,$AE$24:$AE$27,0)))*C174</f>
        <v>0</v>
      </c>
      <c r="X166" s="87">
        <f>(INDEX(($EL$139:$FI$142,$EL$146:$FI$149,$FL$139:$GI$142,$FL$146:$GI$149),MATCH($L$172,$EK$139:$EK$142,0),MATCH(A174,$EL$138:$FI$138,0),MATCH($G$163,$AE$24:$AE$27,0)))*C174</f>
        <v>0</v>
      </c>
      <c r="Y166" s="87">
        <f>(INDEX(($EL$139:$FI$142,$EL$146:$FI$149,$FL$139:$GI$142,$FL$146:$GI$149),MATCH($L$173,$EK$139:$EK$142,0),MATCH(A174,$EL$138:$FI$138,0),MATCH($G$163,$AE$24:$AE$27,0)))*C174</f>
        <v>0</v>
      </c>
      <c r="Z166" s="87">
        <f>(INDEX(($EL$139:$FI$142,$EL$146:$FI$149,$FL$139:$GI$142,$FL$146:$GI$149),MATCH($L$174,$EK$139:$EK$142,0),MATCH(A174,$EL$138:$FI$138,0),MATCH($G$163,$AE$24:$AE$27,0)))*C174</f>
        <v>0</v>
      </c>
      <c r="AA166" s="64">
        <f t="shared" si="357"/>
        <v>0</v>
      </c>
      <c r="AB166" s="64">
        <f t="shared" si="355"/>
        <v>0</v>
      </c>
      <c r="AC166" s="64"/>
      <c r="AD166" s="64"/>
      <c r="AE166" s="64"/>
      <c r="AF166" s="64"/>
      <c r="AG166" s="64"/>
      <c r="AH166" s="64"/>
      <c r="AI166" s="64"/>
      <c r="AJ166" s="64"/>
      <c r="AK166" s="64"/>
      <c r="AL166" s="64"/>
      <c r="AM166" s="64"/>
      <c r="AN166" s="64"/>
      <c r="AO166" s="64">
        <f t="shared" si="356"/>
        <v>1</v>
      </c>
      <c r="AP166" s="64"/>
      <c r="AQ166" s="64"/>
      <c r="AR166" s="64"/>
      <c r="AS166" s="64"/>
      <c r="AT166" s="64"/>
      <c r="AU166" s="64"/>
      <c r="AV166" s="64"/>
      <c r="AW166" s="64"/>
      <c r="AX166" s="64"/>
      <c r="AY166" s="64"/>
      <c r="AZ166" s="64"/>
      <c r="BA166" s="64"/>
      <c r="BB166" s="64"/>
      <c r="BC166" s="64"/>
      <c r="BD166" s="64"/>
      <c r="BE166" s="64"/>
      <c r="BF166" s="64"/>
      <c r="BG166" s="64"/>
      <c r="BH166" s="64" t="s">
        <v>56</v>
      </c>
      <c r="BI166" s="64">
        <v>0</v>
      </c>
      <c r="BJ166" s="64">
        <v>6</v>
      </c>
      <c r="BK166" s="64">
        <v>9</v>
      </c>
      <c r="BL166" s="64">
        <v>12</v>
      </c>
      <c r="BM166" s="64">
        <v>15</v>
      </c>
      <c r="BN166" s="64">
        <v>18</v>
      </c>
      <c r="BO166" s="64">
        <v>21</v>
      </c>
      <c r="BP166" s="64">
        <v>24</v>
      </c>
      <c r="BQ166" s="64">
        <v>27</v>
      </c>
      <c r="BR166" s="64">
        <v>30</v>
      </c>
      <c r="BS166" s="64">
        <v>33</v>
      </c>
      <c r="BT166" s="64">
        <v>36</v>
      </c>
      <c r="BU166" s="64">
        <v>39</v>
      </c>
      <c r="BV166" s="64"/>
      <c r="BW166" s="64" t="s">
        <v>195</v>
      </c>
      <c r="BX166" s="64">
        <v>0</v>
      </c>
      <c r="BY166" s="64">
        <v>6</v>
      </c>
      <c r="BZ166" s="64">
        <v>9</v>
      </c>
      <c r="CA166" s="64">
        <v>12</v>
      </c>
      <c r="CB166" s="64">
        <v>15</v>
      </c>
      <c r="CC166" s="64">
        <v>18</v>
      </c>
      <c r="CD166" s="64">
        <v>21</v>
      </c>
      <c r="CE166" s="64">
        <v>24</v>
      </c>
      <c r="CF166" s="64">
        <v>27</v>
      </c>
      <c r="CG166" s="64">
        <v>30</v>
      </c>
      <c r="CH166" s="64">
        <v>33</v>
      </c>
      <c r="CI166" s="64">
        <v>36</v>
      </c>
      <c r="CJ166" s="64">
        <v>39</v>
      </c>
      <c r="CK166" s="64"/>
      <c r="CL166" s="64"/>
      <c r="CM166" s="64"/>
      <c r="CN166" s="64" t="s">
        <v>198</v>
      </c>
      <c r="CO166" s="64">
        <v>0</v>
      </c>
      <c r="CP166" s="64">
        <v>6</v>
      </c>
      <c r="CQ166" s="64">
        <v>9</v>
      </c>
      <c r="CR166" s="64">
        <v>12</v>
      </c>
      <c r="CS166" s="64">
        <v>15</v>
      </c>
      <c r="CT166" s="64">
        <v>18</v>
      </c>
      <c r="CU166" s="64">
        <v>21</v>
      </c>
      <c r="CV166" s="64">
        <v>24</v>
      </c>
      <c r="CW166" s="64">
        <v>27</v>
      </c>
      <c r="CX166" s="64">
        <v>30</v>
      </c>
      <c r="CY166" s="64">
        <v>33</v>
      </c>
      <c r="CZ166" s="64">
        <v>36</v>
      </c>
      <c r="DA166" s="64">
        <v>39</v>
      </c>
      <c r="DB166" s="64"/>
      <c r="DC166" s="64" t="s">
        <v>72</v>
      </c>
      <c r="DD166" s="64">
        <v>0</v>
      </c>
      <c r="DE166" s="64">
        <v>6</v>
      </c>
      <c r="DF166" s="64">
        <v>9</v>
      </c>
      <c r="DG166" s="64">
        <v>12</v>
      </c>
      <c r="DH166" s="64">
        <v>15</v>
      </c>
      <c r="DI166" s="64">
        <v>18</v>
      </c>
      <c r="DJ166" s="64">
        <v>21</v>
      </c>
      <c r="DK166" s="64">
        <v>24</v>
      </c>
      <c r="DL166" s="64">
        <v>27</v>
      </c>
      <c r="DM166" s="64">
        <v>30</v>
      </c>
      <c r="DN166" s="64">
        <v>33</v>
      </c>
      <c r="DO166" s="64">
        <v>36</v>
      </c>
      <c r="DP166" s="64">
        <v>39</v>
      </c>
      <c r="DQ166" s="80"/>
      <c r="DR166" s="80">
        <v>6</v>
      </c>
      <c r="DS166" s="80"/>
      <c r="DT166" s="64" t="s">
        <v>232</v>
      </c>
      <c r="DU166" s="64">
        <v>0</v>
      </c>
      <c r="DV166" s="64">
        <v>8</v>
      </c>
      <c r="DW166" s="64">
        <v>12</v>
      </c>
      <c r="DX166" s="64">
        <v>16</v>
      </c>
      <c r="DY166" s="64">
        <v>20</v>
      </c>
      <c r="DZ166" s="64">
        <v>24</v>
      </c>
      <c r="EA166" s="64">
        <v>28</v>
      </c>
      <c r="EB166" s="64">
        <v>32</v>
      </c>
      <c r="EC166" s="64">
        <v>36</v>
      </c>
      <c r="ED166" s="64">
        <v>40</v>
      </c>
      <c r="EE166" s="64">
        <v>44</v>
      </c>
      <c r="EF166" s="64">
        <v>48</v>
      </c>
      <c r="EG166" s="64">
        <v>52</v>
      </c>
      <c r="EH166" s="64"/>
      <c r="EI166" s="64"/>
      <c r="EJ166" s="64"/>
      <c r="EK166" s="64" t="s">
        <v>56</v>
      </c>
      <c r="EL166" s="64">
        <v>0</v>
      </c>
      <c r="EM166" s="64">
        <v>6</v>
      </c>
      <c r="EN166" s="64">
        <v>9</v>
      </c>
      <c r="EO166" s="64">
        <v>12</v>
      </c>
      <c r="EP166" s="64">
        <v>15</v>
      </c>
      <c r="EQ166" s="64">
        <v>18</v>
      </c>
      <c r="ER166" s="64">
        <v>21</v>
      </c>
      <c r="ES166" s="64">
        <v>24</v>
      </c>
      <c r="ET166" s="64">
        <v>27</v>
      </c>
      <c r="EU166" s="64">
        <v>30</v>
      </c>
      <c r="EV166" s="64">
        <v>33</v>
      </c>
      <c r="EW166" s="64">
        <v>36</v>
      </c>
      <c r="EX166" s="64">
        <v>39</v>
      </c>
      <c r="EY166" s="64"/>
      <c r="EZ166" s="64" t="s">
        <v>195</v>
      </c>
      <c r="FA166" s="64">
        <v>0</v>
      </c>
      <c r="FB166" s="64">
        <v>6</v>
      </c>
      <c r="FC166" s="64">
        <v>9</v>
      </c>
      <c r="FD166" s="64">
        <v>12</v>
      </c>
      <c r="FE166" s="64">
        <v>15</v>
      </c>
      <c r="FF166" s="64">
        <v>18</v>
      </c>
      <c r="FG166" s="64">
        <v>21</v>
      </c>
      <c r="FH166" s="64">
        <v>24</v>
      </c>
      <c r="FI166" s="64">
        <v>27</v>
      </c>
      <c r="FJ166" s="64">
        <v>30</v>
      </c>
      <c r="FK166" s="64">
        <v>33</v>
      </c>
      <c r="FL166" s="64">
        <v>36</v>
      </c>
      <c r="FM166" s="64">
        <v>39</v>
      </c>
      <c r="FN166" s="64"/>
      <c r="FO166" s="64" t="s">
        <v>198</v>
      </c>
      <c r="FP166" s="64">
        <v>0</v>
      </c>
      <c r="FQ166" s="64">
        <v>6</v>
      </c>
      <c r="FR166" s="64">
        <v>9</v>
      </c>
      <c r="FS166" s="64">
        <v>12</v>
      </c>
      <c r="FT166" s="64">
        <v>15</v>
      </c>
      <c r="FU166" s="64">
        <v>18</v>
      </c>
      <c r="FV166" s="64">
        <v>21</v>
      </c>
      <c r="FW166" s="64">
        <v>24</v>
      </c>
      <c r="FX166" s="64">
        <v>27</v>
      </c>
      <c r="FY166" s="64">
        <v>30</v>
      </c>
      <c r="FZ166" s="64">
        <v>33</v>
      </c>
      <c r="GA166" s="64">
        <v>36</v>
      </c>
      <c r="GB166" s="64">
        <v>39</v>
      </c>
      <c r="GC166" s="64"/>
      <c r="GD166" s="64" t="s">
        <v>72</v>
      </c>
      <c r="GE166" s="64">
        <v>0</v>
      </c>
      <c r="GF166" s="64">
        <v>6</v>
      </c>
      <c r="GG166" s="64">
        <v>9</v>
      </c>
      <c r="GH166" s="64">
        <v>12</v>
      </c>
      <c r="GI166" s="64">
        <v>15</v>
      </c>
      <c r="GJ166" s="64">
        <v>18</v>
      </c>
      <c r="GK166" s="64">
        <v>21</v>
      </c>
      <c r="GL166" s="64">
        <v>24</v>
      </c>
      <c r="GM166" s="64">
        <v>27</v>
      </c>
      <c r="GN166" s="64">
        <v>30</v>
      </c>
      <c r="GO166" s="64">
        <v>33</v>
      </c>
      <c r="GP166" s="64">
        <v>36</v>
      </c>
      <c r="GQ166" s="64">
        <v>39</v>
      </c>
      <c r="GR166" s="64"/>
      <c r="GS166" s="64" t="s">
        <v>232</v>
      </c>
      <c r="GT166" s="64">
        <v>0</v>
      </c>
      <c r="GU166" s="64">
        <v>6</v>
      </c>
      <c r="GV166" s="64">
        <v>9</v>
      </c>
      <c r="GW166" s="64">
        <v>12</v>
      </c>
      <c r="GX166" s="64">
        <v>15</v>
      </c>
      <c r="GY166" s="64">
        <v>18</v>
      </c>
      <c r="GZ166" s="64">
        <v>21</v>
      </c>
      <c r="HA166" s="64">
        <v>24</v>
      </c>
      <c r="HB166" s="64">
        <v>27</v>
      </c>
      <c r="HC166" s="64">
        <v>30</v>
      </c>
      <c r="HD166" s="64">
        <v>33</v>
      </c>
      <c r="HE166" s="64">
        <v>36</v>
      </c>
      <c r="HF166" s="64">
        <v>39</v>
      </c>
      <c r="HG166" s="64"/>
      <c r="HH166" s="64"/>
    </row>
    <row r="167" spans="1:216" x14ac:dyDescent="0.25">
      <c r="A167" s="8"/>
      <c r="B167" s="5" t="s">
        <v>61</v>
      </c>
      <c r="C167" s="8"/>
      <c r="D167" s="6" t="s">
        <v>458</v>
      </c>
      <c r="E167" s="8">
        <v>0</v>
      </c>
      <c r="F167" s="5"/>
      <c r="G167" s="5"/>
      <c r="H167" s="5"/>
      <c r="I167" s="5"/>
      <c r="J167" s="5" t="s">
        <v>95</v>
      </c>
      <c r="K167" s="9"/>
      <c r="L167" s="6" t="s">
        <v>8</v>
      </c>
      <c r="M167" s="11">
        <f>INDEX(cenník!$C$2:$I$568,MATCH($L167,cenník!$B$2:$B$557,0),MATCH(M$2,cenník!$C$1:$I$1,0))</f>
        <v>856211</v>
      </c>
      <c r="N167" s="11" t="str">
        <f>INDEX(cenník!$C$2:$I$568,MATCH($L167,cenník!$B$2:$B$557,0),MATCH(N$2,cenník!$C$1:$I$1,0))</f>
        <v>ks</v>
      </c>
      <c r="O167" s="11">
        <f>O165</f>
        <v>11</v>
      </c>
      <c r="P167" s="36">
        <f>INDEX(cenník!$C$2:$I$568,MATCH($L167,cenník!$B$2:$B$557,0),MATCH(P$2,cenník!$C$1:$I$1,0))</f>
        <v>8.7100000000000009</v>
      </c>
      <c r="Q167" s="36">
        <f t="shared" si="363"/>
        <v>95.81</v>
      </c>
      <c r="R167" s="37">
        <f t="shared" si="360"/>
        <v>0</v>
      </c>
      <c r="S167" s="36">
        <f t="shared" si="361"/>
        <v>8.7100000000000009</v>
      </c>
      <c r="T167" s="36">
        <f>O167*S167</f>
        <v>95.81</v>
      </c>
      <c r="U167" s="36">
        <f>INDEX(cenník!$C$2:$I$568,MATCH($L167,cenník!$B$2:$B$557,0),MATCH(U$2,cenník!$C$1:$I$1,0))*O167</f>
        <v>18.59</v>
      </c>
      <c r="V167" s="85"/>
      <c r="W167" s="87">
        <f>(INDEX(($EL$139:$FI$142,$EL$146:$FI$149,$FL$139:$GI$142,$FL$146:$GI$149),MATCH($L$175,$EK$139:$EK$142,0),MATCH(A175,$EL$138:$FI$138,0),MATCH($G$163,$AE$24:$AE$27,0)))*C175</f>
        <v>0</v>
      </c>
      <c r="X167" s="87">
        <f>(INDEX(($EL$139:$FI$142,$EL$146:$FI$149,$FL$139:$GI$142,$FL$146:$GI$149),MATCH($L$172,$EK$139:$EK$142,0),MATCH(A175,$EL$138:$FI$138,0),MATCH($G$163,$AE$24:$AE$27,0)))*C175</f>
        <v>0</v>
      </c>
      <c r="Y167" s="87">
        <f>(INDEX(($EL$139:$FI$142,$EL$146:$FI$149,$FL$139:$GI$142,$FL$146:$GI$149),MATCH($L$173,$EK$139:$EK$142,0),MATCH(A175,$EL$138:$FI$138,0),MATCH($G$163,$AE$24:$AE$27,0)))*C175</f>
        <v>0</v>
      </c>
      <c r="Z167" s="87">
        <f>(INDEX(($EL$139:$FI$142,$EL$146:$FI$149,$FL$139:$GI$142,$FL$146:$GI$149),MATCH($L$174,$EK$139:$EK$142,0),MATCH(A175,$EL$138:$FI$138,0),MATCH($G$163,$AE$24:$AE$27,0)))*C175</f>
        <v>0</v>
      </c>
      <c r="AA167" s="64">
        <f t="shared" si="357"/>
        <v>0</v>
      </c>
      <c r="AB167" s="64">
        <f t="shared" si="355"/>
        <v>0</v>
      </c>
      <c r="AC167" s="64"/>
      <c r="AD167" s="64"/>
      <c r="AE167" s="64"/>
      <c r="AF167" s="64"/>
      <c r="AG167" s="64"/>
      <c r="AH167" s="64"/>
      <c r="AI167" s="64"/>
      <c r="AJ167" s="64"/>
      <c r="AK167" s="64"/>
      <c r="AL167" s="64"/>
      <c r="AM167" s="64"/>
      <c r="AN167" s="64"/>
      <c r="AO167" s="64">
        <f t="shared" si="356"/>
        <v>1</v>
      </c>
      <c r="AP167" s="64"/>
      <c r="AQ167" s="64"/>
      <c r="AR167" s="64"/>
      <c r="AS167" s="64"/>
      <c r="AT167" s="64"/>
      <c r="AU167" s="64"/>
      <c r="AV167" s="64"/>
      <c r="AW167" s="64"/>
      <c r="AX167" s="64"/>
      <c r="AY167" s="64"/>
      <c r="AZ167" s="64"/>
      <c r="BA167" s="64"/>
      <c r="BB167" s="64"/>
      <c r="BC167" s="64"/>
      <c r="BD167" s="64"/>
      <c r="BE167" s="64"/>
      <c r="BF167" s="64"/>
      <c r="BG167" s="64"/>
      <c r="BH167" s="64" t="s">
        <v>104</v>
      </c>
      <c r="BI167" s="64">
        <f>BI3/5*4</f>
        <v>0</v>
      </c>
      <c r="BJ167" s="64">
        <f>BJ3/5*4</f>
        <v>0</v>
      </c>
      <c r="BK167" s="64">
        <f t="shared" ref="BK167:BU167" si="364">BK3/5*4</f>
        <v>0</v>
      </c>
      <c r="BL167" s="64">
        <f>BL3/5*4</f>
        <v>4</v>
      </c>
      <c r="BM167" s="64">
        <v>0</v>
      </c>
      <c r="BN167" s="64">
        <f t="shared" si="364"/>
        <v>4</v>
      </c>
      <c r="BO167" s="64">
        <v>8</v>
      </c>
      <c r="BP167" s="64">
        <v>8</v>
      </c>
      <c r="BQ167" s="64">
        <v>8</v>
      </c>
      <c r="BR167" s="64">
        <f t="shared" si="364"/>
        <v>8</v>
      </c>
      <c r="BS167" s="64">
        <f t="shared" si="364"/>
        <v>4</v>
      </c>
      <c r="BT167" s="64">
        <v>12</v>
      </c>
      <c r="BU167" s="64">
        <f t="shared" si="364"/>
        <v>8</v>
      </c>
      <c r="BV167" s="64"/>
      <c r="BW167" s="64" t="s">
        <v>104</v>
      </c>
      <c r="BX167" s="64">
        <v>0</v>
      </c>
      <c r="BY167" s="64">
        <f t="shared" ref="BY167:CI170" si="365">BY3/5*4</f>
        <v>0</v>
      </c>
      <c r="BZ167" s="64">
        <f t="shared" si="365"/>
        <v>4</v>
      </c>
      <c r="CA167" s="64">
        <f t="shared" si="365"/>
        <v>4</v>
      </c>
      <c r="CB167" s="64">
        <v>4</v>
      </c>
      <c r="CC167" s="64">
        <f t="shared" si="365"/>
        <v>4</v>
      </c>
      <c r="CD167" s="64">
        <v>8</v>
      </c>
      <c r="CE167" s="64">
        <v>4</v>
      </c>
      <c r="CF167" s="64">
        <f t="shared" si="365"/>
        <v>8</v>
      </c>
      <c r="CG167" s="64">
        <v>4</v>
      </c>
      <c r="CH167" s="64">
        <v>12</v>
      </c>
      <c r="CI167" s="64">
        <f t="shared" si="365"/>
        <v>8</v>
      </c>
      <c r="CJ167" s="64">
        <v>12</v>
      </c>
      <c r="CK167" s="64"/>
      <c r="CL167" s="64"/>
      <c r="CM167" s="64"/>
      <c r="CN167" s="64" t="s">
        <v>104</v>
      </c>
      <c r="CO167" s="64">
        <v>0</v>
      </c>
      <c r="CP167" s="64">
        <f t="shared" ref="CP167:CY170" si="366">CP3/5*4</f>
        <v>0</v>
      </c>
      <c r="CQ167" s="64">
        <f t="shared" si="366"/>
        <v>4</v>
      </c>
      <c r="CR167" s="64">
        <f t="shared" si="366"/>
        <v>0</v>
      </c>
      <c r="CS167" s="64">
        <f t="shared" si="366"/>
        <v>4</v>
      </c>
      <c r="CT167" s="64">
        <v>8</v>
      </c>
      <c r="CU167" s="64">
        <v>8</v>
      </c>
      <c r="CV167" s="64">
        <v>8</v>
      </c>
      <c r="CW167" s="64">
        <f t="shared" si="366"/>
        <v>8</v>
      </c>
      <c r="CX167" s="64">
        <f t="shared" si="366"/>
        <v>12</v>
      </c>
      <c r="CY167" s="64">
        <f t="shared" si="366"/>
        <v>8</v>
      </c>
      <c r="CZ167" s="64">
        <v>12</v>
      </c>
      <c r="DA167" s="64">
        <v>8</v>
      </c>
      <c r="DB167" s="64"/>
      <c r="DC167" s="64" t="s">
        <v>104</v>
      </c>
      <c r="DD167" s="64">
        <f t="shared" ref="DD167:DO170" si="367">DD3/5*4</f>
        <v>0</v>
      </c>
      <c r="DE167" s="64">
        <f t="shared" si="367"/>
        <v>0</v>
      </c>
      <c r="DF167" s="64">
        <f t="shared" si="367"/>
        <v>4</v>
      </c>
      <c r="DG167" s="64">
        <f t="shared" si="367"/>
        <v>0</v>
      </c>
      <c r="DH167" s="64">
        <f t="shared" si="367"/>
        <v>4</v>
      </c>
      <c r="DI167" s="64">
        <v>8</v>
      </c>
      <c r="DJ167" s="64">
        <v>8</v>
      </c>
      <c r="DK167" s="64">
        <f t="shared" si="367"/>
        <v>8</v>
      </c>
      <c r="DL167" s="64">
        <f t="shared" si="367"/>
        <v>4</v>
      </c>
      <c r="DM167" s="64">
        <v>8</v>
      </c>
      <c r="DN167" s="64">
        <f t="shared" si="367"/>
        <v>12</v>
      </c>
      <c r="DO167" s="64">
        <f t="shared" si="367"/>
        <v>8</v>
      </c>
      <c r="DP167" s="64">
        <v>12</v>
      </c>
      <c r="DQ167" s="80"/>
      <c r="DR167" s="80">
        <v>9</v>
      </c>
      <c r="DS167" s="80"/>
      <c r="DT167" s="64" t="s">
        <v>104</v>
      </c>
      <c r="DU167" s="64">
        <v>0</v>
      </c>
      <c r="DV167" s="64">
        <f t="shared" ref="DV167:EG170" si="368">DV3/5*4</f>
        <v>0</v>
      </c>
      <c r="DW167" s="64">
        <f t="shared" si="368"/>
        <v>4</v>
      </c>
      <c r="DX167" s="64">
        <f t="shared" si="368"/>
        <v>0</v>
      </c>
      <c r="DY167" s="64">
        <f t="shared" si="368"/>
        <v>0</v>
      </c>
      <c r="DZ167" s="64">
        <f t="shared" si="368"/>
        <v>8</v>
      </c>
      <c r="EA167" s="64">
        <f t="shared" si="368"/>
        <v>4</v>
      </c>
      <c r="EB167" s="64">
        <f t="shared" si="368"/>
        <v>8</v>
      </c>
      <c r="EC167" s="64">
        <f t="shared" si="368"/>
        <v>8</v>
      </c>
      <c r="ED167" s="64">
        <f t="shared" si="368"/>
        <v>12</v>
      </c>
      <c r="EE167" s="64">
        <f t="shared" si="368"/>
        <v>8</v>
      </c>
      <c r="EF167" s="64">
        <f t="shared" si="368"/>
        <v>12</v>
      </c>
      <c r="EG167" s="64">
        <f t="shared" si="368"/>
        <v>16</v>
      </c>
      <c r="EH167" s="64"/>
      <c r="EI167" s="64"/>
      <c r="EJ167" s="64"/>
      <c r="EK167" s="64" t="s">
        <v>240</v>
      </c>
      <c r="EL167" s="64">
        <v>0</v>
      </c>
      <c r="EM167" s="64">
        <f t="shared" ref="EM167:EX167" si="369">EM4/5*4</f>
        <v>0</v>
      </c>
      <c r="EN167" s="64">
        <f t="shared" si="369"/>
        <v>4</v>
      </c>
      <c r="EO167" s="64">
        <f t="shared" si="369"/>
        <v>0</v>
      </c>
      <c r="EP167" s="64">
        <f t="shared" si="369"/>
        <v>8</v>
      </c>
      <c r="EQ167" s="64">
        <f t="shared" si="369"/>
        <v>0</v>
      </c>
      <c r="ER167" s="64">
        <f t="shared" si="369"/>
        <v>8</v>
      </c>
      <c r="ES167" s="64">
        <f t="shared" si="369"/>
        <v>0</v>
      </c>
      <c r="ET167" s="64">
        <f t="shared" si="369"/>
        <v>8</v>
      </c>
      <c r="EU167" s="64">
        <f t="shared" si="369"/>
        <v>0</v>
      </c>
      <c r="EV167" s="64">
        <f t="shared" si="369"/>
        <v>8</v>
      </c>
      <c r="EW167" s="64">
        <f t="shared" si="369"/>
        <v>4</v>
      </c>
      <c r="EX167" s="64">
        <f t="shared" si="369"/>
        <v>8</v>
      </c>
      <c r="EY167" s="64"/>
      <c r="EZ167" s="64" t="s">
        <v>240</v>
      </c>
      <c r="FA167" s="64">
        <v>0</v>
      </c>
      <c r="FB167" s="64">
        <f t="shared" ref="FB167:FM167" si="370">FB4/5*4</f>
        <v>0</v>
      </c>
      <c r="FC167" s="64">
        <f t="shared" si="370"/>
        <v>0</v>
      </c>
      <c r="FD167" s="64">
        <f t="shared" si="370"/>
        <v>0</v>
      </c>
      <c r="FE167" s="64">
        <f t="shared" si="370"/>
        <v>8</v>
      </c>
      <c r="FF167" s="64">
        <f t="shared" si="370"/>
        <v>4</v>
      </c>
      <c r="FG167" s="64">
        <f t="shared" si="370"/>
        <v>8</v>
      </c>
      <c r="FH167" s="64">
        <f t="shared" si="370"/>
        <v>8</v>
      </c>
      <c r="FI167" s="64">
        <f t="shared" si="370"/>
        <v>0</v>
      </c>
      <c r="FJ167" s="64">
        <f t="shared" si="370"/>
        <v>4</v>
      </c>
      <c r="FK167" s="64">
        <f t="shared" si="370"/>
        <v>4</v>
      </c>
      <c r="FL167" s="64">
        <f t="shared" si="370"/>
        <v>8</v>
      </c>
      <c r="FM167" s="64">
        <f t="shared" si="370"/>
        <v>4</v>
      </c>
      <c r="FN167" s="64"/>
      <c r="FO167" s="64" t="s">
        <v>240</v>
      </c>
      <c r="FP167" s="64">
        <v>0</v>
      </c>
      <c r="FQ167" s="64">
        <f t="shared" ref="FQ167:GB167" si="371">FQ4/5*4</f>
        <v>0</v>
      </c>
      <c r="FR167" s="64">
        <f t="shared" si="371"/>
        <v>0</v>
      </c>
      <c r="FS167" s="64">
        <f t="shared" si="371"/>
        <v>4</v>
      </c>
      <c r="FT167" s="64">
        <f t="shared" si="371"/>
        <v>0</v>
      </c>
      <c r="FU167" s="64">
        <f t="shared" si="371"/>
        <v>8</v>
      </c>
      <c r="FV167" s="64">
        <f t="shared" si="371"/>
        <v>0</v>
      </c>
      <c r="FW167" s="64">
        <f t="shared" si="371"/>
        <v>8</v>
      </c>
      <c r="FX167" s="64">
        <f t="shared" si="371"/>
        <v>4</v>
      </c>
      <c r="FY167" s="64">
        <f t="shared" si="371"/>
        <v>0</v>
      </c>
      <c r="FZ167" s="64">
        <f t="shared" si="371"/>
        <v>8</v>
      </c>
      <c r="GA167" s="64">
        <f t="shared" si="371"/>
        <v>4</v>
      </c>
      <c r="GB167" s="64">
        <f t="shared" si="371"/>
        <v>0</v>
      </c>
      <c r="GC167" s="64"/>
      <c r="GD167" s="64" t="s">
        <v>240</v>
      </c>
      <c r="GE167" s="64">
        <v>0</v>
      </c>
      <c r="GF167" s="64">
        <f t="shared" ref="GF167:GQ167" si="372">GF4/5*4</f>
        <v>4</v>
      </c>
      <c r="GG167" s="64">
        <f t="shared" si="372"/>
        <v>0</v>
      </c>
      <c r="GH167" s="64">
        <f t="shared" si="372"/>
        <v>8</v>
      </c>
      <c r="GI167" s="64">
        <f t="shared" si="372"/>
        <v>0</v>
      </c>
      <c r="GJ167" s="64">
        <f t="shared" si="372"/>
        <v>8</v>
      </c>
      <c r="GK167" s="64">
        <f t="shared" si="372"/>
        <v>8</v>
      </c>
      <c r="GL167" s="64">
        <f t="shared" si="372"/>
        <v>4</v>
      </c>
      <c r="GM167" s="64">
        <f t="shared" si="372"/>
        <v>8</v>
      </c>
      <c r="GN167" s="64">
        <f t="shared" si="372"/>
        <v>4</v>
      </c>
      <c r="GO167" s="64">
        <f t="shared" si="372"/>
        <v>4</v>
      </c>
      <c r="GP167" s="64">
        <f t="shared" si="372"/>
        <v>8</v>
      </c>
      <c r="GQ167" s="64">
        <f t="shared" si="372"/>
        <v>4</v>
      </c>
      <c r="GR167" s="64"/>
      <c r="GS167" s="64" t="s">
        <v>240</v>
      </c>
      <c r="GT167" s="64">
        <v>0</v>
      </c>
      <c r="GU167" s="64">
        <f t="shared" ref="GU167:HF167" si="373">GU4/5*4</f>
        <v>4</v>
      </c>
      <c r="GV167" s="64">
        <f t="shared" si="373"/>
        <v>0</v>
      </c>
      <c r="GW167" s="64">
        <f t="shared" si="373"/>
        <v>8</v>
      </c>
      <c r="GX167" s="64">
        <f t="shared" si="373"/>
        <v>8</v>
      </c>
      <c r="GY167" s="64">
        <f t="shared" si="373"/>
        <v>0</v>
      </c>
      <c r="GZ167" s="64">
        <f t="shared" si="373"/>
        <v>8</v>
      </c>
      <c r="HA167" s="64">
        <f t="shared" si="373"/>
        <v>4</v>
      </c>
      <c r="HB167" s="64">
        <f t="shared" si="373"/>
        <v>4</v>
      </c>
      <c r="HC167" s="64">
        <f t="shared" si="373"/>
        <v>4</v>
      </c>
      <c r="HD167" s="64">
        <f t="shared" si="373"/>
        <v>8</v>
      </c>
      <c r="HE167" s="64">
        <f t="shared" si="373"/>
        <v>4</v>
      </c>
      <c r="HF167" s="64">
        <f t="shared" si="373"/>
        <v>0</v>
      </c>
      <c r="HG167" s="64"/>
      <c r="HH167" s="64"/>
    </row>
    <row r="168" spans="1:216" x14ac:dyDescent="0.25">
      <c r="A168" s="8"/>
      <c r="B168" s="5" t="s">
        <v>61</v>
      </c>
      <c r="C168" s="8"/>
      <c r="D168" s="6" t="s">
        <v>460</v>
      </c>
      <c r="E168" s="8">
        <v>0</v>
      </c>
      <c r="F168" s="5"/>
      <c r="G168" s="5"/>
      <c r="H168" s="5"/>
      <c r="I168" s="5"/>
      <c r="J168" s="5" t="s">
        <v>461</v>
      </c>
      <c r="K168" s="9"/>
      <c r="L168" s="6" t="s">
        <v>98</v>
      </c>
      <c r="M168" s="11">
        <f>INDEX(cenník!$C$2:$I$568,MATCH($L168,cenník!$B$2:$B$557,0),MATCH(M$2,cenník!$C$1:$I$1,0))</f>
        <v>851117</v>
      </c>
      <c r="N168" s="11" t="str">
        <f>INDEX(cenník!$C$2:$I$568,MATCH($L168,cenník!$B$2:$B$557,0),MATCH(N$2,cenník!$C$1:$I$1,0))</f>
        <v>ks</v>
      </c>
      <c r="O168" s="11">
        <f>O165</f>
        <v>11</v>
      </c>
      <c r="P168" s="36">
        <f>INDEX(cenník!$C$2:$I$568,MATCH($L168,cenník!$B$2:$B$557,0),MATCH(P$2,cenník!$C$1:$I$1,0))</f>
        <v>12.35</v>
      </c>
      <c r="Q168" s="36">
        <f t="shared" si="363"/>
        <v>135.85</v>
      </c>
      <c r="R168" s="37">
        <f t="shared" si="360"/>
        <v>0</v>
      </c>
      <c r="S168" s="36">
        <f t="shared" si="361"/>
        <v>12.35</v>
      </c>
      <c r="T168" s="36">
        <f t="shared" si="362"/>
        <v>135.85</v>
      </c>
      <c r="U168" s="36">
        <f>INDEX(cenník!$C$2:$I$568,MATCH($L168,cenník!$B$2:$B$557,0),MATCH(U$2,cenník!$C$1:$I$1,0))*O168</f>
        <v>26.4</v>
      </c>
      <c r="V168" s="85"/>
      <c r="W168" s="87">
        <f>(INDEX(($EL$139:$FI$142,$EL$146:$FI$149,$FL$139:$GI$142,$FL$146:$GI$149),MATCH($L$175,$EK$139:$EK$142,0),MATCH(A176,$EL$138:$FI$138,0),MATCH($G$163,$AE$24:$AE$27,0)))*C176</f>
        <v>0</v>
      </c>
      <c r="X168" s="87">
        <f>(INDEX(($EL$139:$FI$142,$EL$146:$FI$149,$FL$139:$GI$142,$FL$146:$GI$149),MATCH($L$172,$EK$139:$EK$142,0),MATCH(A176,$EL$138:$FI$138,0),MATCH($G$163,$AE$24:$AE$27,0)))*C176</f>
        <v>0</v>
      </c>
      <c r="Y168" s="87">
        <f>(INDEX(($EL$139:$FI$142,$EL$146:$FI$149,$FL$139:$GI$142,$FL$146:$GI$149),MATCH($L$173,$EK$139:$EK$142,0),MATCH(A176,$EL$138:$FI$138,0),MATCH($G$163,$AE$24:$AE$27,0)))*C176</f>
        <v>0</v>
      </c>
      <c r="Z168" s="87">
        <f>(INDEX(($EL$139:$FI$142,$EL$146:$FI$149,$FL$139:$GI$142,$FL$146:$GI$149),MATCH($L$174,$EK$139:$EK$142,0),MATCH(A176,$EL$138:$FI$138,0),MATCH($G$163,$AE$24:$AE$27,0)))*C176</f>
        <v>0</v>
      </c>
      <c r="AA168" s="64"/>
      <c r="AB168" s="64"/>
      <c r="AC168" s="64"/>
      <c r="AD168" s="64"/>
      <c r="AE168" s="64"/>
      <c r="AF168" s="64"/>
      <c r="AG168" s="64"/>
      <c r="AH168" s="64"/>
      <c r="AI168" s="64"/>
      <c r="AJ168" s="64"/>
      <c r="AK168" s="64"/>
      <c r="AL168" s="64"/>
      <c r="AM168" s="64"/>
      <c r="AN168" s="64"/>
      <c r="AO168" s="64"/>
      <c r="AP168" s="64"/>
      <c r="AQ168" s="64"/>
      <c r="AR168" s="64"/>
      <c r="AS168" s="64"/>
      <c r="AT168" s="64"/>
      <c r="AU168" s="64"/>
      <c r="AV168" s="64"/>
      <c r="AW168" s="64"/>
      <c r="AX168" s="64"/>
      <c r="AY168" s="64"/>
      <c r="AZ168" s="64"/>
      <c r="BA168" s="64"/>
      <c r="BB168" s="64"/>
      <c r="BC168" s="64"/>
      <c r="BD168" s="64"/>
      <c r="BE168" s="64"/>
      <c r="BF168" s="64"/>
      <c r="BG168" s="64"/>
      <c r="BH168" s="64" t="s">
        <v>103</v>
      </c>
      <c r="BI168" s="64">
        <f t="shared" ref="BI168:BU170" si="374">BI4/5*4</f>
        <v>0</v>
      </c>
      <c r="BJ168" s="64">
        <f>BJ4/5*4</f>
        <v>0</v>
      </c>
      <c r="BK168" s="64">
        <f t="shared" si="374"/>
        <v>4</v>
      </c>
      <c r="BL168" s="64">
        <f t="shared" si="374"/>
        <v>0</v>
      </c>
      <c r="BM168" s="64">
        <v>4</v>
      </c>
      <c r="BN168" s="64">
        <f t="shared" si="374"/>
        <v>0</v>
      </c>
      <c r="BO168" s="64">
        <v>0</v>
      </c>
      <c r="BP168" s="64">
        <v>0</v>
      </c>
      <c r="BQ168" s="64">
        <v>0</v>
      </c>
      <c r="BR168" s="64">
        <f t="shared" si="374"/>
        <v>0</v>
      </c>
      <c r="BS168" s="64">
        <f t="shared" si="374"/>
        <v>8</v>
      </c>
      <c r="BT168" s="64">
        <v>0</v>
      </c>
      <c r="BU168" s="64">
        <f t="shared" si="374"/>
        <v>8</v>
      </c>
      <c r="BV168" s="64"/>
      <c r="BW168" s="64" t="s">
        <v>103</v>
      </c>
      <c r="BX168" s="64">
        <v>0</v>
      </c>
      <c r="BY168" s="64">
        <f t="shared" si="365"/>
        <v>0</v>
      </c>
      <c r="BZ168" s="64">
        <f t="shared" si="365"/>
        <v>0</v>
      </c>
      <c r="CA168" s="64">
        <f t="shared" si="365"/>
        <v>0</v>
      </c>
      <c r="CB168" s="64">
        <v>0</v>
      </c>
      <c r="CC168" s="64">
        <f t="shared" si="365"/>
        <v>4</v>
      </c>
      <c r="CD168" s="64">
        <v>0</v>
      </c>
      <c r="CE168" s="64">
        <v>4</v>
      </c>
      <c r="CF168" s="64">
        <f t="shared" si="365"/>
        <v>0</v>
      </c>
      <c r="CG168" s="64">
        <v>8</v>
      </c>
      <c r="CH168" s="64">
        <v>0</v>
      </c>
      <c r="CI168" s="64">
        <f t="shared" si="365"/>
        <v>8</v>
      </c>
      <c r="CJ168" s="64">
        <v>0</v>
      </c>
      <c r="CK168" s="64"/>
      <c r="CL168" s="64"/>
      <c r="CM168" s="64"/>
      <c r="CN168" s="64" t="s">
        <v>103</v>
      </c>
      <c r="CO168" s="64">
        <v>0</v>
      </c>
      <c r="CP168" s="64">
        <f t="shared" si="366"/>
        <v>0</v>
      </c>
      <c r="CQ168" s="64">
        <f t="shared" si="366"/>
        <v>0</v>
      </c>
      <c r="CR168" s="64">
        <f t="shared" si="366"/>
        <v>4</v>
      </c>
      <c r="CS168" s="64">
        <f t="shared" si="366"/>
        <v>0</v>
      </c>
      <c r="CT168" s="64">
        <v>0</v>
      </c>
      <c r="CU168" s="64">
        <v>0</v>
      </c>
      <c r="CV168" s="64">
        <v>0</v>
      </c>
      <c r="CW168" s="64">
        <f t="shared" si="366"/>
        <v>4</v>
      </c>
      <c r="CX168" s="64">
        <f t="shared" si="366"/>
        <v>0</v>
      </c>
      <c r="CY168" s="64">
        <f t="shared" si="366"/>
        <v>8</v>
      </c>
      <c r="CZ168" s="64">
        <v>0</v>
      </c>
      <c r="DA168" s="64">
        <v>8</v>
      </c>
      <c r="DB168" s="64"/>
      <c r="DC168" s="64" t="s">
        <v>103</v>
      </c>
      <c r="DD168" s="64">
        <f t="shared" si="367"/>
        <v>0</v>
      </c>
      <c r="DE168" s="64">
        <f t="shared" si="367"/>
        <v>4</v>
      </c>
      <c r="DF168" s="64">
        <f t="shared" si="367"/>
        <v>0</v>
      </c>
      <c r="DG168" s="64">
        <f t="shared" si="367"/>
        <v>8</v>
      </c>
      <c r="DH168" s="64">
        <f t="shared" si="367"/>
        <v>0</v>
      </c>
      <c r="DI168" s="64">
        <v>0</v>
      </c>
      <c r="DJ168" s="64">
        <v>0</v>
      </c>
      <c r="DK168" s="64">
        <f t="shared" si="367"/>
        <v>4</v>
      </c>
      <c r="DL168" s="64">
        <f t="shared" si="367"/>
        <v>8</v>
      </c>
      <c r="DM168" s="64">
        <v>8</v>
      </c>
      <c r="DN168" s="64">
        <f t="shared" si="367"/>
        <v>4</v>
      </c>
      <c r="DO168" s="64">
        <f t="shared" si="367"/>
        <v>8</v>
      </c>
      <c r="DP168" s="64">
        <v>8</v>
      </c>
      <c r="DQ168" s="80"/>
      <c r="DR168" s="80">
        <v>12</v>
      </c>
      <c r="DS168" s="80"/>
      <c r="DT168" s="64" t="s">
        <v>103</v>
      </c>
      <c r="DU168" s="64">
        <v>0</v>
      </c>
      <c r="DV168" s="64">
        <f t="shared" si="368"/>
        <v>4</v>
      </c>
      <c r="DW168" s="64">
        <f t="shared" si="368"/>
        <v>0</v>
      </c>
      <c r="DX168" s="64">
        <f t="shared" si="368"/>
        <v>8</v>
      </c>
      <c r="DY168" s="64">
        <f t="shared" si="368"/>
        <v>8</v>
      </c>
      <c r="DZ168" s="64">
        <f t="shared" si="368"/>
        <v>0</v>
      </c>
      <c r="EA168" s="64">
        <f t="shared" si="368"/>
        <v>8</v>
      </c>
      <c r="EB168" s="64">
        <f t="shared" si="368"/>
        <v>4</v>
      </c>
      <c r="EC168" s="64">
        <f t="shared" si="368"/>
        <v>4</v>
      </c>
      <c r="ED168" s="64">
        <f t="shared" si="368"/>
        <v>4</v>
      </c>
      <c r="EE168" s="64">
        <f t="shared" si="368"/>
        <v>8</v>
      </c>
      <c r="EF168" s="64">
        <f t="shared" si="368"/>
        <v>4</v>
      </c>
      <c r="EG168" s="64">
        <f t="shared" si="368"/>
        <v>0</v>
      </c>
      <c r="EH168" s="64"/>
      <c r="EI168" s="64"/>
      <c r="EJ168" s="64"/>
      <c r="EK168" s="64" t="s">
        <v>241</v>
      </c>
      <c r="EL168" s="64">
        <v>0</v>
      </c>
      <c r="EM168" s="64">
        <f t="shared" ref="EM168:EX168" si="375">EM5/5*4</f>
        <v>4</v>
      </c>
      <c r="EN168" s="64">
        <f t="shared" si="375"/>
        <v>0</v>
      </c>
      <c r="EO168" s="64">
        <f t="shared" si="375"/>
        <v>0</v>
      </c>
      <c r="EP168" s="64">
        <f t="shared" si="375"/>
        <v>0</v>
      </c>
      <c r="EQ168" s="64">
        <f t="shared" si="375"/>
        <v>12</v>
      </c>
      <c r="ER168" s="64">
        <f t="shared" si="375"/>
        <v>4</v>
      </c>
      <c r="ES168" s="64">
        <f t="shared" si="375"/>
        <v>16</v>
      </c>
      <c r="ET168" s="64">
        <f t="shared" si="375"/>
        <v>8</v>
      </c>
      <c r="EU168" s="64">
        <f t="shared" si="375"/>
        <v>20</v>
      </c>
      <c r="EV168" s="64">
        <f t="shared" si="375"/>
        <v>12</v>
      </c>
      <c r="EW168" s="64">
        <f t="shared" si="375"/>
        <v>20</v>
      </c>
      <c r="EX168" s="64">
        <f t="shared" si="375"/>
        <v>16</v>
      </c>
      <c r="EY168" s="64"/>
      <c r="EZ168" s="64" t="s">
        <v>241</v>
      </c>
      <c r="FA168" s="64">
        <v>0</v>
      </c>
      <c r="FB168" s="64">
        <f t="shared" ref="FB168:FM168" si="376">FB5/5*4</f>
        <v>4</v>
      </c>
      <c r="FC168" s="64">
        <f t="shared" si="376"/>
        <v>0</v>
      </c>
      <c r="FD168" s="64">
        <f t="shared" si="376"/>
        <v>0</v>
      </c>
      <c r="FE168" s="64">
        <f t="shared" si="376"/>
        <v>0</v>
      </c>
      <c r="FF168" s="64">
        <f t="shared" si="376"/>
        <v>8</v>
      </c>
      <c r="FG168" s="64">
        <f t="shared" si="376"/>
        <v>4</v>
      </c>
      <c r="FH168" s="64">
        <f t="shared" si="376"/>
        <v>8</v>
      </c>
      <c r="FI168" s="64">
        <f t="shared" si="376"/>
        <v>20</v>
      </c>
      <c r="FJ168" s="64">
        <f t="shared" si="376"/>
        <v>16</v>
      </c>
      <c r="FK168" s="64">
        <f t="shared" si="376"/>
        <v>20</v>
      </c>
      <c r="FL168" s="64">
        <f t="shared" si="376"/>
        <v>16</v>
      </c>
      <c r="FM168" s="64">
        <f t="shared" si="376"/>
        <v>24</v>
      </c>
      <c r="FN168" s="64"/>
      <c r="FO168" s="64" t="s">
        <v>241</v>
      </c>
      <c r="FP168" s="64">
        <v>0</v>
      </c>
      <c r="FQ168" s="64">
        <f t="shared" ref="FQ168:GB168" si="377">FQ5/5*4</f>
        <v>4</v>
      </c>
      <c r="FR168" s="64">
        <f t="shared" si="377"/>
        <v>0</v>
      </c>
      <c r="FS168" s="64">
        <f t="shared" si="377"/>
        <v>4</v>
      </c>
      <c r="FT168" s="64">
        <f t="shared" si="377"/>
        <v>12</v>
      </c>
      <c r="FU168" s="64">
        <f t="shared" si="377"/>
        <v>4</v>
      </c>
      <c r="FV168" s="64">
        <f t="shared" si="377"/>
        <v>16</v>
      </c>
      <c r="FW168" s="64">
        <f t="shared" si="377"/>
        <v>8</v>
      </c>
      <c r="FX168" s="64">
        <f t="shared" si="377"/>
        <v>16</v>
      </c>
      <c r="FY168" s="64">
        <f t="shared" si="377"/>
        <v>24</v>
      </c>
      <c r="FZ168" s="64">
        <f t="shared" si="377"/>
        <v>16</v>
      </c>
      <c r="GA168" s="64">
        <f t="shared" si="377"/>
        <v>24</v>
      </c>
      <c r="GB168" s="64">
        <f t="shared" si="377"/>
        <v>32</v>
      </c>
      <c r="GC168" s="64"/>
      <c r="GD168" s="64" t="s">
        <v>241</v>
      </c>
      <c r="GE168" s="64">
        <v>0</v>
      </c>
      <c r="GF168" s="64">
        <f t="shared" ref="GF168:GQ168" si="378">GF5/5*4</f>
        <v>0</v>
      </c>
      <c r="GG168" s="64">
        <f t="shared" si="378"/>
        <v>0</v>
      </c>
      <c r="GH168" s="64">
        <f t="shared" si="378"/>
        <v>0</v>
      </c>
      <c r="GI168" s="64">
        <f t="shared" si="378"/>
        <v>12</v>
      </c>
      <c r="GJ168" s="64">
        <f t="shared" si="378"/>
        <v>4</v>
      </c>
      <c r="GK168" s="64">
        <f t="shared" si="378"/>
        <v>8</v>
      </c>
      <c r="GL168" s="64">
        <f t="shared" si="378"/>
        <v>16</v>
      </c>
      <c r="GM168" s="64">
        <f t="shared" si="378"/>
        <v>12</v>
      </c>
      <c r="GN168" s="64">
        <f t="shared" si="378"/>
        <v>20</v>
      </c>
      <c r="GO168" s="64">
        <f t="shared" si="378"/>
        <v>24</v>
      </c>
      <c r="GP168" s="64">
        <f t="shared" si="378"/>
        <v>20</v>
      </c>
      <c r="GQ168" s="64">
        <f t="shared" si="378"/>
        <v>28</v>
      </c>
      <c r="GR168" s="64"/>
      <c r="GS168" s="64" t="s">
        <v>241</v>
      </c>
      <c r="GT168" s="64">
        <v>0</v>
      </c>
      <c r="GU168" s="64">
        <f t="shared" ref="GU168:HF168" si="379">GU5/5*4</f>
        <v>0</v>
      </c>
      <c r="GV168" s="64">
        <f t="shared" si="379"/>
        <v>0</v>
      </c>
      <c r="GW168" s="64">
        <f t="shared" si="379"/>
        <v>0</v>
      </c>
      <c r="GX168" s="64">
        <f t="shared" si="379"/>
        <v>4</v>
      </c>
      <c r="GY168" s="64">
        <f t="shared" si="379"/>
        <v>16</v>
      </c>
      <c r="GZ168" s="64">
        <f t="shared" si="379"/>
        <v>8</v>
      </c>
      <c r="HA168" s="64">
        <f t="shared" si="379"/>
        <v>16</v>
      </c>
      <c r="HB168" s="64">
        <f t="shared" si="379"/>
        <v>20</v>
      </c>
      <c r="HC168" s="64">
        <f t="shared" si="379"/>
        <v>24</v>
      </c>
      <c r="HD168" s="64">
        <f t="shared" si="379"/>
        <v>20</v>
      </c>
      <c r="HE168" s="64">
        <f t="shared" si="379"/>
        <v>28</v>
      </c>
      <c r="HF168" s="64">
        <f t="shared" si="379"/>
        <v>36</v>
      </c>
      <c r="HG168" s="64"/>
      <c r="HH168" s="64"/>
    </row>
    <row r="169" spans="1:216" x14ac:dyDescent="0.25">
      <c r="A169" s="8"/>
      <c r="B169" s="5" t="s">
        <v>61</v>
      </c>
      <c r="C169" s="8"/>
      <c r="D169" s="6" t="s">
        <v>474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>
        <f>INDEX(cenník!$C$2:$I$568,MATCH($L169,cenník!$B$2:$B$557,0),MATCH(M$2,cenník!$C$1:$I$1,0))</f>
        <v>851132</v>
      </c>
      <c r="N169" s="11" t="str">
        <f>INDEX(cenník!$C$2:$I$568,MATCH($L169,cenník!$B$2:$B$557,0),MATCH(N$2,cenník!$C$1:$I$1,0))</f>
        <v>ks</v>
      </c>
      <c r="O169" s="11">
        <f>SUM(AA152:AA167)</f>
        <v>9</v>
      </c>
      <c r="P169" s="36">
        <f>INDEX(cenník!$C$2:$I$568,MATCH($L169,cenník!$B$2:$B$557,0),MATCH(P$2,cenník!$C$1:$I$1,0))</f>
        <v>21.79</v>
      </c>
      <c r="Q169" s="36">
        <f t="shared" si="363"/>
        <v>196.10999999999999</v>
      </c>
      <c r="R169" s="37">
        <f t="shared" si="360"/>
        <v>0</v>
      </c>
      <c r="S169" s="36">
        <f t="shared" si="361"/>
        <v>21.79</v>
      </c>
      <c r="T169" s="36">
        <f t="shared" si="362"/>
        <v>196.10999999999999</v>
      </c>
      <c r="U169" s="36">
        <f>INDEX(cenník!$C$2:$I$568,MATCH($L169,cenník!$B$2:$B$557,0),MATCH(U$2,cenník!$C$1:$I$1,0))*O169</f>
        <v>38.160000000000004</v>
      </c>
      <c r="V169" s="85"/>
      <c r="W169" s="87">
        <f>(INDEX(($EL$139:$FI$142,$EL$146:$FI$149,$FL$139:$GI$142,$FL$146:$GI$149),MATCH($L$175,$EK$139:$EK$142,0),MATCH(A177,$EL$138:$FI$138,0),MATCH($G$163,$AE$24:$AE$27,0)))*C177</f>
        <v>0</v>
      </c>
      <c r="X169" s="87">
        <f>(INDEX(($EL$139:$FI$142,$EL$146:$FI$149,$FL$139:$GI$142,$FL$146:$GI$149),MATCH($L$172,$EK$139:$EK$142,0),MATCH(A177,$EL$138:$FI$138,0),MATCH($G$163,$AE$24:$AE$27,0)))*C177</f>
        <v>0</v>
      </c>
      <c r="Y169" s="87">
        <f>(INDEX(($EL$139:$FI$142,$EL$146:$FI$149,$FL$139:$GI$142,$FL$146:$GI$149),MATCH($L$173,$EK$139:$EK$142,0),MATCH(A177,$EL$138:$FI$138,0),MATCH($G$163,$AE$24:$AE$27,0)))*C177</f>
        <v>0</v>
      </c>
      <c r="Z169" s="87">
        <f>(INDEX(($EL$139:$FI$142,$EL$146:$FI$149,$FL$139:$GI$142,$FL$146:$GI$149),MATCH($L$174,$EK$139:$EK$142,0),MATCH(A177,$EL$138:$FI$138,0),MATCH($G$163,$AE$24:$AE$27,0)))*C177</f>
        <v>0</v>
      </c>
      <c r="AA169" s="64"/>
      <c r="AB169" s="64"/>
      <c r="AC169" s="64"/>
      <c r="AD169" s="64"/>
      <c r="AE169" s="64"/>
      <c r="AF169" s="64"/>
      <c r="AG169" s="64"/>
      <c r="AH169" s="64" t="s">
        <v>85</v>
      </c>
      <c r="AI169" s="64" t="s">
        <v>86</v>
      </c>
      <c r="AJ169" s="64"/>
      <c r="AK169" s="64"/>
      <c r="AL169" s="64"/>
      <c r="AM169" s="64"/>
      <c r="AN169" s="64"/>
      <c r="AO169" s="64"/>
      <c r="AP169" s="64"/>
      <c r="AQ169" s="64"/>
      <c r="AR169" s="64"/>
      <c r="AS169" s="64"/>
      <c r="AT169" s="64"/>
      <c r="AU169" s="64"/>
      <c r="AV169" s="64"/>
      <c r="AW169" s="64"/>
      <c r="AX169" s="64"/>
      <c r="AY169" s="64"/>
      <c r="AZ169" s="64"/>
      <c r="BA169" s="64"/>
      <c r="BB169" s="64"/>
      <c r="BC169" s="64"/>
      <c r="BD169" s="64"/>
      <c r="BE169" s="64"/>
      <c r="BF169" s="64"/>
      <c r="BG169" s="64"/>
      <c r="BH169" s="64" t="s">
        <v>16</v>
      </c>
      <c r="BI169" s="64">
        <f t="shared" si="374"/>
        <v>0</v>
      </c>
      <c r="BJ169" s="64">
        <f t="shared" si="374"/>
        <v>4</v>
      </c>
      <c r="BK169" s="64">
        <f t="shared" si="374"/>
        <v>0</v>
      </c>
      <c r="BL169" s="64">
        <f t="shared" si="374"/>
        <v>0</v>
      </c>
      <c r="BM169" s="64">
        <v>4</v>
      </c>
      <c r="BN169" s="64">
        <f t="shared" si="374"/>
        <v>4</v>
      </c>
      <c r="BO169" s="64">
        <v>0</v>
      </c>
      <c r="BP169" s="64">
        <v>0</v>
      </c>
      <c r="BQ169" s="64">
        <v>4</v>
      </c>
      <c r="BR169" s="64">
        <f t="shared" si="374"/>
        <v>4</v>
      </c>
      <c r="BS169" s="64">
        <f t="shared" si="374"/>
        <v>4</v>
      </c>
      <c r="BT169" s="64">
        <v>0</v>
      </c>
      <c r="BU169" s="64">
        <f t="shared" si="374"/>
        <v>0</v>
      </c>
      <c r="BV169" s="64"/>
      <c r="BW169" s="64" t="s">
        <v>16</v>
      </c>
      <c r="BX169" s="64">
        <v>0</v>
      </c>
      <c r="BY169" s="64">
        <f t="shared" si="365"/>
        <v>4</v>
      </c>
      <c r="BZ169" s="64">
        <f t="shared" si="365"/>
        <v>0</v>
      </c>
      <c r="CA169" s="64">
        <f t="shared" si="365"/>
        <v>0</v>
      </c>
      <c r="CB169" s="64">
        <v>4</v>
      </c>
      <c r="CC169" s="64">
        <f t="shared" si="365"/>
        <v>0</v>
      </c>
      <c r="CD169" s="64">
        <v>0</v>
      </c>
      <c r="CE169" s="64">
        <v>4</v>
      </c>
      <c r="CF169" s="64">
        <f t="shared" si="365"/>
        <v>4</v>
      </c>
      <c r="CG169" s="64">
        <v>4</v>
      </c>
      <c r="CH169" s="64">
        <v>0</v>
      </c>
      <c r="CI169" s="64">
        <f t="shared" si="365"/>
        <v>0</v>
      </c>
      <c r="CJ169" s="64">
        <v>4</v>
      </c>
      <c r="CK169" s="64"/>
      <c r="CL169" s="64"/>
      <c r="CM169" s="64"/>
      <c r="CN169" s="64" t="s">
        <v>16</v>
      </c>
      <c r="CO169" s="64">
        <v>0</v>
      </c>
      <c r="CP169" s="64">
        <f t="shared" si="366"/>
        <v>4</v>
      </c>
      <c r="CQ169" s="64">
        <f t="shared" si="366"/>
        <v>0</v>
      </c>
      <c r="CR169" s="64">
        <f t="shared" si="366"/>
        <v>4</v>
      </c>
      <c r="CS169" s="64">
        <f t="shared" si="366"/>
        <v>4</v>
      </c>
      <c r="CT169" s="64">
        <v>0</v>
      </c>
      <c r="CU169" s="64">
        <v>0</v>
      </c>
      <c r="CV169" s="64">
        <v>4</v>
      </c>
      <c r="CW169" s="64">
        <f t="shared" si="366"/>
        <v>0</v>
      </c>
      <c r="CX169" s="64">
        <f t="shared" si="366"/>
        <v>0</v>
      </c>
      <c r="CY169" s="64">
        <f t="shared" si="366"/>
        <v>0</v>
      </c>
      <c r="CZ169" s="64">
        <v>4</v>
      </c>
      <c r="DA169" s="64">
        <v>4</v>
      </c>
      <c r="DB169" s="64"/>
      <c r="DC169" s="64" t="s">
        <v>16</v>
      </c>
      <c r="DD169" s="64">
        <f t="shared" si="367"/>
        <v>0</v>
      </c>
      <c r="DE169" s="64">
        <f t="shared" si="367"/>
        <v>0</v>
      </c>
      <c r="DF169" s="64">
        <f t="shared" si="367"/>
        <v>0</v>
      </c>
      <c r="DG169" s="64">
        <f t="shared" si="367"/>
        <v>0</v>
      </c>
      <c r="DH169" s="64">
        <f t="shared" si="367"/>
        <v>4</v>
      </c>
      <c r="DI169" s="64">
        <v>0</v>
      </c>
      <c r="DJ169" s="64">
        <v>4</v>
      </c>
      <c r="DK169" s="64">
        <f t="shared" si="367"/>
        <v>0</v>
      </c>
      <c r="DL169" s="64">
        <f t="shared" si="367"/>
        <v>4</v>
      </c>
      <c r="DM169" s="64">
        <v>0</v>
      </c>
      <c r="DN169" s="64">
        <f t="shared" si="367"/>
        <v>0</v>
      </c>
      <c r="DO169" s="64">
        <f t="shared" si="367"/>
        <v>4</v>
      </c>
      <c r="DP169" s="64">
        <v>0</v>
      </c>
      <c r="DQ169" s="80"/>
      <c r="DR169" s="80">
        <v>15</v>
      </c>
      <c r="DS169" s="80"/>
      <c r="DT169" s="64" t="s">
        <v>16</v>
      </c>
      <c r="DU169" s="64">
        <v>0</v>
      </c>
      <c r="DV169" s="64">
        <f t="shared" si="368"/>
        <v>0</v>
      </c>
      <c r="DW169" s="64">
        <f t="shared" si="368"/>
        <v>0</v>
      </c>
      <c r="DX169" s="64">
        <f t="shared" si="368"/>
        <v>0</v>
      </c>
      <c r="DY169" s="64">
        <f t="shared" si="368"/>
        <v>4</v>
      </c>
      <c r="DZ169" s="64">
        <f t="shared" si="368"/>
        <v>0</v>
      </c>
      <c r="EA169" s="64">
        <f t="shared" si="368"/>
        <v>0</v>
      </c>
      <c r="EB169" s="64">
        <f t="shared" si="368"/>
        <v>0</v>
      </c>
      <c r="EC169" s="64">
        <f t="shared" si="368"/>
        <v>4</v>
      </c>
      <c r="ED169" s="64">
        <f t="shared" si="368"/>
        <v>0</v>
      </c>
      <c r="EE169" s="64">
        <f t="shared" si="368"/>
        <v>4</v>
      </c>
      <c r="EF169" s="64">
        <f t="shared" si="368"/>
        <v>4</v>
      </c>
      <c r="EG169" s="64">
        <f t="shared" si="368"/>
        <v>4</v>
      </c>
      <c r="EH169" s="64"/>
      <c r="EI169" s="64"/>
      <c r="EJ169" s="64"/>
      <c r="EK169" s="64" t="s">
        <v>242</v>
      </c>
      <c r="EL169" s="64">
        <v>0</v>
      </c>
      <c r="EM169" s="64">
        <f t="shared" ref="EM169:EX169" si="380">EM6/5*4</f>
        <v>0</v>
      </c>
      <c r="EN169" s="64">
        <f t="shared" si="380"/>
        <v>0</v>
      </c>
      <c r="EO169" s="64">
        <f t="shared" si="380"/>
        <v>0</v>
      </c>
      <c r="EP169" s="64">
        <f t="shared" si="380"/>
        <v>4</v>
      </c>
      <c r="EQ169" s="64">
        <f t="shared" si="380"/>
        <v>8</v>
      </c>
      <c r="ER169" s="64">
        <f t="shared" si="380"/>
        <v>8</v>
      </c>
      <c r="ES169" s="64">
        <f t="shared" si="380"/>
        <v>12</v>
      </c>
      <c r="ET169" s="64">
        <f t="shared" si="380"/>
        <v>12</v>
      </c>
      <c r="EU169" s="64">
        <f t="shared" si="380"/>
        <v>16</v>
      </c>
      <c r="EV169" s="64">
        <f t="shared" si="380"/>
        <v>16</v>
      </c>
      <c r="EW169" s="64">
        <f t="shared" si="380"/>
        <v>20</v>
      </c>
      <c r="EX169" s="64">
        <f t="shared" si="380"/>
        <v>20</v>
      </c>
      <c r="EY169" s="64"/>
      <c r="EZ169" s="64" t="s">
        <v>242</v>
      </c>
      <c r="FA169" s="64">
        <v>0</v>
      </c>
      <c r="FB169" s="64">
        <f t="shared" ref="FB169:FM169" si="381">FB6/5*4</f>
        <v>0</v>
      </c>
      <c r="FC169" s="64">
        <f t="shared" si="381"/>
        <v>0</v>
      </c>
      <c r="FD169" s="64">
        <f t="shared" si="381"/>
        <v>0</v>
      </c>
      <c r="FE169" s="64">
        <f t="shared" si="381"/>
        <v>4</v>
      </c>
      <c r="FF169" s="64">
        <f t="shared" si="381"/>
        <v>8</v>
      </c>
      <c r="FG169" s="64">
        <f t="shared" si="381"/>
        <v>8</v>
      </c>
      <c r="FH169" s="64">
        <f t="shared" si="381"/>
        <v>12</v>
      </c>
      <c r="FI169" s="64">
        <f t="shared" si="381"/>
        <v>16</v>
      </c>
      <c r="FJ169" s="64">
        <f t="shared" si="381"/>
        <v>16</v>
      </c>
      <c r="FK169" s="64">
        <f t="shared" si="381"/>
        <v>20</v>
      </c>
      <c r="FL169" s="64">
        <f t="shared" si="381"/>
        <v>20</v>
      </c>
      <c r="FM169" s="64">
        <f t="shared" si="381"/>
        <v>24</v>
      </c>
      <c r="FN169" s="64"/>
      <c r="FO169" s="64" t="s">
        <v>242</v>
      </c>
      <c r="FP169" s="64">
        <v>0</v>
      </c>
      <c r="FQ169" s="64">
        <f t="shared" ref="FQ169:GB169" si="382">FQ6/5*4</f>
        <v>0</v>
      </c>
      <c r="FR169" s="64">
        <f t="shared" si="382"/>
        <v>0</v>
      </c>
      <c r="FS169" s="64">
        <f t="shared" si="382"/>
        <v>4</v>
      </c>
      <c r="FT169" s="64">
        <f t="shared" si="382"/>
        <v>8</v>
      </c>
      <c r="FU169" s="64">
        <f t="shared" si="382"/>
        <v>8</v>
      </c>
      <c r="FV169" s="64">
        <f t="shared" si="382"/>
        <v>12</v>
      </c>
      <c r="FW169" s="64">
        <f t="shared" si="382"/>
        <v>12</v>
      </c>
      <c r="FX169" s="64">
        <f t="shared" si="382"/>
        <v>16</v>
      </c>
      <c r="FY169" s="64">
        <f t="shared" si="382"/>
        <v>20</v>
      </c>
      <c r="FZ169" s="64">
        <f t="shared" si="382"/>
        <v>20</v>
      </c>
      <c r="GA169" s="64">
        <f t="shared" si="382"/>
        <v>24</v>
      </c>
      <c r="GB169" s="64">
        <f t="shared" si="382"/>
        <v>28</v>
      </c>
      <c r="GC169" s="64"/>
      <c r="GD169" s="64" t="s">
        <v>242</v>
      </c>
      <c r="GE169" s="64">
        <v>0</v>
      </c>
      <c r="GF169" s="64">
        <f t="shared" ref="GF169:GQ169" si="383">GF6/5*4</f>
        <v>0</v>
      </c>
      <c r="GG169" s="64">
        <f t="shared" si="383"/>
        <v>0</v>
      </c>
      <c r="GH169" s="64">
        <f t="shared" si="383"/>
        <v>4</v>
      </c>
      <c r="GI169" s="64">
        <f t="shared" si="383"/>
        <v>8</v>
      </c>
      <c r="GJ169" s="64">
        <f t="shared" si="383"/>
        <v>8</v>
      </c>
      <c r="GK169" s="64">
        <f t="shared" si="383"/>
        <v>12</v>
      </c>
      <c r="GL169" s="64">
        <f t="shared" si="383"/>
        <v>16</v>
      </c>
      <c r="GM169" s="64">
        <f t="shared" si="383"/>
        <v>16</v>
      </c>
      <c r="GN169" s="64">
        <f t="shared" si="383"/>
        <v>20</v>
      </c>
      <c r="GO169" s="64">
        <f t="shared" si="383"/>
        <v>24</v>
      </c>
      <c r="GP169" s="64">
        <f t="shared" si="383"/>
        <v>24</v>
      </c>
      <c r="GQ169" s="64">
        <f t="shared" si="383"/>
        <v>28</v>
      </c>
      <c r="GR169" s="64"/>
      <c r="GS169" s="64" t="s">
        <v>242</v>
      </c>
      <c r="GT169" s="64">
        <v>0</v>
      </c>
      <c r="GU169" s="64">
        <f t="shared" ref="GU169:HF169" si="384">GU6/5*4</f>
        <v>0</v>
      </c>
      <c r="GV169" s="64">
        <f t="shared" si="384"/>
        <v>0</v>
      </c>
      <c r="GW169" s="64">
        <f t="shared" si="384"/>
        <v>4</v>
      </c>
      <c r="GX169" s="64">
        <f t="shared" si="384"/>
        <v>8</v>
      </c>
      <c r="GY169" s="64">
        <f t="shared" si="384"/>
        <v>12</v>
      </c>
      <c r="GZ169" s="64">
        <f t="shared" si="384"/>
        <v>12</v>
      </c>
      <c r="HA169" s="64">
        <f t="shared" si="384"/>
        <v>16</v>
      </c>
      <c r="HB169" s="64">
        <f t="shared" si="384"/>
        <v>20</v>
      </c>
      <c r="HC169" s="64">
        <f t="shared" si="384"/>
        <v>24</v>
      </c>
      <c r="HD169" s="64">
        <f t="shared" si="384"/>
        <v>24</v>
      </c>
      <c r="HE169" s="64">
        <f t="shared" si="384"/>
        <v>28</v>
      </c>
      <c r="HF169" s="64">
        <f t="shared" si="384"/>
        <v>32</v>
      </c>
      <c r="HG169" s="64"/>
      <c r="HH169" s="64"/>
    </row>
    <row r="170" spans="1:216" x14ac:dyDescent="0.25">
      <c r="A170" s="8"/>
      <c r="B170" s="5" t="s">
        <v>61</v>
      </c>
      <c r="C170" s="8"/>
      <c r="D170" s="6" t="s">
        <v>556</v>
      </c>
      <c r="E170" s="8">
        <v>30</v>
      </c>
      <c r="F170" s="9"/>
      <c r="G170" s="9"/>
      <c r="H170" s="9"/>
      <c r="I170" s="9"/>
      <c r="J170" s="9"/>
      <c r="K170" s="9"/>
      <c r="L170" s="6" t="s">
        <v>1456</v>
      </c>
      <c r="M170" s="11">
        <f>INDEX(cenník!$C$2:$I$568,MATCH($L170,cenník!$B$2:$B$557,0),MATCH(M$2,cenník!$C$1:$I$1,0))</f>
        <v>850154</v>
      </c>
      <c r="N170" s="11" t="str">
        <f>INDEX(cenník!$C$2:$I$568,MATCH($L170,cenník!$B$2:$B$557,0),MATCH(N$2,cenník!$C$1:$I$1,0))</f>
        <v>ks</v>
      </c>
      <c r="O170" s="11">
        <f>O165</f>
        <v>11</v>
      </c>
      <c r="P170" s="36">
        <f>INDEX(cenník!$C$2:$I$568,MATCH($L170,cenník!$B$2:$B$557,0),MATCH(P$2,cenník!$C$1:$I$1,0))</f>
        <v>5.17</v>
      </c>
      <c r="Q170" s="36">
        <f t="shared" si="363"/>
        <v>56.87</v>
      </c>
      <c r="R170" s="37">
        <f t="shared" si="360"/>
        <v>0</v>
      </c>
      <c r="S170" s="36">
        <f t="shared" si="361"/>
        <v>5.17</v>
      </c>
      <c r="T170" s="36">
        <f t="shared" si="362"/>
        <v>56.87</v>
      </c>
      <c r="U170" s="36">
        <f>INDEX(cenník!$C$2:$I$568,MATCH($L170,cenník!$B$2:$B$557,0),MATCH(U$2,cenník!$C$1:$I$1,0))*O170</f>
        <v>1.98</v>
      </c>
      <c r="V170" s="85"/>
      <c r="W170" s="64"/>
      <c r="X170" s="64"/>
      <c r="Y170" s="64"/>
      <c r="Z170" s="64"/>
      <c r="AA170" s="64"/>
      <c r="AB170" s="64"/>
      <c r="AC170" s="64"/>
      <c r="AD170" s="64"/>
      <c r="AE170" s="64"/>
      <c r="AF170" s="64"/>
      <c r="AG170" s="64"/>
      <c r="AH170" s="64">
        <v>39</v>
      </c>
      <c r="AI170" s="64">
        <v>2200</v>
      </c>
      <c r="AJ170" s="64"/>
      <c r="AK170" s="64"/>
      <c r="AL170" s="64"/>
      <c r="AM170" s="64"/>
      <c r="AN170" s="64"/>
      <c r="AO170" s="64"/>
      <c r="AP170" s="64"/>
      <c r="AQ170" s="64"/>
      <c r="AR170" s="64"/>
      <c r="AS170" s="64"/>
      <c r="AT170" s="64"/>
      <c r="AU170" s="64"/>
      <c r="AV170" s="64"/>
      <c r="AW170" s="64"/>
      <c r="AX170" s="64"/>
      <c r="AY170" s="64"/>
      <c r="AZ170" s="64"/>
      <c r="BA170" s="64"/>
      <c r="BB170" s="64"/>
      <c r="BC170" s="64"/>
      <c r="BD170" s="64"/>
      <c r="BE170" s="64"/>
      <c r="BF170" s="64"/>
      <c r="BG170" s="64"/>
      <c r="BH170" s="72" t="s">
        <v>17</v>
      </c>
      <c r="BI170" s="64">
        <f t="shared" si="374"/>
        <v>0</v>
      </c>
      <c r="BJ170" s="64">
        <f t="shared" si="374"/>
        <v>0</v>
      </c>
      <c r="BK170" s="64">
        <f t="shared" si="374"/>
        <v>0</v>
      </c>
      <c r="BL170" s="64">
        <f t="shared" si="374"/>
        <v>0</v>
      </c>
      <c r="BM170" s="64">
        <v>4</v>
      </c>
      <c r="BN170" s="64">
        <f t="shared" si="374"/>
        <v>4</v>
      </c>
      <c r="BO170" s="64">
        <v>4</v>
      </c>
      <c r="BP170" s="64">
        <v>4</v>
      </c>
      <c r="BQ170" s="64">
        <v>8</v>
      </c>
      <c r="BR170" s="64">
        <f t="shared" si="374"/>
        <v>8</v>
      </c>
      <c r="BS170" s="64">
        <f t="shared" si="374"/>
        <v>12</v>
      </c>
      <c r="BT170" s="64">
        <v>8</v>
      </c>
      <c r="BU170" s="64">
        <f t="shared" si="374"/>
        <v>12</v>
      </c>
      <c r="BV170" s="64"/>
      <c r="BW170" s="64" t="s">
        <v>17</v>
      </c>
      <c r="BX170" s="64">
        <v>0</v>
      </c>
      <c r="BY170" s="64">
        <f t="shared" si="365"/>
        <v>0</v>
      </c>
      <c r="BZ170" s="64">
        <f t="shared" si="365"/>
        <v>0</v>
      </c>
      <c r="CA170" s="64">
        <f t="shared" si="365"/>
        <v>0</v>
      </c>
      <c r="CB170" s="64">
        <v>4</v>
      </c>
      <c r="CC170" s="64">
        <f t="shared" si="365"/>
        <v>4</v>
      </c>
      <c r="CD170" s="64">
        <v>4</v>
      </c>
      <c r="CE170" s="64">
        <v>8</v>
      </c>
      <c r="CF170" s="64">
        <f t="shared" si="365"/>
        <v>8</v>
      </c>
      <c r="CG170" s="64">
        <v>12</v>
      </c>
      <c r="CH170" s="64">
        <v>8</v>
      </c>
      <c r="CI170" s="64">
        <f t="shared" si="365"/>
        <v>12</v>
      </c>
      <c r="CJ170" s="64">
        <v>12</v>
      </c>
      <c r="CK170" s="64"/>
      <c r="CL170" s="64"/>
      <c r="CM170" s="64"/>
      <c r="CN170" s="64" t="s">
        <v>17</v>
      </c>
      <c r="CO170" s="64">
        <v>0</v>
      </c>
      <c r="CP170" s="64">
        <f t="shared" si="366"/>
        <v>0</v>
      </c>
      <c r="CQ170" s="64">
        <f t="shared" si="366"/>
        <v>0</v>
      </c>
      <c r="CR170" s="64">
        <f t="shared" si="366"/>
        <v>4</v>
      </c>
      <c r="CS170" s="64">
        <f t="shared" si="366"/>
        <v>4</v>
      </c>
      <c r="CT170" s="64">
        <v>4</v>
      </c>
      <c r="CU170" s="64">
        <v>4</v>
      </c>
      <c r="CV170" s="64">
        <v>8</v>
      </c>
      <c r="CW170" s="64">
        <f t="shared" si="366"/>
        <v>8</v>
      </c>
      <c r="CX170" s="64">
        <f t="shared" si="366"/>
        <v>8</v>
      </c>
      <c r="CY170" s="64">
        <f t="shared" si="366"/>
        <v>12</v>
      </c>
      <c r="CZ170" s="64">
        <v>12</v>
      </c>
      <c r="DA170" s="64">
        <v>16</v>
      </c>
      <c r="DB170" s="64"/>
      <c r="DC170" s="72" t="s">
        <v>17</v>
      </c>
      <c r="DD170" s="64">
        <f t="shared" si="367"/>
        <v>0</v>
      </c>
      <c r="DE170" s="64">
        <f t="shared" si="367"/>
        <v>0</v>
      </c>
      <c r="DF170" s="64">
        <f t="shared" si="367"/>
        <v>0</v>
      </c>
      <c r="DG170" s="64">
        <f t="shared" si="367"/>
        <v>4</v>
      </c>
      <c r="DH170" s="64">
        <f t="shared" si="367"/>
        <v>4</v>
      </c>
      <c r="DI170" s="64">
        <v>4</v>
      </c>
      <c r="DJ170" s="64">
        <v>8</v>
      </c>
      <c r="DK170" s="64">
        <f t="shared" si="367"/>
        <v>8</v>
      </c>
      <c r="DL170" s="64">
        <f t="shared" si="367"/>
        <v>12</v>
      </c>
      <c r="DM170" s="64">
        <v>12</v>
      </c>
      <c r="DN170" s="64">
        <f t="shared" si="367"/>
        <v>12</v>
      </c>
      <c r="DO170" s="64">
        <f t="shared" si="367"/>
        <v>16</v>
      </c>
      <c r="DP170" s="64">
        <v>16</v>
      </c>
      <c r="DQ170" s="80"/>
      <c r="DR170" s="80">
        <v>18</v>
      </c>
      <c r="DS170" s="80"/>
      <c r="DT170" s="72" t="s">
        <v>17</v>
      </c>
      <c r="DU170" s="72">
        <v>0</v>
      </c>
      <c r="DV170" s="64">
        <f t="shared" si="368"/>
        <v>0</v>
      </c>
      <c r="DW170" s="64">
        <f t="shared" si="368"/>
        <v>0</v>
      </c>
      <c r="DX170" s="64">
        <f t="shared" si="368"/>
        <v>4</v>
      </c>
      <c r="DY170" s="64">
        <f t="shared" si="368"/>
        <v>8</v>
      </c>
      <c r="DZ170" s="64">
        <f t="shared" si="368"/>
        <v>4</v>
      </c>
      <c r="EA170" s="64">
        <f t="shared" si="368"/>
        <v>8</v>
      </c>
      <c r="EB170" s="64">
        <f t="shared" si="368"/>
        <v>8</v>
      </c>
      <c r="EC170" s="64">
        <f t="shared" si="368"/>
        <v>12</v>
      </c>
      <c r="ED170" s="64">
        <f t="shared" si="368"/>
        <v>12</v>
      </c>
      <c r="EE170" s="64">
        <f t="shared" si="368"/>
        <v>16</v>
      </c>
      <c r="EF170" s="64">
        <f t="shared" si="368"/>
        <v>16</v>
      </c>
      <c r="EG170" s="64">
        <f t="shared" si="368"/>
        <v>16</v>
      </c>
      <c r="EH170" s="64"/>
      <c r="EI170" s="64"/>
      <c r="EJ170" s="64"/>
      <c r="EK170" s="64"/>
      <c r="EL170" s="64"/>
      <c r="EM170" s="64"/>
      <c r="EN170" s="64"/>
      <c r="EO170" s="64"/>
      <c r="EP170" s="64"/>
      <c r="EQ170" s="64"/>
      <c r="ER170" s="64"/>
      <c r="ES170" s="64"/>
      <c r="ET170" s="64"/>
      <c r="EU170" s="64"/>
      <c r="EV170" s="64"/>
      <c r="EW170" s="64"/>
      <c r="EX170" s="64"/>
      <c r="EY170" s="64"/>
      <c r="EZ170" s="64"/>
      <c r="FA170" s="64"/>
      <c r="FB170" s="64"/>
      <c r="FC170" s="64"/>
      <c r="FD170" s="64"/>
      <c r="FE170" s="64"/>
      <c r="FF170" s="64"/>
      <c r="FG170" s="64"/>
      <c r="FH170" s="64"/>
      <c r="FI170" s="64"/>
      <c r="FJ170" s="64"/>
      <c r="FK170" s="64"/>
      <c r="FL170" s="64"/>
      <c r="FM170" s="64"/>
      <c r="FN170" s="64"/>
      <c r="FO170" s="64"/>
      <c r="FP170" s="64"/>
      <c r="FQ170" s="64"/>
      <c r="FR170" s="64"/>
      <c r="FS170" s="64"/>
      <c r="FT170" s="64"/>
      <c r="FU170" s="64"/>
      <c r="FV170" s="64"/>
      <c r="FW170" s="64"/>
      <c r="FX170" s="64"/>
      <c r="FY170" s="64"/>
      <c r="FZ170" s="64"/>
      <c r="GA170" s="64"/>
      <c r="GB170" s="64"/>
      <c r="GC170" s="64"/>
      <c r="GD170" s="64"/>
      <c r="GE170" s="64"/>
      <c r="GF170" s="64"/>
      <c r="GG170" s="64"/>
      <c r="GH170" s="64"/>
      <c r="GI170" s="64"/>
      <c r="GJ170" s="64"/>
      <c r="GK170" s="64"/>
      <c r="GL170" s="64"/>
      <c r="GM170" s="64"/>
      <c r="GN170" s="64"/>
      <c r="GO170" s="64"/>
      <c r="GP170" s="64"/>
      <c r="GQ170" s="64"/>
      <c r="GR170" s="64"/>
      <c r="GS170" s="64"/>
      <c r="GT170" s="64"/>
      <c r="GU170" s="64"/>
      <c r="GV170" s="64"/>
      <c r="GW170" s="64"/>
      <c r="GX170" s="64"/>
      <c r="GY170" s="64"/>
      <c r="GZ170" s="64"/>
      <c r="HA170" s="64"/>
      <c r="HB170" s="64"/>
      <c r="HC170" s="64"/>
      <c r="HD170" s="64"/>
      <c r="HE170" s="64"/>
      <c r="HF170" s="64"/>
      <c r="HG170" s="64"/>
      <c r="HH170" s="64"/>
    </row>
    <row r="171" spans="1:216" x14ac:dyDescent="0.25">
      <c r="A171" s="8"/>
      <c r="B171" s="5" t="s">
        <v>61</v>
      </c>
      <c r="C171" s="8"/>
      <c r="D171" s="6" t="s">
        <v>478</v>
      </c>
      <c r="E171" s="8">
        <v>1</v>
      </c>
      <c r="F171" s="43" t="s">
        <v>480</v>
      </c>
      <c r="G171" s="9"/>
      <c r="H171" s="9"/>
      <c r="I171" s="9"/>
      <c r="J171" s="9"/>
      <c r="K171" s="9"/>
      <c r="L171" s="6" t="s">
        <v>193</v>
      </c>
      <c r="M171" s="11">
        <f>INDEX(cenník!$C$2:$I$568,MATCH($L171,cenník!$B$2:$B$557,0),MATCH(M$2,cenník!$C$1:$I$1,0))</f>
        <v>858022</v>
      </c>
      <c r="N171" s="11" t="str">
        <f>INDEX(cenník!$C$2:$I$568,MATCH($L171,cenník!$B$2:$B$557,0),MATCH(N$2,cenník!$C$1:$I$1,0))</f>
        <v>ks</v>
      </c>
      <c r="O171" s="11">
        <f>0</f>
        <v>0</v>
      </c>
      <c r="P171" s="36">
        <f>INDEX(cenník!$C$2:$I$568,MATCH($L171,cenník!$B$2:$B$557,0),MATCH(P$2,cenník!$C$1:$I$1,0))</f>
        <v>1.56</v>
      </c>
      <c r="Q171" s="36">
        <f t="shared" ref="Q171:Q186" si="385">O171*P171</f>
        <v>0</v>
      </c>
      <c r="R171" s="37">
        <f t="shared" si="360"/>
        <v>0</v>
      </c>
      <c r="S171" s="36">
        <f t="shared" si="361"/>
        <v>1.56</v>
      </c>
      <c r="T171" s="36">
        <f t="shared" ref="T171:T185" si="386">O171*S171</f>
        <v>0</v>
      </c>
      <c r="U171" s="36">
        <f>INDEX(cenník!$C$2:$I$568,MATCH($L171,cenník!$B$2:$B$557,0),MATCH(U$2,cenník!$C$1:$I$1,0))*O171</f>
        <v>0</v>
      </c>
      <c r="V171" s="85"/>
      <c r="AC171" s="64"/>
      <c r="AD171" s="64"/>
      <c r="AE171" s="64"/>
      <c r="AF171" s="64"/>
      <c r="AG171" s="64"/>
      <c r="AH171" s="64">
        <f>((AH170/3)*AI170)+(((AH170/3)-1)*20)-700</f>
        <v>28140</v>
      </c>
      <c r="AI171" s="64" t="s">
        <v>91</v>
      </c>
      <c r="AJ171" s="64" t="s">
        <v>89</v>
      </c>
      <c r="AK171" s="64" t="s">
        <v>88</v>
      </c>
      <c r="AL171" s="64"/>
      <c r="AM171" s="64" t="s">
        <v>90</v>
      </c>
      <c r="AN171" s="64"/>
      <c r="AO171" s="64"/>
      <c r="AP171" s="64"/>
      <c r="AQ171" s="64"/>
      <c r="AR171" s="64"/>
      <c r="AS171" s="64"/>
      <c r="AT171" s="64"/>
      <c r="AU171" s="64"/>
      <c r="AV171" s="64"/>
      <c r="AW171" s="64"/>
      <c r="AX171" s="64"/>
      <c r="AY171" s="64"/>
      <c r="AZ171" s="64"/>
      <c r="BA171" s="64"/>
      <c r="BB171" s="64"/>
      <c r="BC171" s="64"/>
      <c r="BD171" s="64"/>
      <c r="BE171" s="64"/>
      <c r="BF171" s="64"/>
      <c r="BG171" s="64"/>
      <c r="BH171" s="64"/>
      <c r="BI171" s="64"/>
      <c r="BJ171" s="64"/>
      <c r="BK171" s="64"/>
      <c r="BL171" s="64"/>
      <c r="BM171" s="64"/>
      <c r="BN171" s="64"/>
      <c r="BO171" s="64"/>
      <c r="BP171" s="64"/>
      <c r="BQ171" s="64"/>
      <c r="BR171" s="64"/>
      <c r="BS171" s="64"/>
      <c r="BT171" s="64"/>
      <c r="BU171" s="64"/>
      <c r="BV171" s="64"/>
      <c r="BW171" s="64"/>
      <c r="BX171" s="64"/>
      <c r="BY171" s="64"/>
      <c r="BZ171" s="64"/>
      <c r="CA171" s="64"/>
      <c r="CB171" s="64"/>
      <c r="CC171" s="64"/>
      <c r="CD171" s="64"/>
      <c r="CE171" s="64"/>
      <c r="CF171" s="64"/>
      <c r="CG171" s="64"/>
      <c r="CH171" s="64"/>
      <c r="CI171" s="64"/>
      <c r="CJ171" s="64"/>
      <c r="CK171" s="64"/>
      <c r="CL171" s="64"/>
      <c r="CM171" s="64"/>
      <c r="CN171" s="64"/>
      <c r="CO171" s="64"/>
      <c r="CP171" s="64"/>
      <c r="CQ171" s="64"/>
      <c r="CR171" s="64"/>
      <c r="CS171" s="64"/>
      <c r="CT171" s="64"/>
      <c r="CU171" s="64"/>
      <c r="CV171" s="64"/>
      <c r="CW171" s="64"/>
      <c r="CX171" s="64"/>
      <c r="CY171" s="64"/>
      <c r="CZ171" s="64"/>
      <c r="DA171" s="64"/>
      <c r="DB171" s="64"/>
      <c r="DC171" s="64"/>
      <c r="DD171" s="64"/>
      <c r="DE171" s="64"/>
      <c r="DF171" s="64"/>
      <c r="DG171" s="64"/>
      <c r="DH171" s="64"/>
      <c r="DI171" s="64"/>
      <c r="DJ171" s="64"/>
      <c r="DK171" s="64"/>
      <c r="DL171" s="64"/>
      <c r="DM171" s="64"/>
      <c r="DN171" s="64"/>
      <c r="DO171" s="64"/>
      <c r="DP171" s="64"/>
      <c r="DQ171" s="80"/>
      <c r="DR171" s="80">
        <v>21</v>
      </c>
      <c r="DS171" s="80"/>
      <c r="DT171" s="64"/>
      <c r="DU171" s="64"/>
      <c r="DV171" s="64"/>
      <c r="DW171" s="64"/>
      <c r="DX171" s="64"/>
      <c r="DY171" s="64"/>
      <c r="DZ171" s="64"/>
      <c r="EA171" s="64"/>
      <c r="EB171" s="64"/>
      <c r="EC171" s="64"/>
      <c r="ED171" s="64"/>
      <c r="EE171" s="64"/>
      <c r="EF171" s="64"/>
      <c r="EG171" s="64"/>
      <c r="EH171" s="64"/>
      <c r="EI171" s="64"/>
      <c r="EJ171" s="64"/>
      <c r="EK171" s="64" t="s">
        <v>57</v>
      </c>
      <c r="EL171" s="64">
        <v>0</v>
      </c>
      <c r="EM171" s="64">
        <v>6</v>
      </c>
      <c r="EN171" s="64">
        <v>9</v>
      </c>
      <c r="EO171" s="64">
        <v>12</v>
      </c>
      <c r="EP171" s="64">
        <v>15</v>
      </c>
      <c r="EQ171" s="64">
        <v>18</v>
      </c>
      <c r="ER171" s="64">
        <v>21</v>
      </c>
      <c r="ES171" s="64">
        <v>24</v>
      </c>
      <c r="ET171" s="64">
        <v>27</v>
      </c>
      <c r="EU171" s="64">
        <v>30</v>
      </c>
      <c r="EV171" s="64">
        <v>33</v>
      </c>
      <c r="EW171" s="64">
        <v>36</v>
      </c>
      <c r="EX171" s="64">
        <v>39</v>
      </c>
      <c r="EY171" s="64"/>
      <c r="EZ171" s="64" t="s">
        <v>197</v>
      </c>
      <c r="FA171" s="64">
        <v>0</v>
      </c>
      <c r="FB171" s="64">
        <v>6</v>
      </c>
      <c r="FC171" s="64">
        <v>9</v>
      </c>
      <c r="FD171" s="64">
        <v>12</v>
      </c>
      <c r="FE171" s="64">
        <v>15</v>
      </c>
      <c r="FF171" s="64">
        <v>18</v>
      </c>
      <c r="FG171" s="64">
        <v>21</v>
      </c>
      <c r="FH171" s="64">
        <v>24</v>
      </c>
      <c r="FI171" s="64">
        <v>27</v>
      </c>
      <c r="FJ171" s="64">
        <v>30</v>
      </c>
      <c r="FK171" s="64">
        <v>33</v>
      </c>
      <c r="FL171" s="64">
        <v>36</v>
      </c>
      <c r="FM171" s="64">
        <v>39</v>
      </c>
      <c r="FN171" s="64"/>
      <c r="FO171" s="64" t="s">
        <v>58</v>
      </c>
      <c r="FP171" s="64">
        <v>0</v>
      </c>
      <c r="FQ171" s="64">
        <v>6</v>
      </c>
      <c r="FR171" s="64">
        <v>9</v>
      </c>
      <c r="FS171" s="64">
        <v>12</v>
      </c>
      <c r="FT171" s="64">
        <v>15</v>
      </c>
      <c r="FU171" s="64">
        <v>18</v>
      </c>
      <c r="FV171" s="64">
        <v>21</v>
      </c>
      <c r="FW171" s="64">
        <v>24</v>
      </c>
      <c r="FX171" s="64">
        <v>27</v>
      </c>
      <c r="FY171" s="64">
        <v>30</v>
      </c>
      <c r="FZ171" s="64">
        <v>33</v>
      </c>
      <c r="GA171" s="64">
        <v>36</v>
      </c>
      <c r="GB171" s="64">
        <v>39</v>
      </c>
      <c r="GC171" s="64"/>
      <c r="GD171" s="64" t="s">
        <v>203</v>
      </c>
      <c r="GE171" s="64">
        <v>0</v>
      </c>
      <c r="GF171" s="64">
        <v>6</v>
      </c>
      <c r="GG171" s="64">
        <v>9</v>
      </c>
      <c r="GH171" s="64">
        <v>12</v>
      </c>
      <c r="GI171" s="64">
        <v>15</v>
      </c>
      <c r="GJ171" s="64">
        <v>18</v>
      </c>
      <c r="GK171" s="64">
        <v>21</v>
      </c>
      <c r="GL171" s="64">
        <v>24</v>
      </c>
      <c r="GM171" s="64">
        <v>27</v>
      </c>
      <c r="GN171" s="64">
        <v>30</v>
      </c>
      <c r="GO171" s="64">
        <v>33</v>
      </c>
      <c r="GP171" s="64">
        <v>36</v>
      </c>
      <c r="GQ171" s="64">
        <v>39</v>
      </c>
      <c r="GR171" s="64"/>
      <c r="GS171" s="64" t="s">
        <v>231</v>
      </c>
      <c r="GT171" s="64">
        <v>0</v>
      </c>
      <c r="GU171" s="64">
        <v>6</v>
      </c>
      <c r="GV171" s="64">
        <v>9</v>
      </c>
      <c r="GW171" s="64">
        <v>12</v>
      </c>
      <c r="GX171" s="64">
        <v>15</v>
      </c>
      <c r="GY171" s="64">
        <v>18</v>
      </c>
      <c r="GZ171" s="64">
        <v>21</v>
      </c>
      <c r="HA171" s="64">
        <v>24</v>
      </c>
      <c r="HB171" s="64">
        <v>27</v>
      </c>
      <c r="HC171" s="64">
        <v>30</v>
      </c>
      <c r="HD171" s="64">
        <v>33</v>
      </c>
      <c r="HE171" s="64">
        <v>36</v>
      </c>
      <c r="HF171" s="64">
        <v>39</v>
      </c>
      <c r="HG171" s="64"/>
      <c r="HH171" s="64"/>
    </row>
    <row r="172" spans="1:216" x14ac:dyDescent="0.25">
      <c r="A172" s="8"/>
      <c r="B172" s="5" t="s">
        <v>61</v>
      </c>
      <c r="C172" s="8"/>
      <c r="D172" s="6" t="s">
        <v>479</v>
      </c>
      <c r="E172" s="8">
        <v>2</v>
      </c>
      <c r="F172" s="43" t="s">
        <v>481</v>
      </c>
      <c r="G172" s="9"/>
      <c r="H172" s="9"/>
      <c r="I172" s="9"/>
      <c r="J172" s="9"/>
      <c r="K172" s="9"/>
      <c r="L172" s="6" t="s">
        <v>286</v>
      </c>
      <c r="M172" s="11">
        <f>INDEX(cenník!$C$2:$I$568,MATCH($L172,cenník!$B$2:$B$557,0),MATCH(M$2,cenník!$C$1:$I$1,0))</f>
        <v>867566</v>
      </c>
      <c r="N172" s="11" t="str">
        <f>INDEX(cenník!$C$2:$I$568,MATCH($L172,cenník!$B$2:$B$557,0),MATCH(N$2,cenník!$C$1:$I$1,0))</f>
        <v>ks</v>
      </c>
      <c r="O172" s="11">
        <f>SUM(X154:X169)</f>
        <v>0</v>
      </c>
      <c r="P172" s="36">
        <f>INDEX(cenník!$C$2:$I$568,MATCH($L172,cenník!$B$2:$B$557,0),MATCH(P$2,cenník!$C$1:$I$1,0))</f>
        <v>91.73</v>
      </c>
      <c r="Q172" s="36">
        <f t="shared" si="385"/>
        <v>0</v>
      </c>
      <c r="R172" s="37">
        <f t="shared" si="360"/>
        <v>0</v>
      </c>
      <c r="S172" s="36">
        <f t="shared" si="361"/>
        <v>91.73</v>
      </c>
      <c r="T172" s="36">
        <f t="shared" si="386"/>
        <v>0</v>
      </c>
      <c r="U172" s="36">
        <f>INDEX(cenník!$C$2:$I$568,MATCH($L172,cenník!$B$2:$B$557,0),MATCH(U$2,cenník!$C$1:$I$1,0))*O172</f>
        <v>0</v>
      </c>
      <c r="V172" s="85"/>
      <c r="AC172" s="64"/>
      <c r="AD172" s="64"/>
      <c r="AE172" s="64"/>
      <c r="AF172" s="64"/>
      <c r="AG172" s="64" t="s">
        <v>104</v>
      </c>
      <c r="AH172" s="64">
        <v>6600</v>
      </c>
      <c r="AI172" s="64">
        <v>3</v>
      </c>
      <c r="AJ172" s="64">
        <f>AH172*AI172</f>
        <v>19800</v>
      </c>
      <c r="AK172" s="64">
        <v>191.1</v>
      </c>
      <c r="AL172" s="64">
        <f>AI172*AK172</f>
        <v>573.29999999999995</v>
      </c>
      <c r="AM172" s="64">
        <f>AI172*4</f>
        <v>12</v>
      </c>
      <c r="AN172" s="64"/>
      <c r="AO172" s="64"/>
      <c r="AP172" s="64"/>
      <c r="AQ172" s="64"/>
      <c r="AR172" s="64"/>
      <c r="AS172" s="64"/>
      <c r="AT172" s="64"/>
      <c r="AU172" s="64"/>
      <c r="AV172" s="64"/>
      <c r="AW172" s="64"/>
      <c r="AX172" s="64"/>
      <c r="AY172" s="64"/>
      <c r="AZ172" s="64"/>
      <c r="BA172" s="64"/>
      <c r="BB172" s="64"/>
      <c r="BC172" s="64"/>
      <c r="BD172" s="64"/>
      <c r="BE172" s="64"/>
      <c r="BF172" s="64"/>
      <c r="BG172" s="64"/>
      <c r="BH172" s="64" t="s">
        <v>57</v>
      </c>
      <c r="BI172" s="64">
        <v>0</v>
      </c>
      <c r="BJ172" s="64">
        <v>6</v>
      </c>
      <c r="BK172" s="64">
        <v>9</v>
      </c>
      <c r="BL172" s="64">
        <v>12</v>
      </c>
      <c r="BM172" s="64">
        <v>15</v>
      </c>
      <c r="BN172" s="64">
        <v>18</v>
      </c>
      <c r="BO172" s="64">
        <v>21</v>
      </c>
      <c r="BP172" s="64">
        <v>24</v>
      </c>
      <c r="BQ172" s="64">
        <v>27</v>
      </c>
      <c r="BR172" s="64">
        <v>30</v>
      </c>
      <c r="BS172" s="64">
        <v>33</v>
      </c>
      <c r="BT172" s="64">
        <v>36</v>
      </c>
      <c r="BU172" s="64">
        <v>39</v>
      </c>
      <c r="BV172" s="64"/>
      <c r="BW172" s="64" t="s">
        <v>197</v>
      </c>
      <c r="BX172" s="64">
        <v>0</v>
      </c>
      <c r="BY172" s="64">
        <v>6</v>
      </c>
      <c r="BZ172" s="64">
        <v>9</v>
      </c>
      <c r="CA172" s="64">
        <v>12</v>
      </c>
      <c r="CB172" s="64">
        <v>15</v>
      </c>
      <c r="CC172" s="64">
        <v>18</v>
      </c>
      <c r="CD172" s="64">
        <v>21</v>
      </c>
      <c r="CE172" s="64">
        <v>24</v>
      </c>
      <c r="CF172" s="64">
        <v>27</v>
      </c>
      <c r="CG172" s="64">
        <v>30</v>
      </c>
      <c r="CH172" s="64">
        <v>33</v>
      </c>
      <c r="CI172" s="64">
        <v>36</v>
      </c>
      <c r="CJ172" s="64">
        <v>39</v>
      </c>
      <c r="CK172" s="64"/>
      <c r="CL172" s="64"/>
      <c r="CM172" s="64"/>
      <c r="CN172" s="64" t="s">
        <v>58</v>
      </c>
      <c r="CO172" s="64">
        <v>0</v>
      </c>
      <c r="CP172" s="64">
        <v>6</v>
      </c>
      <c r="CQ172" s="64">
        <v>9</v>
      </c>
      <c r="CR172" s="64">
        <v>12</v>
      </c>
      <c r="CS172" s="64">
        <v>15</v>
      </c>
      <c r="CT172" s="64">
        <v>18</v>
      </c>
      <c r="CU172" s="64">
        <v>21</v>
      </c>
      <c r="CV172" s="64">
        <v>24</v>
      </c>
      <c r="CW172" s="64">
        <v>27</v>
      </c>
      <c r="CX172" s="64">
        <v>30</v>
      </c>
      <c r="CY172" s="64">
        <v>33</v>
      </c>
      <c r="CZ172" s="64">
        <v>36</v>
      </c>
      <c r="DA172" s="64">
        <v>39</v>
      </c>
      <c r="DB172" s="64"/>
      <c r="DC172" s="64" t="s">
        <v>203</v>
      </c>
      <c r="DD172" s="64">
        <v>0</v>
      </c>
      <c r="DE172" s="64">
        <v>6</v>
      </c>
      <c r="DF172" s="64">
        <v>9</v>
      </c>
      <c r="DG172" s="64">
        <v>12</v>
      </c>
      <c r="DH172" s="64">
        <v>15</v>
      </c>
      <c r="DI172" s="64">
        <v>18</v>
      </c>
      <c r="DJ172" s="64">
        <v>21</v>
      </c>
      <c r="DK172" s="64">
        <v>24</v>
      </c>
      <c r="DL172" s="64">
        <v>27</v>
      </c>
      <c r="DM172" s="64">
        <v>30</v>
      </c>
      <c r="DN172" s="64">
        <v>33</v>
      </c>
      <c r="DO172" s="64">
        <v>36</v>
      </c>
      <c r="DP172" s="64">
        <v>39</v>
      </c>
      <c r="DQ172" s="80"/>
      <c r="DR172" s="80">
        <v>24</v>
      </c>
      <c r="DS172" s="80"/>
      <c r="DT172" s="64" t="s">
        <v>231</v>
      </c>
      <c r="DU172" s="64">
        <v>0</v>
      </c>
      <c r="DV172" s="64">
        <v>8</v>
      </c>
      <c r="DW172" s="64">
        <v>12</v>
      </c>
      <c r="DX172" s="64">
        <v>16</v>
      </c>
      <c r="DY172" s="64">
        <v>20</v>
      </c>
      <c r="DZ172" s="64">
        <v>24</v>
      </c>
      <c r="EA172" s="64">
        <v>28</v>
      </c>
      <c r="EB172" s="64">
        <v>32</v>
      </c>
      <c r="EC172" s="64">
        <v>36</v>
      </c>
      <c r="ED172" s="64">
        <v>40</v>
      </c>
      <c r="EE172" s="64">
        <v>44</v>
      </c>
      <c r="EF172" s="64">
        <v>48</v>
      </c>
      <c r="EG172" s="64">
        <v>52</v>
      </c>
      <c r="EH172" s="64"/>
      <c r="EI172" s="64"/>
      <c r="EJ172" s="64"/>
      <c r="EK172" s="64" t="s">
        <v>240</v>
      </c>
      <c r="EL172" s="64">
        <v>0</v>
      </c>
      <c r="EM172" s="64">
        <f t="shared" ref="EM172:EX172" si="387">EM10/5*4</f>
        <v>0</v>
      </c>
      <c r="EN172" s="64">
        <f t="shared" si="387"/>
        <v>0</v>
      </c>
      <c r="EO172" s="64">
        <f t="shared" si="387"/>
        <v>0</v>
      </c>
      <c r="EP172" s="64">
        <f t="shared" si="387"/>
        <v>8</v>
      </c>
      <c r="EQ172" s="64">
        <f t="shared" si="387"/>
        <v>0</v>
      </c>
      <c r="ER172" s="64">
        <f t="shared" si="387"/>
        <v>8</v>
      </c>
      <c r="ES172" s="64">
        <f t="shared" si="387"/>
        <v>0</v>
      </c>
      <c r="ET172" s="64">
        <f t="shared" si="387"/>
        <v>8</v>
      </c>
      <c r="EU172" s="64">
        <f t="shared" si="387"/>
        <v>0</v>
      </c>
      <c r="EV172" s="64">
        <f t="shared" si="387"/>
        <v>8</v>
      </c>
      <c r="EW172" s="64">
        <f t="shared" si="387"/>
        <v>4</v>
      </c>
      <c r="EX172" s="64">
        <f t="shared" si="387"/>
        <v>8</v>
      </c>
      <c r="EY172" s="64"/>
      <c r="EZ172" s="64" t="s">
        <v>240</v>
      </c>
      <c r="FA172" s="64">
        <v>0</v>
      </c>
      <c r="FB172" s="64">
        <f t="shared" ref="FB172:FM172" si="388">FB10/5*4</f>
        <v>0</v>
      </c>
      <c r="FC172" s="64">
        <f t="shared" si="388"/>
        <v>0</v>
      </c>
      <c r="FD172" s="64">
        <f t="shared" si="388"/>
        <v>4</v>
      </c>
      <c r="FE172" s="64">
        <f t="shared" si="388"/>
        <v>8</v>
      </c>
      <c r="FF172" s="64">
        <f t="shared" si="388"/>
        <v>8</v>
      </c>
      <c r="FG172" s="64">
        <f t="shared" si="388"/>
        <v>0</v>
      </c>
      <c r="FH172" s="64">
        <f t="shared" si="388"/>
        <v>8</v>
      </c>
      <c r="FI172" s="64">
        <f t="shared" si="388"/>
        <v>4</v>
      </c>
      <c r="FJ172" s="64">
        <f t="shared" si="388"/>
        <v>8</v>
      </c>
      <c r="FK172" s="64">
        <f t="shared" si="388"/>
        <v>4</v>
      </c>
      <c r="FL172" s="64">
        <f t="shared" si="388"/>
        <v>8</v>
      </c>
      <c r="FM172" s="64">
        <f t="shared" si="388"/>
        <v>4</v>
      </c>
      <c r="FN172" s="64"/>
      <c r="FO172" s="64" t="s">
        <v>240</v>
      </c>
      <c r="FP172" s="64">
        <v>0</v>
      </c>
      <c r="FQ172" s="64">
        <f t="shared" ref="FQ172:GB172" si="389">FQ10/5*4</f>
        <v>4</v>
      </c>
      <c r="FR172" s="64">
        <f t="shared" si="389"/>
        <v>0</v>
      </c>
      <c r="FS172" s="64">
        <f t="shared" si="389"/>
        <v>4</v>
      </c>
      <c r="FT172" s="64">
        <f t="shared" si="389"/>
        <v>0</v>
      </c>
      <c r="FU172" s="64">
        <f t="shared" si="389"/>
        <v>8</v>
      </c>
      <c r="FV172" s="64">
        <f t="shared" si="389"/>
        <v>8</v>
      </c>
      <c r="FW172" s="64">
        <f t="shared" si="389"/>
        <v>0</v>
      </c>
      <c r="FX172" s="64">
        <f t="shared" si="389"/>
        <v>4</v>
      </c>
      <c r="FY172" s="64">
        <f t="shared" si="389"/>
        <v>4</v>
      </c>
      <c r="FZ172" s="64">
        <f t="shared" si="389"/>
        <v>8</v>
      </c>
      <c r="GA172" s="64">
        <f t="shared" si="389"/>
        <v>4</v>
      </c>
      <c r="GB172" s="64">
        <f t="shared" si="389"/>
        <v>0</v>
      </c>
      <c r="GC172" s="64"/>
      <c r="GD172" s="64" t="s">
        <v>240</v>
      </c>
      <c r="GE172" s="64">
        <v>0</v>
      </c>
      <c r="GF172" s="64">
        <f t="shared" ref="GF172:GQ172" si="390">GF10/5*4</f>
        <v>4</v>
      </c>
      <c r="GG172" s="64">
        <f t="shared" si="390"/>
        <v>0</v>
      </c>
      <c r="GH172" s="64">
        <f t="shared" si="390"/>
        <v>8</v>
      </c>
      <c r="GI172" s="64">
        <f t="shared" si="390"/>
        <v>4</v>
      </c>
      <c r="GJ172" s="64">
        <f t="shared" si="390"/>
        <v>0</v>
      </c>
      <c r="GK172" s="64">
        <f t="shared" si="390"/>
        <v>8</v>
      </c>
      <c r="GL172" s="64">
        <f t="shared" si="390"/>
        <v>4</v>
      </c>
      <c r="GM172" s="64">
        <f t="shared" si="390"/>
        <v>0</v>
      </c>
      <c r="GN172" s="64">
        <f t="shared" si="390"/>
        <v>8</v>
      </c>
      <c r="GO172" s="64">
        <f t="shared" si="390"/>
        <v>4</v>
      </c>
      <c r="GP172" s="64">
        <f t="shared" si="390"/>
        <v>0</v>
      </c>
      <c r="GQ172" s="64">
        <f t="shared" si="390"/>
        <v>4</v>
      </c>
      <c r="GR172" s="64"/>
      <c r="GS172" s="64" t="s">
        <v>240</v>
      </c>
      <c r="GT172" s="64">
        <v>0</v>
      </c>
      <c r="GU172" s="64">
        <f t="shared" ref="GU172:HF172" si="391">GU10/5*4</f>
        <v>4</v>
      </c>
      <c r="GV172" s="64">
        <f t="shared" si="391"/>
        <v>0</v>
      </c>
      <c r="GW172" s="64">
        <f t="shared" si="391"/>
        <v>8</v>
      </c>
      <c r="GX172" s="64">
        <f t="shared" si="391"/>
        <v>8</v>
      </c>
      <c r="GY172" s="64">
        <f t="shared" si="391"/>
        <v>0</v>
      </c>
      <c r="GZ172" s="64">
        <f t="shared" si="391"/>
        <v>0</v>
      </c>
      <c r="HA172" s="64">
        <f t="shared" si="391"/>
        <v>8</v>
      </c>
      <c r="HB172" s="64">
        <f t="shared" si="391"/>
        <v>4</v>
      </c>
      <c r="HC172" s="64">
        <f t="shared" si="391"/>
        <v>4</v>
      </c>
      <c r="HD172" s="64">
        <f t="shared" si="391"/>
        <v>8</v>
      </c>
      <c r="HE172" s="64">
        <f t="shared" si="391"/>
        <v>4</v>
      </c>
      <c r="HF172" s="64">
        <f t="shared" si="391"/>
        <v>0</v>
      </c>
      <c r="HG172" s="64"/>
      <c r="HH172" s="64"/>
    </row>
    <row r="173" spans="1:216" x14ac:dyDescent="0.25">
      <c r="A173" s="8"/>
      <c r="B173" s="5" t="s">
        <v>61</v>
      </c>
      <c r="C173" s="8"/>
      <c r="D173" s="6" t="s">
        <v>489</v>
      </c>
      <c r="E173" s="34">
        <f>INDEX((AQ152:AU154),MATCH(E171,AP152:AP154,0),MATCH(E172,AQ151:AU151,0))</f>
        <v>2000</v>
      </c>
      <c r="F173" s="9"/>
      <c r="G173" s="9"/>
      <c r="H173" s="9"/>
      <c r="I173" s="9"/>
      <c r="J173" s="31" t="s">
        <v>62</v>
      </c>
      <c r="K173" s="9"/>
      <c r="L173" s="6" t="s">
        <v>240</v>
      </c>
      <c r="M173" s="11">
        <f>INDEX(cenník!$C$2:$I$568,MATCH($L173,cenník!$B$2:$B$557,0),MATCH(M$2,cenník!$C$1:$I$1,0))</f>
        <v>867644</v>
      </c>
      <c r="N173" s="11" t="str">
        <f>INDEX(cenník!$C$2:$I$568,MATCH($L173,cenník!$B$2:$B$557,0),MATCH(N$2,cenník!$C$1:$I$1,0))</f>
        <v>ks</v>
      </c>
      <c r="O173" s="11">
        <f>SUM(Y154:Y169)</f>
        <v>8</v>
      </c>
      <c r="P173" s="36">
        <f>INDEX(cenník!$C$2:$I$568,MATCH($L173,cenník!$B$2:$B$557,0),MATCH(P$2,cenník!$C$1:$I$1,0))</f>
        <v>61.15</v>
      </c>
      <c r="Q173" s="36">
        <f t="shared" si="385"/>
        <v>489.2</v>
      </c>
      <c r="R173" s="37">
        <f t="shared" si="360"/>
        <v>0</v>
      </c>
      <c r="S173" s="36">
        <f t="shared" si="361"/>
        <v>61.15</v>
      </c>
      <c r="T173" s="36">
        <f t="shared" si="386"/>
        <v>489.2</v>
      </c>
      <c r="U173" s="36">
        <f>INDEX(cenník!$C$2:$I$568,MATCH($L173,cenník!$B$2:$B$557,0),MATCH(U$2,cenník!$C$1:$I$1,0))*O173</f>
        <v>107.2</v>
      </c>
      <c r="V173" s="85"/>
      <c r="AC173" s="64"/>
      <c r="AD173" s="64"/>
      <c r="AE173" s="64"/>
      <c r="AF173" s="64"/>
      <c r="AG173" s="64" t="s">
        <v>103</v>
      </c>
      <c r="AH173" s="64">
        <v>4400</v>
      </c>
      <c r="AI173" s="64">
        <v>2</v>
      </c>
      <c r="AJ173" s="64">
        <f>AH173*AI173</f>
        <v>8800</v>
      </c>
      <c r="AK173" s="64">
        <v>127.4</v>
      </c>
      <c r="AL173" s="64">
        <f>AI173*AK173</f>
        <v>254.8</v>
      </c>
      <c r="AM173" s="64">
        <f>AI173*4</f>
        <v>8</v>
      </c>
      <c r="AN173" s="64"/>
      <c r="AO173" s="64"/>
      <c r="AP173" s="64"/>
      <c r="AQ173" s="64"/>
      <c r="AR173" s="64"/>
      <c r="AS173" s="64"/>
      <c r="AT173" s="64"/>
      <c r="AU173" s="64"/>
      <c r="AV173" s="64"/>
      <c r="AW173" s="64"/>
      <c r="AX173" s="64"/>
      <c r="AY173" s="64"/>
      <c r="AZ173" s="64"/>
      <c r="BA173" s="64"/>
      <c r="BB173" s="64"/>
      <c r="BC173" s="64"/>
      <c r="BD173" s="64"/>
      <c r="BE173" s="64"/>
      <c r="BF173" s="64"/>
      <c r="BG173" s="64"/>
      <c r="BH173" s="64" t="s">
        <v>104</v>
      </c>
      <c r="BI173" s="64">
        <f>BI9/5*4</f>
        <v>0</v>
      </c>
      <c r="BJ173" s="64">
        <f t="shared" ref="BJ173:BU173" si="392">BJ9/5*4</f>
        <v>0</v>
      </c>
      <c r="BK173" s="64">
        <f t="shared" si="392"/>
        <v>4</v>
      </c>
      <c r="BL173" s="64">
        <f t="shared" si="392"/>
        <v>4</v>
      </c>
      <c r="BM173" s="64">
        <v>4</v>
      </c>
      <c r="BN173" s="64">
        <f t="shared" si="392"/>
        <v>4</v>
      </c>
      <c r="BO173" s="64">
        <v>8</v>
      </c>
      <c r="BP173" s="64">
        <v>4</v>
      </c>
      <c r="BQ173" s="64">
        <v>8</v>
      </c>
      <c r="BR173" s="64">
        <f t="shared" si="392"/>
        <v>8</v>
      </c>
      <c r="BS173" s="64">
        <f t="shared" si="392"/>
        <v>4</v>
      </c>
      <c r="BT173" s="64">
        <f t="shared" si="392"/>
        <v>8</v>
      </c>
      <c r="BU173" s="64">
        <f t="shared" si="392"/>
        <v>8</v>
      </c>
      <c r="BV173" s="64"/>
      <c r="BW173" s="64" t="s">
        <v>104</v>
      </c>
      <c r="BX173" s="64">
        <v>0</v>
      </c>
      <c r="BY173" s="64">
        <f t="shared" ref="BY173:CI176" si="393">BY9/5*4</f>
        <v>0</v>
      </c>
      <c r="BZ173" s="64">
        <f t="shared" si="393"/>
        <v>4</v>
      </c>
      <c r="CA173" s="64">
        <f t="shared" si="393"/>
        <v>0</v>
      </c>
      <c r="CB173" s="64">
        <v>4</v>
      </c>
      <c r="CC173" s="64">
        <v>4</v>
      </c>
      <c r="CD173" s="64">
        <f t="shared" si="393"/>
        <v>8</v>
      </c>
      <c r="CE173" s="64">
        <v>8</v>
      </c>
      <c r="CF173" s="64">
        <v>8</v>
      </c>
      <c r="CG173" s="64">
        <f t="shared" si="393"/>
        <v>4</v>
      </c>
      <c r="CH173" s="64">
        <f t="shared" si="393"/>
        <v>8</v>
      </c>
      <c r="CI173" s="64">
        <f t="shared" si="393"/>
        <v>8</v>
      </c>
      <c r="CJ173" s="64">
        <v>8</v>
      </c>
      <c r="CK173" s="64"/>
      <c r="CL173" s="64"/>
      <c r="CM173" s="64"/>
      <c r="CN173" s="64" t="s">
        <v>104</v>
      </c>
      <c r="CO173" s="64">
        <f t="shared" ref="CO173:CY176" si="394">CO9/5*4</f>
        <v>0</v>
      </c>
      <c r="CP173" s="64">
        <f t="shared" si="394"/>
        <v>0</v>
      </c>
      <c r="CQ173" s="64">
        <f t="shared" si="394"/>
        <v>4</v>
      </c>
      <c r="CR173" s="64">
        <f t="shared" si="394"/>
        <v>0</v>
      </c>
      <c r="CS173" s="64">
        <f t="shared" si="394"/>
        <v>4</v>
      </c>
      <c r="CT173" s="64">
        <v>8</v>
      </c>
      <c r="CU173" s="64">
        <f t="shared" si="394"/>
        <v>4</v>
      </c>
      <c r="CV173" s="64">
        <f t="shared" si="394"/>
        <v>8</v>
      </c>
      <c r="CW173" s="64">
        <v>4</v>
      </c>
      <c r="CX173" s="64">
        <f t="shared" si="394"/>
        <v>8</v>
      </c>
      <c r="CY173" s="64">
        <f t="shared" si="394"/>
        <v>8</v>
      </c>
      <c r="CZ173" s="64">
        <v>8</v>
      </c>
      <c r="DA173" s="64">
        <v>16</v>
      </c>
      <c r="DB173" s="64"/>
      <c r="DC173" s="64" t="s">
        <v>104</v>
      </c>
      <c r="DD173" s="64">
        <v>0</v>
      </c>
      <c r="DE173" s="64">
        <f>DE9/5*4</f>
        <v>0</v>
      </c>
      <c r="DF173" s="64">
        <f t="shared" ref="DF173:DO173" si="395">DF9/5*4</f>
        <v>4</v>
      </c>
      <c r="DG173" s="64">
        <v>4</v>
      </c>
      <c r="DH173" s="64">
        <f t="shared" si="395"/>
        <v>4</v>
      </c>
      <c r="DI173" s="64">
        <f t="shared" si="395"/>
        <v>8</v>
      </c>
      <c r="DJ173" s="64">
        <v>8</v>
      </c>
      <c r="DK173" s="64">
        <f t="shared" si="395"/>
        <v>8</v>
      </c>
      <c r="DL173" s="64">
        <f t="shared" si="395"/>
        <v>12</v>
      </c>
      <c r="DM173" s="64">
        <f t="shared" si="395"/>
        <v>8</v>
      </c>
      <c r="DN173" s="64">
        <f t="shared" si="395"/>
        <v>12</v>
      </c>
      <c r="DO173" s="64">
        <f t="shared" si="395"/>
        <v>16</v>
      </c>
      <c r="DP173" s="64">
        <v>12</v>
      </c>
      <c r="DQ173" s="80"/>
      <c r="DR173" s="80">
        <v>27</v>
      </c>
      <c r="DS173" s="80"/>
      <c r="DT173" s="64" t="s">
        <v>104</v>
      </c>
      <c r="DU173" s="64">
        <v>0</v>
      </c>
      <c r="DV173" s="64">
        <f>DV9/5*4</f>
        <v>0</v>
      </c>
      <c r="DW173" s="64">
        <f t="shared" ref="DW173:EG173" si="396">DW9/5*4</f>
        <v>4</v>
      </c>
      <c r="DX173" s="64">
        <f t="shared" si="396"/>
        <v>0</v>
      </c>
      <c r="DY173" s="64">
        <f t="shared" si="396"/>
        <v>0</v>
      </c>
      <c r="DZ173" s="64">
        <f t="shared" si="396"/>
        <v>8</v>
      </c>
      <c r="EA173" s="64">
        <f t="shared" si="396"/>
        <v>8</v>
      </c>
      <c r="EB173" s="64">
        <f t="shared" si="396"/>
        <v>4</v>
      </c>
      <c r="EC173" s="64">
        <f t="shared" si="396"/>
        <v>8</v>
      </c>
      <c r="ED173" s="64">
        <f t="shared" si="396"/>
        <v>12</v>
      </c>
      <c r="EE173" s="64">
        <f t="shared" si="396"/>
        <v>8</v>
      </c>
      <c r="EF173" s="64">
        <f t="shared" si="396"/>
        <v>12</v>
      </c>
      <c r="EG173" s="64">
        <f t="shared" si="396"/>
        <v>16</v>
      </c>
      <c r="EH173" s="64"/>
      <c r="EI173" s="64"/>
      <c r="EJ173" s="64"/>
      <c r="EK173" s="64" t="s">
        <v>241</v>
      </c>
      <c r="EL173" s="64">
        <v>0</v>
      </c>
      <c r="EM173" s="64">
        <f t="shared" ref="EM173:EX173" si="397">EM11/5*4</f>
        <v>4</v>
      </c>
      <c r="EN173" s="64">
        <f t="shared" si="397"/>
        <v>0</v>
      </c>
      <c r="EO173" s="64">
        <f t="shared" si="397"/>
        <v>0</v>
      </c>
      <c r="EP173" s="64">
        <f t="shared" si="397"/>
        <v>0</v>
      </c>
      <c r="EQ173" s="64">
        <f t="shared" si="397"/>
        <v>12</v>
      </c>
      <c r="ER173" s="64">
        <f t="shared" si="397"/>
        <v>4</v>
      </c>
      <c r="ES173" s="64">
        <f t="shared" si="397"/>
        <v>16</v>
      </c>
      <c r="ET173" s="64">
        <f t="shared" si="397"/>
        <v>8</v>
      </c>
      <c r="EU173" s="64">
        <f t="shared" si="397"/>
        <v>20</v>
      </c>
      <c r="EV173" s="64">
        <f t="shared" si="397"/>
        <v>12</v>
      </c>
      <c r="EW173" s="64">
        <f t="shared" si="397"/>
        <v>20</v>
      </c>
      <c r="EX173" s="64">
        <f t="shared" si="397"/>
        <v>16</v>
      </c>
      <c r="EY173" s="64"/>
      <c r="EZ173" s="64" t="s">
        <v>241</v>
      </c>
      <c r="FA173" s="64">
        <v>0</v>
      </c>
      <c r="FB173" s="64">
        <f t="shared" ref="FB173:FM173" si="398">FB11/5*4</f>
        <v>4</v>
      </c>
      <c r="FC173" s="64">
        <f t="shared" si="398"/>
        <v>0</v>
      </c>
      <c r="FD173" s="64">
        <f t="shared" si="398"/>
        <v>4</v>
      </c>
      <c r="FE173" s="64">
        <f t="shared" si="398"/>
        <v>0</v>
      </c>
      <c r="FF173" s="64">
        <f t="shared" si="398"/>
        <v>4</v>
      </c>
      <c r="FG173" s="64">
        <f t="shared" si="398"/>
        <v>16</v>
      </c>
      <c r="FH173" s="64">
        <f t="shared" si="398"/>
        <v>8</v>
      </c>
      <c r="FI173" s="64">
        <f t="shared" si="398"/>
        <v>16</v>
      </c>
      <c r="FJ173" s="64">
        <f t="shared" si="398"/>
        <v>12</v>
      </c>
      <c r="FK173" s="64">
        <f t="shared" si="398"/>
        <v>20</v>
      </c>
      <c r="FL173" s="64">
        <f t="shared" si="398"/>
        <v>16</v>
      </c>
      <c r="FM173" s="64">
        <f t="shared" si="398"/>
        <v>24</v>
      </c>
      <c r="FN173" s="64"/>
      <c r="FO173" s="64" t="s">
        <v>241</v>
      </c>
      <c r="FP173" s="64">
        <v>0</v>
      </c>
      <c r="FQ173" s="64">
        <f t="shared" ref="FQ173:GB173" si="399">FQ11/5*4</f>
        <v>0</v>
      </c>
      <c r="FR173" s="64">
        <f t="shared" si="399"/>
        <v>0</v>
      </c>
      <c r="FS173" s="64">
        <f t="shared" si="399"/>
        <v>4</v>
      </c>
      <c r="FT173" s="64">
        <f t="shared" si="399"/>
        <v>12</v>
      </c>
      <c r="FU173" s="64">
        <f t="shared" si="399"/>
        <v>4</v>
      </c>
      <c r="FV173" s="64">
        <f t="shared" si="399"/>
        <v>8</v>
      </c>
      <c r="FW173" s="64">
        <f t="shared" si="399"/>
        <v>20</v>
      </c>
      <c r="FX173" s="64">
        <f t="shared" si="399"/>
        <v>16</v>
      </c>
      <c r="FY173" s="64">
        <f t="shared" si="399"/>
        <v>20</v>
      </c>
      <c r="FZ173" s="64">
        <f t="shared" si="399"/>
        <v>16</v>
      </c>
      <c r="GA173" s="64">
        <f t="shared" si="399"/>
        <v>24</v>
      </c>
      <c r="GB173" s="64">
        <f t="shared" si="399"/>
        <v>32</v>
      </c>
      <c r="GC173" s="64"/>
      <c r="GD173" s="64" t="s">
        <v>241</v>
      </c>
      <c r="GE173" s="64">
        <v>0</v>
      </c>
      <c r="GF173" s="64">
        <f t="shared" ref="GF173:GQ173" si="400">GF11/5*4</f>
        <v>0</v>
      </c>
      <c r="GG173" s="64">
        <f t="shared" si="400"/>
        <v>0</v>
      </c>
      <c r="GH173" s="64">
        <f t="shared" si="400"/>
        <v>0</v>
      </c>
      <c r="GI173" s="64">
        <f t="shared" si="400"/>
        <v>8</v>
      </c>
      <c r="GJ173" s="64">
        <f t="shared" si="400"/>
        <v>16</v>
      </c>
      <c r="GK173" s="64">
        <f t="shared" si="400"/>
        <v>8</v>
      </c>
      <c r="GL173" s="64">
        <f t="shared" si="400"/>
        <v>16</v>
      </c>
      <c r="GM173" s="64">
        <f t="shared" si="400"/>
        <v>24</v>
      </c>
      <c r="GN173" s="64">
        <f t="shared" si="400"/>
        <v>16</v>
      </c>
      <c r="GO173" s="64">
        <f t="shared" si="400"/>
        <v>24</v>
      </c>
      <c r="GP173" s="64">
        <f t="shared" si="400"/>
        <v>32</v>
      </c>
      <c r="GQ173" s="64">
        <f t="shared" si="400"/>
        <v>28</v>
      </c>
      <c r="GR173" s="64"/>
      <c r="GS173" s="64" t="s">
        <v>241</v>
      </c>
      <c r="GT173" s="64">
        <v>0</v>
      </c>
      <c r="GU173" s="64">
        <f t="shared" ref="GU173:HF173" si="401">GU11/5*4</f>
        <v>0</v>
      </c>
      <c r="GV173" s="64">
        <f t="shared" si="401"/>
        <v>0</v>
      </c>
      <c r="GW173" s="64">
        <f t="shared" si="401"/>
        <v>0</v>
      </c>
      <c r="GX173" s="64">
        <f t="shared" si="401"/>
        <v>4</v>
      </c>
      <c r="GY173" s="64">
        <f t="shared" si="401"/>
        <v>16</v>
      </c>
      <c r="GZ173" s="64">
        <f t="shared" si="401"/>
        <v>20</v>
      </c>
      <c r="HA173" s="64">
        <f t="shared" si="401"/>
        <v>12</v>
      </c>
      <c r="HB173" s="64">
        <f t="shared" si="401"/>
        <v>20</v>
      </c>
      <c r="HC173" s="64">
        <f t="shared" si="401"/>
        <v>24</v>
      </c>
      <c r="HD173" s="64">
        <f t="shared" si="401"/>
        <v>20</v>
      </c>
      <c r="HE173" s="64">
        <f t="shared" si="401"/>
        <v>28</v>
      </c>
      <c r="HF173" s="64">
        <f t="shared" si="401"/>
        <v>36</v>
      </c>
      <c r="HG173" s="64"/>
      <c r="HH173" s="64"/>
    </row>
    <row r="174" spans="1:216" x14ac:dyDescent="0.25">
      <c r="A174" s="8"/>
      <c r="B174" s="5" t="s">
        <v>61</v>
      </c>
      <c r="C174" s="8"/>
      <c r="D174" s="6" t="str">
        <f>IF(E165=$AC$8,"Dĺžka skrutky GSW","")</f>
        <v/>
      </c>
      <c r="E174" s="42">
        <v>2200</v>
      </c>
      <c r="F174" s="9"/>
      <c r="G174" s="9"/>
      <c r="H174" s="9"/>
      <c r="I174" s="9"/>
      <c r="J174" s="31" t="str">
        <f>IF(E165=$AC$8,"[mm]","")</f>
        <v/>
      </c>
      <c r="K174" s="9"/>
      <c r="L174" s="6" t="s">
        <v>241</v>
      </c>
      <c r="M174" s="11">
        <f>INDEX(cenník!$C$2:$I$568,MATCH($L174,cenník!$B$2:$B$557,0),MATCH(M$2,cenník!$C$1:$I$1,0))</f>
        <v>867633</v>
      </c>
      <c r="N174" s="11" t="str">
        <f>INDEX(cenník!$C$2:$I$568,MATCH($L174,cenník!$B$2:$B$557,0),MATCH(N$2,cenník!$C$1:$I$1,0))</f>
        <v>ks</v>
      </c>
      <c r="O174" s="11">
        <f>SUM(Z154:Z169)</f>
        <v>16</v>
      </c>
      <c r="P174" s="36">
        <f>INDEX(cenník!$C$2:$I$568,MATCH($L174,cenník!$B$2:$B$557,0),MATCH(P$2,cenník!$C$1:$I$1,0))</f>
        <v>45.86</v>
      </c>
      <c r="Q174" s="36">
        <f t="shared" si="385"/>
        <v>733.76</v>
      </c>
      <c r="R174" s="37">
        <f t="shared" si="360"/>
        <v>0</v>
      </c>
      <c r="S174" s="36">
        <f t="shared" si="361"/>
        <v>45.86</v>
      </c>
      <c r="T174" s="36">
        <f t="shared" si="386"/>
        <v>733.76</v>
      </c>
      <c r="U174" s="36">
        <f>INDEX(cenník!$C$2:$I$568,MATCH($L174,cenník!$B$2:$B$557,0),MATCH(U$2,cenník!$C$1:$I$1,0))*O174</f>
        <v>159.36000000000001</v>
      </c>
      <c r="V174" s="85"/>
      <c r="AC174" s="64"/>
      <c r="AD174" s="64"/>
      <c r="AE174" s="64"/>
      <c r="AF174" s="64"/>
      <c r="AG174" s="64" t="s">
        <v>16</v>
      </c>
      <c r="AH174" s="64">
        <v>3300</v>
      </c>
      <c r="AI174" s="64">
        <v>0</v>
      </c>
      <c r="AJ174" s="64">
        <f>AH174*AI174</f>
        <v>0</v>
      </c>
      <c r="AK174" s="64">
        <v>95.55</v>
      </c>
      <c r="AL174" s="64">
        <f>AI174*AK174</f>
        <v>0</v>
      </c>
      <c r="AM174" s="64">
        <f>AI174*4</f>
        <v>0</v>
      </c>
      <c r="AN174" s="64"/>
      <c r="AO174" s="64"/>
      <c r="AP174" s="64"/>
      <c r="AQ174" s="64"/>
      <c r="AR174" s="64"/>
      <c r="AS174" s="64"/>
      <c r="AT174" s="64"/>
      <c r="AU174" s="64"/>
      <c r="AV174" s="64"/>
      <c r="AW174" s="64"/>
      <c r="AX174" s="64"/>
      <c r="AY174" s="64"/>
      <c r="AZ174" s="64"/>
      <c r="BA174" s="64"/>
      <c r="BB174" s="64"/>
      <c r="BC174" s="64"/>
      <c r="BD174" s="64"/>
      <c r="BE174" s="64"/>
      <c r="BF174" s="64"/>
      <c r="BG174" s="64"/>
      <c r="BH174" s="64" t="s">
        <v>103</v>
      </c>
      <c r="BI174" s="64">
        <f t="shared" ref="BI174:BU176" si="402">BI10/5*4</f>
        <v>0</v>
      </c>
      <c r="BJ174" s="64">
        <f t="shared" si="402"/>
        <v>0</v>
      </c>
      <c r="BK174" s="64">
        <f t="shared" si="402"/>
        <v>0</v>
      </c>
      <c r="BL174" s="64">
        <f t="shared" si="402"/>
        <v>0</v>
      </c>
      <c r="BM174" s="64">
        <v>0</v>
      </c>
      <c r="BN174" s="64">
        <f t="shared" si="402"/>
        <v>0</v>
      </c>
      <c r="BO174" s="64">
        <v>0</v>
      </c>
      <c r="BP174" s="64">
        <v>4</v>
      </c>
      <c r="BQ174" s="64">
        <v>0</v>
      </c>
      <c r="BR174" s="64">
        <f t="shared" si="402"/>
        <v>0</v>
      </c>
      <c r="BS174" s="64">
        <f t="shared" si="402"/>
        <v>8</v>
      </c>
      <c r="BT174" s="64">
        <f t="shared" si="402"/>
        <v>4</v>
      </c>
      <c r="BU174" s="64">
        <f t="shared" si="402"/>
        <v>8</v>
      </c>
      <c r="BV174" s="64"/>
      <c r="BW174" s="64" t="s">
        <v>103</v>
      </c>
      <c r="BX174" s="64">
        <v>0</v>
      </c>
      <c r="BY174" s="64">
        <f t="shared" si="393"/>
        <v>0</v>
      </c>
      <c r="BZ174" s="64">
        <f t="shared" si="393"/>
        <v>0</v>
      </c>
      <c r="CA174" s="64">
        <f t="shared" si="393"/>
        <v>4</v>
      </c>
      <c r="CB174" s="64">
        <v>0</v>
      </c>
      <c r="CC174" s="64">
        <v>4</v>
      </c>
      <c r="CD174" s="64">
        <f t="shared" si="393"/>
        <v>0</v>
      </c>
      <c r="CE174" s="64">
        <v>0</v>
      </c>
      <c r="CF174" s="64">
        <v>0</v>
      </c>
      <c r="CG174" s="64">
        <f t="shared" si="393"/>
        <v>8</v>
      </c>
      <c r="CH174" s="64">
        <f t="shared" si="393"/>
        <v>4</v>
      </c>
      <c r="CI174" s="64">
        <f t="shared" si="393"/>
        <v>8</v>
      </c>
      <c r="CJ174" s="64">
        <v>8</v>
      </c>
      <c r="CK174" s="64"/>
      <c r="CL174" s="64"/>
      <c r="CM174" s="64"/>
      <c r="CN174" s="64" t="s">
        <v>103</v>
      </c>
      <c r="CO174" s="64">
        <f t="shared" si="394"/>
        <v>0</v>
      </c>
      <c r="CP174" s="64">
        <f t="shared" si="394"/>
        <v>4</v>
      </c>
      <c r="CQ174" s="64">
        <f t="shared" si="394"/>
        <v>0</v>
      </c>
      <c r="CR174" s="64">
        <f t="shared" si="394"/>
        <v>4</v>
      </c>
      <c r="CS174" s="64">
        <f t="shared" si="394"/>
        <v>0</v>
      </c>
      <c r="CT174" s="64">
        <v>0</v>
      </c>
      <c r="CU174" s="64">
        <f t="shared" si="394"/>
        <v>8</v>
      </c>
      <c r="CV174" s="64">
        <f t="shared" si="394"/>
        <v>0</v>
      </c>
      <c r="CW174" s="64">
        <v>8</v>
      </c>
      <c r="CX174" s="64">
        <f t="shared" si="394"/>
        <v>4</v>
      </c>
      <c r="CY174" s="64">
        <f t="shared" si="394"/>
        <v>8</v>
      </c>
      <c r="CZ174" s="64">
        <v>8</v>
      </c>
      <c r="DA174" s="64">
        <v>0</v>
      </c>
      <c r="DB174" s="64"/>
      <c r="DC174" s="64" t="s">
        <v>103</v>
      </c>
      <c r="DD174" s="64">
        <v>0</v>
      </c>
      <c r="DE174" s="64">
        <f t="shared" ref="DE174:DO176" si="403">DE10/5*4</f>
        <v>4</v>
      </c>
      <c r="DF174" s="64">
        <f t="shared" si="403"/>
        <v>0</v>
      </c>
      <c r="DG174" s="64">
        <v>0</v>
      </c>
      <c r="DH174" s="64">
        <f t="shared" si="403"/>
        <v>4</v>
      </c>
      <c r="DI174" s="64">
        <f t="shared" si="403"/>
        <v>0</v>
      </c>
      <c r="DJ174" s="64">
        <v>0</v>
      </c>
      <c r="DK174" s="64">
        <f t="shared" si="403"/>
        <v>4</v>
      </c>
      <c r="DL174" s="64">
        <f t="shared" si="403"/>
        <v>0</v>
      </c>
      <c r="DM174" s="64">
        <f t="shared" si="403"/>
        <v>8</v>
      </c>
      <c r="DN174" s="64">
        <f t="shared" si="403"/>
        <v>4</v>
      </c>
      <c r="DO174" s="64">
        <f t="shared" si="403"/>
        <v>0</v>
      </c>
      <c r="DP174" s="64">
        <v>8</v>
      </c>
      <c r="DQ174" s="80"/>
      <c r="DR174" s="80">
        <v>30</v>
      </c>
      <c r="DS174" s="80"/>
      <c r="DT174" s="64" t="s">
        <v>103</v>
      </c>
      <c r="DU174" s="64">
        <v>0</v>
      </c>
      <c r="DV174" s="64">
        <f t="shared" ref="DV174:EG176" si="404">DV10/5*4</f>
        <v>4</v>
      </c>
      <c r="DW174" s="64">
        <f t="shared" si="404"/>
        <v>0</v>
      </c>
      <c r="DX174" s="64">
        <f t="shared" si="404"/>
        <v>8</v>
      </c>
      <c r="DY174" s="64">
        <f t="shared" si="404"/>
        <v>8</v>
      </c>
      <c r="DZ174" s="64">
        <f t="shared" si="404"/>
        <v>0</v>
      </c>
      <c r="EA174" s="64">
        <f t="shared" si="404"/>
        <v>0</v>
      </c>
      <c r="EB174" s="64">
        <f t="shared" si="404"/>
        <v>8</v>
      </c>
      <c r="EC174" s="64">
        <f t="shared" si="404"/>
        <v>4</v>
      </c>
      <c r="ED174" s="64">
        <f t="shared" si="404"/>
        <v>4</v>
      </c>
      <c r="EE174" s="64">
        <f t="shared" si="404"/>
        <v>8</v>
      </c>
      <c r="EF174" s="64">
        <f t="shared" si="404"/>
        <v>4</v>
      </c>
      <c r="EG174" s="64">
        <f t="shared" si="404"/>
        <v>0</v>
      </c>
      <c r="EH174" s="64"/>
      <c r="EI174" s="64"/>
      <c r="EJ174" s="64"/>
      <c r="EK174" s="64" t="s">
        <v>242</v>
      </c>
      <c r="EL174" s="64">
        <v>0</v>
      </c>
      <c r="EM174" s="64">
        <f t="shared" ref="EM174:EX174" si="405">EM12/5*4</f>
        <v>0</v>
      </c>
      <c r="EN174" s="64">
        <f t="shared" si="405"/>
        <v>0</v>
      </c>
      <c r="EO174" s="64">
        <f t="shared" si="405"/>
        <v>0</v>
      </c>
      <c r="EP174" s="64">
        <f t="shared" si="405"/>
        <v>4</v>
      </c>
      <c r="EQ174" s="64">
        <f t="shared" si="405"/>
        <v>8</v>
      </c>
      <c r="ER174" s="64">
        <f t="shared" si="405"/>
        <v>8</v>
      </c>
      <c r="ES174" s="64">
        <f t="shared" si="405"/>
        <v>12</v>
      </c>
      <c r="ET174" s="64">
        <f t="shared" si="405"/>
        <v>12</v>
      </c>
      <c r="EU174" s="64">
        <f t="shared" si="405"/>
        <v>16</v>
      </c>
      <c r="EV174" s="64">
        <f t="shared" si="405"/>
        <v>16</v>
      </c>
      <c r="EW174" s="64">
        <f t="shared" si="405"/>
        <v>20</v>
      </c>
      <c r="EX174" s="64">
        <f t="shared" si="405"/>
        <v>20</v>
      </c>
      <c r="EY174" s="64"/>
      <c r="EZ174" s="64" t="s">
        <v>242</v>
      </c>
      <c r="FA174" s="64">
        <v>0</v>
      </c>
      <c r="FB174" s="64">
        <f t="shared" ref="FB174:FM174" si="406">FB12/5*4</f>
        <v>0</v>
      </c>
      <c r="FC174" s="64">
        <f t="shared" si="406"/>
        <v>0</v>
      </c>
      <c r="FD174" s="64">
        <f t="shared" si="406"/>
        <v>4</v>
      </c>
      <c r="FE174" s="64">
        <f t="shared" si="406"/>
        <v>4</v>
      </c>
      <c r="FF174" s="64">
        <f t="shared" si="406"/>
        <v>8</v>
      </c>
      <c r="FG174" s="64">
        <f t="shared" si="406"/>
        <v>12</v>
      </c>
      <c r="FH174" s="64">
        <f t="shared" si="406"/>
        <v>12</v>
      </c>
      <c r="FI174" s="64">
        <f t="shared" si="406"/>
        <v>16</v>
      </c>
      <c r="FJ174" s="64">
        <f t="shared" si="406"/>
        <v>16</v>
      </c>
      <c r="FK174" s="64">
        <f t="shared" si="406"/>
        <v>20</v>
      </c>
      <c r="FL174" s="64">
        <f t="shared" si="406"/>
        <v>20</v>
      </c>
      <c r="FM174" s="64">
        <f t="shared" si="406"/>
        <v>24</v>
      </c>
      <c r="FN174" s="64"/>
      <c r="FO174" s="64" t="s">
        <v>242</v>
      </c>
      <c r="FP174" s="64">
        <v>0</v>
      </c>
      <c r="FQ174" s="64">
        <f t="shared" ref="FQ174:GB174" si="407">FQ12/5*4</f>
        <v>0</v>
      </c>
      <c r="FR174" s="64">
        <f t="shared" si="407"/>
        <v>0</v>
      </c>
      <c r="FS174" s="64">
        <f t="shared" si="407"/>
        <v>4</v>
      </c>
      <c r="FT174" s="64">
        <f t="shared" si="407"/>
        <v>8</v>
      </c>
      <c r="FU174" s="64">
        <f t="shared" si="407"/>
        <v>8</v>
      </c>
      <c r="FV174" s="64">
        <f t="shared" si="407"/>
        <v>12</v>
      </c>
      <c r="FW174" s="64">
        <f t="shared" si="407"/>
        <v>16</v>
      </c>
      <c r="FX174" s="64">
        <f t="shared" si="407"/>
        <v>16</v>
      </c>
      <c r="FY174" s="64">
        <f t="shared" si="407"/>
        <v>20</v>
      </c>
      <c r="FZ174" s="64">
        <f t="shared" si="407"/>
        <v>20</v>
      </c>
      <c r="GA174" s="64">
        <f t="shared" si="407"/>
        <v>24</v>
      </c>
      <c r="GB174" s="64">
        <f t="shared" si="407"/>
        <v>28</v>
      </c>
      <c r="GC174" s="64"/>
      <c r="GD174" s="64" t="s">
        <v>242</v>
      </c>
      <c r="GE174" s="64">
        <v>0</v>
      </c>
      <c r="GF174" s="64">
        <f t="shared" ref="GF174:GQ174" si="408">GF12/5*4</f>
        <v>0</v>
      </c>
      <c r="GG174" s="64">
        <f t="shared" si="408"/>
        <v>0</v>
      </c>
      <c r="GH174" s="64">
        <f t="shared" si="408"/>
        <v>4</v>
      </c>
      <c r="GI174" s="64">
        <f t="shared" si="408"/>
        <v>8</v>
      </c>
      <c r="GJ174" s="64">
        <f t="shared" si="408"/>
        <v>12</v>
      </c>
      <c r="GK174" s="64">
        <f t="shared" si="408"/>
        <v>12</v>
      </c>
      <c r="GL174" s="64">
        <f t="shared" si="408"/>
        <v>16</v>
      </c>
      <c r="GM174" s="64">
        <f t="shared" si="408"/>
        <v>20</v>
      </c>
      <c r="GN174" s="64">
        <f t="shared" si="408"/>
        <v>20</v>
      </c>
      <c r="GO174" s="64">
        <f t="shared" si="408"/>
        <v>24</v>
      </c>
      <c r="GP174" s="64">
        <f t="shared" si="408"/>
        <v>28</v>
      </c>
      <c r="GQ174" s="64">
        <f t="shared" si="408"/>
        <v>28</v>
      </c>
      <c r="GR174" s="64"/>
      <c r="GS174" s="64" t="s">
        <v>242</v>
      </c>
      <c r="GT174" s="64">
        <v>0</v>
      </c>
      <c r="GU174" s="64">
        <f t="shared" ref="GU174:HF174" si="409">GU12/5*4</f>
        <v>0</v>
      </c>
      <c r="GV174" s="64">
        <f t="shared" si="409"/>
        <v>0</v>
      </c>
      <c r="GW174" s="64">
        <f t="shared" si="409"/>
        <v>4</v>
      </c>
      <c r="GX174" s="64">
        <f t="shared" si="409"/>
        <v>8</v>
      </c>
      <c r="GY174" s="64">
        <f t="shared" si="409"/>
        <v>12</v>
      </c>
      <c r="GZ174" s="64">
        <f t="shared" si="409"/>
        <v>16</v>
      </c>
      <c r="HA174" s="64">
        <f t="shared" si="409"/>
        <v>16</v>
      </c>
      <c r="HB174" s="64">
        <f t="shared" si="409"/>
        <v>20</v>
      </c>
      <c r="HC174" s="64">
        <f t="shared" si="409"/>
        <v>24</v>
      </c>
      <c r="HD174" s="64">
        <f t="shared" si="409"/>
        <v>24</v>
      </c>
      <c r="HE174" s="64">
        <f t="shared" si="409"/>
        <v>28</v>
      </c>
      <c r="HF174" s="64">
        <f t="shared" si="409"/>
        <v>32</v>
      </c>
      <c r="HG174" s="64"/>
      <c r="HH174" s="64"/>
    </row>
    <row r="175" spans="1:216" x14ac:dyDescent="0.25">
      <c r="A175" s="8"/>
      <c r="B175" s="5" t="s">
        <v>61</v>
      </c>
      <c r="C175" s="8"/>
      <c r="D175" s="44" t="s">
        <v>518</v>
      </c>
      <c r="F175" s="9"/>
      <c r="G175" s="9"/>
      <c r="H175" s="9"/>
      <c r="I175" s="9"/>
      <c r="J175" s="9"/>
      <c r="K175" s="9"/>
      <c r="L175" s="6" t="s">
        <v>364</v>
      </c>
      <c r="M175" s="11">
        <f>INDEX(cenník!$C$2:$I$568,MATCH($L175,cenník!$B$2:$B$557,0),MATCH(M$2,cenník!$C$1:$I$1,0))</f>
        <v>856105</v>
      </c>
      <c r="N175" s="11" t="str">
        <f>INDEX(cenník!$C$2:$I$568,MATCH($L175,cenník!$B$2:$B$557,0),MATCH(N$2,cenník!$C$1:$I$1,0))</f>
        <v>ks</v>
      </c>
      <c r="O175" s="11">
        <f>SUM(W154:W169)</f>
        <v>20</v>
      </c>
      <c r="P175" s="36">
        <f>INDEX(cenník!$C$2:$I$568,MATCH($L175,cenník!$B$2:$B$557,0),MATCH(P$2,cenník!$C$1:$I$1,0))</f>
        <v>7.54</v>
      </c>
      <c r="Q175" s="36">
        <f t="shared" si="385"/>
        <v>150.80000000000001</v>
      </c>
      <c r="R175" s="37">
        <f t="shared" si="360"/>
        <v>0</v>
      </c>
      <c r="S175" s="36">
        <f t="shared" si="361"/>
        <v>7.54</v>
      </c>
      <c r="T175" s="36">
        <f t="shared" si="386"/>
        <v>150.80000000000001</v>
      </c>
      <c r="U175" s="36">
        <f>INDEX(cenník!$C$2:$I$568,MATCH($L175,cenník!$B$2:$B$557,0),MATCH(U$2,cenník!$C$1:$I$1,0))*O175</f>
        <v>46</v>
      </c>
      <c r="V175" s="85"/>
      <c r="AC175" s="64"/>
      <c r="AD175" s="64"/>
      <c r="AE175" s="64"/>
      <c r="AF175" s="64"/>
      <c r="AG175" s="64"/>
      <c r="AH175" s="64" t="s">
        <v>125</v>
      </c>
      <c r="AI175" s="64">
        <f>IF(SUM(AI172:AI174)=0,0,IF(SUM(AI172:AI174)=1,0,IF(SUM(AI172:AI174)&gt;1,(SUM(AI172:AI174)-1),0)))</f>
        <v>4</v>
      </c>
      <c r="AJ175" s="64"/>
      <c r="AK175" s="64">
        <v>7.1</v>
      </c>
      <c r="AL175" s="64">
        <f>AI175*AK175</f>
        <v>28.4</v>
      </c>
      <c r="AM175" s="64">
        <f>AI175*4</f>
        <v>16</v>
      </c>
      <c r="AN175" s="64"/>
      <c r="AO175" s="64"/>
      <c r="AP175" s="64"/>
      <c r="AQ175" s="64"/>
      <c r="AR175" s="64"/>
      <c r="AS175" s="64"/>
      <c r="AT175" s="64"/>
      <c r="AU175" s="64"/>
      <c r="AV175" s="64"/>
      <c r="AW175" s="64"/>
      <c r="AX175" s="64"/>
      <c r="AY175" s="64"/>
      <c r="AZ175" s="64"/>
      <c r="BA175" s="64"/>
      <c r="BB175" s="64"/>
      <c r="BC175" s="64"/>
      <c r="BD175" s="64"/>
      <c r="BE175" s="64"/>
      <c r="BF175" s="64"/>
      <c r="BG175" s="64"/>
      <c r="BH175" s="64" t="s">
        <v>16</v>
      </c>
      <c r="BI175" s="64">
        <f t="shared" si="402"/>
        <v>0</v>
      </c>
      <c r="BJ175" s="64">
        <f t="shared" si="402"/>
        <v>4</v>
      </c>
      <c r="BK175" s="64">
        <f t="shared" si="402"/>
        <v>0</v>
      </c>
      <c r="BL175" s="64">
        <f t="shared" si="402"/>
        <v>0</v>
      </c>
      <c r="BM175" s="64">
        <v>4</v>
      </c>
      <c r="BN175" s="64">
        <f t="shared" si="402"/>
        <v>4</v>
      </c>
      <c r="BO175" s="64">
        <v>0</v>
      </c>
      <c r="BP175" s="64">
        <v>4</v>
      </c>
      <c r="BQ175" s="64">
        <v>4</v>
      </c>
      <c r="BR175" s="64">
        <f t="shared" si="402"/>
        <v>4</v>
      </c>
      <c r="BS175" s="64">
        <f t="shared" si="402"/>
        <v>4</v>
      </c>
      <c r="BT175" s="64">
        <f t="shared" si="402"/>
        <v>4</v>
      </c>
      <c r="BU175" s="64">
        <f t="shared" si="402"/>
        <v>0</v>
      </c>
      <c r="BV175" s="64"/>
      <c r="BW175" s="64" t="s">
        <v>16</v>
      </c>
      <c r="BX175" s="64">
        <v>0</v>
      </c>
      <c r="BY175" s="64">
        <f t="shared" si="393"/>
        <v>4</v>
      </c>
      <c r="BZ175" s="64">
        <f t="shared" si="393"/>
        <v>0</v>
      </c>
      <c r="CA175" s="64">
        <f t="shared" si="393"/>
        <v>4</v>
      </c>
      <c r="CB175" s="64">
        <v>4</v>
      </c>
      <c r="CC175" s="64">
        <v>0</v>
      </c>
      <c r="CD175" s="64">
        <f t="shared" si="393"/>
        <v>0</v>
      </c>
      <c r="CE175" s="64">
        <v>4</v>
      </c>
      <c r="CF175" s="64">
        <v>4</v>
      </c>
      <c r="CG175" s="64">
        <f t="shared" si="393"/>
        <v>4</v>
      </c>
      <c r="CH175" s="64">
        <f t="shared" si="393"/>
        <v>4</v>
      </c>
      <c r="CI175" s="64">
        <f t="shared" si="393"/>
        <v>0</v>
      </c>
      <c r="CJ175" s="64">
        <v>4</v>
      </c>
      <c r="CK175" s="64"/>
      <c r="CL175" s="64"/>
      <c r="CM175" s="64"/>
      <c r="CN175" s="64" t="s">
        <v>16</v>
      </c>
      <c r="CO175" s="64">
        <f t="shared" si="394"/>
        <v>0</v>
      </c>
      <c r="CP175" s="64">
        <f t="shared" si="394"/>
        <v>0</v>
      </c>
      <c r="CQ175" s="64">
        <f t="shared" si="394"/>
        <v>0</v>
      </c>
      <c r="CR175" s="64">
        <f t="shared" si="394"/>
        <v>4</v>
      </c>
      <c r="CS175" s="64">
        <f t="shared" si="394"/>
        <v>4</v>
      </c>
      <c r="CT175" s="64">
        <v>0</v>
      </c>
      <c r="CU175" s="64">
        <f t="shared" si="394"/>
        <v>0</v>
      </c>
      <c r="CV175" s="64">
        <f t="shared" si="394"/>
        <v>4</v>
      </c>
      <c r="CW175" s="64">
        <v>4</v>
      </c>
      <c r="CX175" s="64">
        <f t="shared" si="394"/>
        <v>4</v>
      </c>
      <c r="CY175" s="64">
        <f t="shared" si="394"/>
        <v>0</v>
      </c>
      <c r="CZ175" s="64">
        <v>4</v>
      </c>
      <c r="DA175" s="64">
        <v>0</v>
      </c>
      <c r="DB175" s="64"/>
      <c r="DC175" s="64" t="s">
        <v>16</v>
      </c>
      <c r="DD175" s="64">
        <v>0</v>
      </c>
      <c r="DE175" s="64">
        <f t="shared" si="403"/>
        <v>0</v>
      </c>
      <c r="DF175" s="64">
        <f t="shared" si="403"/>
        <v>0</v>
      </c>
      <c r="DG175" s="64">
        <v>4</v>
      </c>
      <c r="DH175" s="64">
        <f t="shared" si="403"/>
        <v>0</v>
      </c>
      <c r="DI175" s="64">
        <f t="shared" si="403"/>
        <v>0</v>
      </c>
      <c r="DJ175" s="64">
        <v>4</v>
      </c>
      <c r="DK175" s="64">
        <f t="shared" si="403"/>
        <v>0</v>
      </c>
      <c r="DL175" s="64">
        <f t="shared" si="403"/>
        <v>0</v>
      </c>
      <c r="DM175" s="64">
        <f t="shared" si="403"/>
        <v>0</v>
      </c>
      <c r="DN175" s="64">
        <f t="shared" si="403"/>
        <v>0</v>
      </c>
      <c r="DO175" s="64">
        <f t="shared" si="403"/>
        <v>0</v>
      </c>
      <c r="DP175" s="64">
        <v>0</v>
      </c>
      <c r="DQ175" s="80"/>
      <c r="DR175" s="80">
        <v>33</v>
      </c>
      <c r="DS175" s="80"/>
      <c r="DT175" s="64" t="s">
        <v>16</v>
      </c>
      <c r="DU175" s="64">
        <v>0</v>
      </c>
      <c r="DV175" s="64">
        <f t="shared" si="404"/>
        <v>0</v>
      </c>
      <c r="DW175" s="64">
        <f t="shared" si="404"/>
        <v>0</v>
      </c>
      <c r="DX175" s="64">
        <f t="shared" si="404"/>
        <v>0</v>
      </c>
      <c r="DY175" s="64">
        <f t="shared" si="404"/>
        <v>4</v>
      </c>
      <c r="DZ175" s="64">
        <f t="shared" si="404"/>
        <v>0</v>
      </c>
      <c r="EA175" s="64">
        <f t="shared" si="404"/>
        <v>4</v>
      </c>
      <c r="EB175" s="64">
        <f t="shared" si="404"/>
        <v>4</v>
      </c>
      <c r="EC175" s="64">
        <f t="shared" si="404"/>
        <v>4</v>
      </c>
      <c r="ED175" s="64">
        <f t="shared" si="404"/>
        <v>0</v>
      </c>
      <c r="EE175" s="64">
        <f t="shared" si="404"/>
        <v>4</v>
      </c>
      <c r="EF175" s="64">
        <f t="shared" si="404"/>
        <v>4</v>
      </c>
      <c r="EG175" s="64">
        <f t="shared" si="404"/>
        <v>4</v>
      </c>
      <c r="EH175" s="64"/>
      <c r="EI175" s="64"/>
      <c r="EJ175" s="64"/>
      <c r="EK175" s="64"/>
      <c r="EL175" s="64"/>
      <c r="EM175" s="64"/>
      <c r="EN175" s="64"/>
      <c r="EO175" s="64"/>
      <c r="EP175" s="64"/>
      <c r="EQ175" s="64"/>
      <c r="ER175" s="64"/>
      <c r="ES175" s="64"/>
      <c r="ET175" s="64"/>
      <c r="EU175" s="64"/>
      <c r="EV175" s="64"/>
      <c r="EW175" s="64"/>
      <c r="EX175" s="64"/>
      <c r="EY175" s="64"/>
      <c r="EZ175" s="64"/>
      <c r="FA175" s="64"/>
      <c r="FB175" s="64"/>
      <c r="FC175" s="64"/>
      <c r="FD175" s="64"/>
      <c r="FE175" s="64"/>
      <c r="FF175" s="64"/>
      <c r="FG175" s="64"/>
      <c r="FH175" s="64"/>
      <c r="FI175" s="64"/>
      <c r="FJ175" s="64"/>
      <c r="FK175" s="64"/>
      <c r="FL175" s="64"/>
      <c r="FM175" s="64"/>
      <c r="FN175" s="64"/>
      <c r="FO175" s="64"/>
      <c r="FP175" s="64"/>
      <c r="FQ175" s="64"/>
      <c r="FR175" s="64"/>
      <c r="FS175" s="64"/>
      <c r="FT175" s="64"/>
      <c r="FU175" s="64"/>
      <c r="FV175" s="64"/>
      <c r="FW175" s="64"/>
      <c r="FX175" s="64"/>
      <c r="FY175" s="64"/>
      <c r="FZ175" s="64"/>
      <c r="GA175" s="64"/>
      <c r="GB175" s="64"/>
      <c r="GC175" s="64"/>
      <c r="GD175" s="64"/>
      <c r="GE175" s="64"/>
      <c r="GF175" s="64"/>
      <c r="GG175" s="64"/>
      <c r="GH175" s="64"/>
      <c r="GI175" s="64"/>
      <c r="GJ175" s="64"/>
      <c r="GK175" s="64"/>
      <c r="GL175" s="64"/>
      <c r="GM175" s="64"/>
      <c r="GN175" s="64"/>
      <c r="GO175" s="64"/>
      <c r="GP175" s="64"/>
      <c r="GQ175" s="64"/>
      <c r="GR175" s="64"/>
      <c r="GS175" s="64"/>
      <c r="GT175" s="64"/>
      <c r="GU175" s="64"/>
      <c r="GV175" s="64"/>
      <c r="GW175" s="64"/>
      <c r="GX175" s="64"/>
      <c r="GY175" s="64"/>
      <c r="GZ175" s="64"/>
      <c r="HA175" s="64"/>
      <c r="HB175" s="64"/>
      <c r="HC175" s="64"/>
      <c r="HD175" s="64"/>
      <c r="HE175" s="64"/>
      <c r="HF175" s="64"/>
      <c r="HG175" s="64"/>
      <c r="HH175" s="64"/>
    </row>
    <row r="176" spans="1:216" x14ac:dyDescent="0.25">
      <c r="A176" s="8"/>
      <c r="B176" s="5" t="s">
        <v>61</v>
      </c>
      <c r="C176" s="8"/>
      <c r="D176" s="44" t="s">
        <v>519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>
        <f>INDEX(cenník!$C$2:$I$568,MATCH($L176,cenník!$B$2:$B$557,0),MATCH(M$2,cenník!$C$1:$I$1,0))</f>
        <v>827335</v>
      </c>
      <c r="N176" s="11" t="str">
        <f>INDEX(cenník!$C$2:$I$568,MATCH($L176,cenník!$B$2:$B$557,0),MATCH(N$2,cenník!$C$1:$I$1,0))</f>
        <v>ks</v>
      </c>
      <c r="O176" s="11">
        <f>SUM((C162*8),(C163*8),(C164*8),(C165*8),(C166*8),(C167*8),(C168*8),(C169*8),(C170*8),(C171*8),(C172*8),(C173*8),(C174*8),(C175*8),(C176*8),(C177*8))</f>
        <v>8</v>
      </c>
      <c r="P176" s="36">
        <f>INDEX(cenník!$C$2:$I$568,MATCH($L176,cenník!$B$2:$B$557,0),MATCH(P$2,cenník!$C$1:$I$1,0))</f>
        <v>1.1399999999999999</v>
      </c>
      <c r="Q176" s="36">
        <f t="shared" si="385"/>
        <v>9.1199999999999992</v>
      </c>
      <c r="R176" s="37">
        <f t="shared" si="360"/>
        <v>0</v>
      </c>
      <c r="S176" s="36">
        <f t="shared" si="361"/>
        <v>1.1399999999999999</v>
      </c>
      <c r="T176" s="36">
        <f t="shared" si="386"/>
        <v>9.1199999999999992</v>
      </c>
      <c r="U176" s="36">
        <f>INDEX(cenník!$C$2:$I$568,MATCH($L176,cenník!$B$2:$B$557,0),MATCH(U$2,cenník!$C$1:$I$1,0))*O176</f>
        <v>0.16</v>
      </c>
      <c r="V176" s="85"/>
      <c r="AC176" s="64"/>
      <c r="AD176" s="64"/>
      <c r="AE176" s="64"/>
      <c r="AF176" s="64"/>
      <c r="AG176" s="64"/>
      <c r="AH176" s="64"/>
      <c r="AI176" s="64"/>
      <c r="AJ176" s="64">
        <f>SUM(AJ172:AJ174)</f>
        <v>28600</v>
      </c>
      <c r="AK176" s="64"/>
      <c r="AL176" s="64">
        <f>SUM(AL172:AL175)</f>
        <v>856.49999999999989</v>
      </c>
      <c r="AM176" s="64"/>
      <c r="AN176" s="64"/>
      <c r="AO176" s="64"/>
      <c r="AP176" s="64"/>
      <c r="AQ176" s="64"/>
      <c r="AR176" s="82" t="s">
        <v>572</v>
      </c>
      <c r="AS176" s="85"/>
      <c r="AT176" s="85"/>
      <c r="AU176" s="85"/>
      <c r="AV176" s="64"/>
      <c r="AX176" s="86"/>
      <c r="AY176" s="64"/>
      <c r="AZ176" s="64"/>
      <c r="BA176" s="64"/>
      <c r="BG176" s="64"/>
      <c r="BH176" s="72" t="s">
        <v>17</v>
      </c>
      <c r="BI176" s="64">
        <f t="shared" si="402"/>
        <v>0</v>
      </c>
      <c r="BJ176" s="64">
        <f t="shared" si="402"/>
        <v>0</v>
      </c>
      <c r="BK176" s="64">
        <f t="shared" si="402"/>
        <v>0</v>
      </c>
      <c r="BL176" s="64">
        <f t="shared" si="402"/>
        <v>0</v>
      </c>
      <c r="BM176" s="64">
        <v>4</v>
      </c>
      <c r="BN176" s="64">
        <f t="shared" si="402"/>
        <v>4</v>
      </c>
      <c r="BO176" s="64">
        <v>4</v>
      </c>
      <c r="BP176" s="64">
        <v>8</v>
      </c>
      <c r="BQ176" s="64">
        <v>8</v>
      </c>
      <c r="BR176" s="64">
        <f t="shared" si="402"/>
        <v>8</v>
      </c>
      <c r="BS176" s="64">
        <f t="shared" si="402"/>
        <v>12</v>
      </c>
      <c r="BT176" s="64">
        <f t="shared" si="402"/>
        <v>12</v>
      </c>
      <c r="BU176" s="64">
        <f t="shared" si="402"/>
        <v>12</v>
      </c>
      <c r="BV176" s="64"/>
      <c r="BW176" s="64" t="s">
        <v>17</v>
      </c>
      <c r="BX176" s="64">
        <v>0</v>
      </c>
      <c r="BY176" s="64">
        <f t="shared" si="393"/>
        <v>0</v>
      </c>
      <c r="BZ176" s="64">
        <f t="shared" si="393"/>
        <v>0</v>
      </c>
      <c r="CA176" s="64">
        <f t="shared" si="393"/>
        <v>4</v>
      </c>
      <c r="CB176" s="64">
        <v>4</v>
      </c>
      <c r="CC176" s="64">
        <v>4</v>
      </c>
      <c r="CD176" s="64">
        <f t="shared" si="393"/>
        <v>4</v>
      </c>
      <c r="CE176" s="64">
        <v>8</v>
      </c>
      <c r="CF176" s="64">
        <v>8</v>
      </c>
      <c r="CG176" s="64">
        <f t="shared" si="393"/>
        <v>12</v>
      </c>
      <c r="CH176" s="64">
        <f t="shared" si="393"/>
        <v>12</v>
      </c>
      <c r="CI176" s="64">
        <f t="shared" si="393"/>
        <v>12</v>
      </c>
      <c r="CJ176" s="64">
        <v>16</v>
      </c>
      <c r="CK176" s="64"/>
      <c r="CL176" s="64"/>
      <c r="CM176" s="64"/>
      <c r="CN176" s="72" t="s">
        <v>17</v>
      </c>
      <c r="CO176" s="64">
        <f t="shared" si="394"/>
        <v>0</v>
      </c>
      <c r="CP176" s="64">
        <f t="shared" si="394"/>
        <v>0</v>
      </c>
      <c r="CQ176" s="64">
        <f t="shared" si="394"/>
        <v>0</v>
      </c>
      <c r="CR176" s="64">
        <f t="shared" si="394"/>
        <v>4</v>
      </c>
      <c r="CS176" s="64">
        <f t="shared" si="394"/>
        <v>4</v>
      </c>
      <c r="CT176" s="64">
        <v>4</v>
      </c>
      <c r="CU176" s="64">
        <f t="shared" si="394"/>
        <v>8</v>
      </c>
      <c r="CV176" s="64">
        <f t="shared" si="394"/>
        <v>8</v>
      </c>
      <c r="CW176" s="64">
        <v>12</v>
      </c>
      <c r="CX176" s="64">
        <f t="shared" si="394"/>
        <v>12</v>
      </c>
      <c r="CY176" s="64">
        <f t="shared" si="394"/>
        <v>12</v>
      </c>
      <c r="CZ176" s="64">
        <v>16</v>
      </c>
      <c r="DA176" s="64">
        <v>12</v>
      </c>
      <c r="DB176" s="64"/>
      <c r="DC176" s="64" t="s">
        <v>17</v>
      </c>
      <c r="DD176" s="64">
        <v>0</v>
      </c>
      <c r="DE176" s="64">
        <f t="shared" si="403"/>
        <v>0</v>
      </c>
      <c r="DF176" s="64">
        <f t="shared" si="403"/>
        <v>0</v>
      </c>
      <c r="DG176" s="64">
        <v>4</v>
      </c>
      <c r="DH176" s="64">
        <f t="shared" si="403"/>
        <v>4</v>
      </c>
      <c r="DI176" s="64">
        <f t="shared" si="403"/>
        <v>4</v>
      </c>
      <c r="DJ176" s="64">
        <v>8</v>
      </c>
      <c r="DK176" s="64">
        <f t="shared" si="403"/>
        <v>8</v>
      </c>
      <c r="DL176" s="64">
        <f t="shared" si="403"/>
        <v>8</v>
      </c>
      <c r="DM176" s="64">
        <f t="shared" si="403"/>
        <v>12</v>
      </c>
      <c r="DN176" s="64">
        <f t="shared" si="403"/>
        <v>12</v>
      </c>
      <c r="DO176" s="64">
        <f t="shared" si="403"/>
        <v>12</v>
      </c>
      <c r="DP176" s="64">
        <v>16</v>
      </c>
      <c r="DQ176" s="80"/>
      <c r="DR176" s="80">
        <v>36</v>
      </c>
      <c r="DS176" s="80"/>
      <c r="DT176" s="72" t="s">
        <v>17</v>
      </c>
      <c r="DU176" s="72">
        <v>0</v>
      </c>
      <c r="DV176" s="64">
        <f t="shared" si="404"/>
        <v>0</v>
      </c>
      <c r="DW176" s="64">
        <f t="shared" si="404"/>
        <v>0</v>
      </c>
      <c r="DX176" s="64">
        <f t="shared" si="404"/>
        <v>4</v>
      </c>
      <c r="DY176" s="64">
        <f t="shared" si="404"/>
        <v>8</v>
      </c>
      <c r="DZ176" s="64">
        <f t="shared" si="404"/>
        <v>4</v>
      </c>
      <c r="EA176" s="64">
        <f t="shared" si="404"/>
        <v>8</v>
      </c>
      <c r="EB176" s="64">
        <f t="shared" si="404"/>
        <v>12</v>
      </c>
      <c r="EC176" s="64">
        <f t="shared" si="404"/>
        <v>12</v>
      </c>
      <c r="ED176" s="64">
        <f t="shared" si="404"/>
        <v>12</v>
      </c>
      <c r="EE176" s="64">
        <f t="shared" si="404"/>
        <v>16</v>
      </c>
      <c r="EF176" s="64">
        <f t="shared" si="404"/>
        <v>16</v>
      </c>
      <c r="EG176" s="64">
        <f t="shared" si="404"/>
        <v>16</v>
      </c>
      <c r="EH176" s="64"/>
      <c r="EI176" s="64"/>
      <c r="EJ176" s="64"/>
      <c r="EK176" s="64" t="s">
        <v>67</v>
      </c>
      <c r="EL176" s="64">
        <v>0</v>
      </c>
      <c r="EM176" s="64">
        <v>6</v>
      </c>
      <c r="EN176" s="64">
        <v>9</v>
      </c>
      <c r="EO176" s="64">
        <v>12</v>
      </c>
      <c r="EP176" s="64">
        <v>15</v>
      </c>
      <c r="EQ176" s="64">
        <v>18</v>
      </c>
      <c r="ER176" s="64">
        <v>21</v>
      </c>
      <c r="ES176" s="64">
        <v>24</v>
      </c>
      <c r="ET176" s="64">
        <v>27</v>
      </c>
      <c r="EU176" s="64">
        <v>30</v>
      </c>
      <c r="EV176" s="64">
        <v>33</v>
      </c>
      <c r="EW176" s="64">
        <v>36</v>
      </c>
      <c r="EX176" s="64">
        <v>39</v>
      </c>
      <c r="EY176" s="64"/>
      <c r="EZ176" s="64" t="s">
        <v>196</v>
      </c>
      <c r="FA176" s="64">
        <v>0</v>
      </c>
      <c r="FB176" s="64">
        <v>6</v>
      </c>
      <c r="FC176" s="64">
        <v>9</v>
      </c>
      <c r="FD176" s="64">
        <v>12</v>
      </c>
      <c r="FE176" s="64">
        <v>15</v>
      </c>
      <c r="FF176" s="64">
        <v>18</v>
      </c>
      <c r="FG176" s="64">
        <v>21</v>
      </c>
      <c r="FH176" s="64">
        <v>24</v>
      </c>
      <c r="FI176" s="64">
        <v>27</v>
      </c>
      <c r="FJ176" s="64">
        <v>30</v>
      </c>
      <c r="FK176" s="64">
        <v>33</v>
      </c>
      <c r="FL176" s="64">
        <v>36</v>
      </c>
      <c r="FM176" s="64">
        <v>39</v>
      </c>
      <c r="FN176" s="64"/>
      <c r="FO176" s="64" t="s">
        <v>71</v>
      </c>
      <c r="FP176" s="64">
        <v>0</v>
      </c>
      <c r="FQ176" s="64">
        <v>6</v>
      </c>
      <c r="FR176" s="64">
        <v>9</v>
      </c>
      <c r="FS176" s="64">
        <v>12</v>
      </c>
      <c r="FT176" s="64">
        <v>15</v>
      </c>
      <c r="FU176" s="64">
        <v>18</v>
      </c>
      <c r="FV176" s="64">
        <v>21</v>
      </c>
      <c r="FW176" s="64">
        <v>24</v>
      </c>
      <c r="FX176" s="64">
        <v>27</v>
      </c>
      <c r="FY176" s="64">
        <v>30</v>
      </c>
      <c r="FZ176" s="64">
        <v>33</v>
      </c>
      <c r="GA176" s="64">
        <v>36</v>
      </c>
      <c r="GB176" s="64">
        <v>39</v>
      </c>
      <c r="GC176" s="64"/>
      <c r="GD176" s="64" t="s">
        <v>204</v>
      </c>
      <c r="GE176" s="64">
        <v>0</v>
      </c>
      <c r="GF176" s="64">
        <v>6</v>
      </c>
      <c r="GG176" s="64">
        <v>9</v>
      </c>
      <c r="GH176" s="64">
        <v>12</v>
      </c>
      <c r="GI176" s="64">
        <v>15</v>
      </c>
      <c r="GJ176" s="64">
        <v>18</v>
      </c>
      <c r="GK176" s="64">
        <v>21</v>
      </c>
      <c r="GL176" s="64">
        <v>24</v>
      </c>
      <c r="GM176" s="64">
        <v>27</v>
      </c>
      <c r="GN176" s="64">
        <v>30</v>
      </c>
      <c r="GO176" s="64">
        <v>33</v>
      </c>
      <c r="GP176" s="64">
        <v>36</v>
      </c>
      <c r="GQ176" s="64">
        <v>39</v>
      </c>
      <c r="GR176" s="64"/>
      <c r="GS176" s="64"/>
      <c r="GT176" s="64"/>
      <c r="GU176" s="64"/>
      <c r="GV176" s="64"/>
      <c r="GW176" s="64"/>
      <c r="GX176" s="64"/>
      <c r="GY176" s="64"/>
      <c r="GZ176" s="64"/>
      <c r="HA176" s="64"/>
      <c r="HB176" s="64"/>
      <c r="HC176" s="64"/>
      <c r="HD176" s="64"/>
      <c r="HE176" s="64"/>
      <c r="HF176" s="64"/>
      <c r="HG176" s="64"/>
      <c r="HH176" s="64"/>
    </row>
    <row r="177" spans="1:254" x14ac:dyDescent="0.25">
      <c r="A177" s="8"/>
      <c r="B177" s="5" t="s">
        <v>61</v>
      </c>
      <c r="C177" s="8"/>
      <c r="D177" s="44" t="s">
        <v>520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>
        <f>INDEX(cenník!$C$2:$I$568,MATCH($L177,cenník!$B$2:$B$557,0),MATCH(M$2,cenník!$C$1:$I$1,0))</f>
        <v>897302</v>
      </c>
      <c r="N177" s="11" t="str">
        <f>INDEX(cenník!$C$2:$I$568,MATCH($L177,cenník!$B$2:$B$557,0),MATCH(N$2,cenník!$C$1:$I$1,0))</f>
        <v>ks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72</v>
      </c>
      <c r="P177" s="36">
        <f>INDEX(cenník!$C$2:$I$568,MATCH($L177,cenník!$B$2:$B$557,0),MATCH(P$2,cenník!$C$1:$I$1,0))</f>
        <v>1.2</v>
      </c>
      <c r="Q177" s="36">
        <f t="shared" si="385"/>
        <v>86.399999999999991</v>
      </c>
      <c r="R177" s="37">
        <f t="shared" si="360"/>
        <v>0</v>
      </c>
      <c r="S177" s="36">
        <f t="shared" si="361"/>
        <v>1.2</v>
      </c>
      <c r="T177" s="36">
        <f t="shared" si="386"/>
        <v>86.399999999999991</v>
      </c>
      <c r="U177" s="36">
        <f>INDEX(cenník!$C$2:$I$568,MATCH($L177,cenník!$B$2:$B$557,0),MATCH(U$2,cenník!$C$1:$I$1,0))*O177</f>
        <v>1.44</v>
      </c>
      <c r="V177" s="85"/>
      <c r="AC177" s="64"/>
      <c r="AD177" s="64"/>
      <c r="AE177" s="64"/>
      <c r="AF177" s="64"/>
      <c r="AG177" s="64"/>
      <c r="AH177" s="64">
        <f>(AB180-1)*3100</f>
        <v>-3100</v>
      </c>
      <c r="AI177" s="64"/>
      <c r="AJ177" s="64"/>
      <c r="AK177" s="64"/>
      <c r="AL177" s="64"/>
      <c r="AM177" s="64"/>
      <c r="AN177" s="64"/>
      <c r="AO177" s="64"/>
      <c r="AP177" s="64"/>
      <c r="AQ177" s="64"/>
      <c r="AR177" s="85">
        <v>25</v>
      </c>
      <c r="AS177" s="64" t="s">
        <v>515</v>
      </c>
      <c r="AT177" s="64" t="s">
        <v>516</v>
      </c>
      <c r="AU177" s="64" t="s">
        <v>483</v>
      </c>
      <c r="AV177" s="64" t="s">
        <v>517</v>
      </c>
      <c r="AX177" s="86"/>
      <c r="AY177" s="82"/>
      <c r="AZ177" s="82"/>
      <c r="BA177" s="64"/>
      <c r="BG177" s="64"/>
      <c r="BH177" s="64"/>
      <c r="BI177" s="64"/>
      <c r="BJ177" s="64"/>
      <c r="BK177" s="64"/>
      <c r="BL177" s="64"/>
      <c r="BM177" s="64"/>
      <c r="BN177" s="64"/>
      <c r="BO177" s="64"/>
      <c r="BP177" s="64"/>
      <c r="BQ177" s="64"/>
      <c r="BR177" s="64"/>
      <c r="BS177" s="64"/>
      <c r="BT177" s="64"/>
      <c r="BU177" s="64"/>
      <c r="BV177" s="64"/>
      <c r="BW177" s="64"/>
      <c r="BX177" s="64"/>
      <c r="BY177" s="64"/>
      <c r="BZ177" s="64"/>
      <c r="CA177" s="64"/>
      <c r="CB177" s="64"/>
      <c r="CC177" s="64"/>
      <c r="CD177" s="64"/>
      <c r="CE177" s="64"/>
      <c r="CF177" s="64"/>
      <c r="CG177" s="64"/>
      <c r="CH177" s="64"/>
      <c r="CI177" s="64"/>
      <c r="CJ177" s="64"/>
      <c r="CK177" s="64"/>
      <c r="CL177" s="64"/>
      <c r="CM177" s="64"/>
      <c r="CN177" s="64"/>
      <c r="CO177" s="64"/>
      <c r="CP177" s="64"/>
      <c r="CQ177" s="64"/>
      <c r="CR177" s="64"/>
      <c r="CS177" s="64"/>
      <c r="CT177" s="64"/>
      <c r="CU177" s="64"/>
      <c r="CV177" s="64"/>
      <c r="CW177" s="64"/>
      <c r="CX177" s="64"/>
      <c r="CY177" s="64"/>
      <c r="CZ177" s="64"/>
      <c r="DA177" s="64"/>
      <c r="DB177" s="64"/>
      <c r="DC177" s="64"/>
      <c r="DD177" s="64"/>
      <c r="DE177" s="64"/>
      <c r="DF177" s="64"/>
      <c r="DG177" s="64"/>
      <c r="DH177" s="64"/>
      <c r="DI177" s="64"/>
      <c r="DJ177" s="64"/>
      <c r="DK177" s="64"/>
      <c r="DL177" s="64"/>
      <c r="DM177" s="64"/>
      <c r="DN177" s="64"/>
      <c r="DO177" s="64"/>
      <c r="DP177" s="64"/>
      <c r="DQ177" s="80"/>
      <c r="DR177" s="80">
        <v>39</v>
      </c>
      <c r="DS177" s="80"/>
      <c r="DT177" s="64"/>
      <c r="DU177" s="64"/>
      <c r="DV177" s="64"/>
      <c r="DW177" s="64"/>
      <c r="DX177" s="64"/>
      <c r="DY177" s="64"/>
      <c r="DZ177" s="64"/>
      <c r="EA177" s="64"/>
      <c r="EB177" s="64"/>
      <c r="EC177" s="64"/>
      <c r="ED177" s="64"/>
      <c r="EE177" s="64"/>
      <c r="EF177" s="64"/>
      <c r="EG177" s="64"/>
      <c r="EH177" s="64"/>
      <c r="EI177" s="64"/>
      <c r="EJ177" s="64"/>
      <c r="EK177" s="64" t="s">
        <v>240</v>
      </c>
      <c r="EL177" s="64">
        <v>0</v>
      </c>
      <c r="EM177" s="64">
        <f t="shared" ref="EM177:EX177" si="410">EM16/5*4</f>
        <v>0</v>
      </c>
      <c r="EN177" s="64">
        <f t="shared" si="410"/>
        <v>0</v>
      </c>
      <c r="EO177" s="64">
        <f t="shared" si="410"/>
        <v>0</v>
      </c>
      <c r="EP177" s="64">
        <f t="shared" si="410"/>
        <v>8</v>
      </c>
      <c r="EQ177" s="64">
        <f t="shared" si="410"/>
        <v>0</v>
      </c>
      <c r="ER177" s="64">
        <f t="shared" si="410"/>
        <v>8</v>
      </c>
      <c r="ES177" s="64">
        <f t="shared" si="410"/>
        <v>8</v>
      </c>
      <c r="ET177" s="64">
        <f t="shared" si="410"/>
        <v>8</v>
      </c>
      <c r="EU177" s="64">
        <f t="shared" si="410"/>
        <v>4</v>
      </c>
      <c r="EV177" s="64">
        <f t="shared" si="410"/>
        <v>0</v>
      </c>
      <c r="EW177" s="64">
        <f t="shared" si="410"/>
        <v>4</v>
      </c>
      <c r="EX177" s="64">
        <f t="shared" si="410"/>
        <v>4</v>
      </c>
      <c r="EY177" s="64"/>
      <c r="EZ177" s="64" t="s">
        <v>240</v>
      </c>
      <c r="FA177" s="64">
        <v>0</v>
      </c>
      <c r="FB177" s="64">
        <f t="shared" ref="FB177:FM177" si="411">FB16/5*4</f>
        <v>0</v>
      </c>
      <c r="FC177" s="64">
        <f t="shared" si="411"/>
        <v>0</v>
      </c>
      <c r="FD177" s="64">
        <f t="shared" si="411"/>
        <v>4</v>
      </c>
      <c r="FE177" s="64">
        <f t="shared" si="411"/>
        <v>0</v>
      </c>
      <c r="FF177" s="64">
        <f t="shared" si="411"/>
        <v>8</v>
      </c>
      <c r="FG177" s="64">
        <f t="shared" si="411"/>
        <v>0</v>
      </c>
      <c r="FH177" s="64">
        <f t="shared" si="411"/>
        <v>8</v>
      </c>
      <c r="FI177" s="64">
        <f t="shared" si="411"/>
        <v>4</v>
      </c>
      <c r="FJ177" s="64">
        <f t="shared" si="411"/>
        <v>8</v>
      </c>
      <c r="FK177" s="64">
        <f t="shared" si="411"/>
        <v>4</v>
      </c>
      <c r="FL177" s="64">
        <f t="shared" si="411"/>
        <v>4</v>
      </c>
      <c r="FM177" s="64">
        <f t="shared" si="411"/>
        <v>8</v>
      </c>
      <c r="FN177" s="64"/>
      <c r="FO177" s="64" t="s">
        <v>240</v>
      </c>
      <c r="FP177" s="64">
        <v>0</v>
      </c>
      <c r="FQ177" s="64">
        <f t="shared" ref="FQ177:GB177" si="412">FQ16/5*4</f>
        <v>4</v>
      </c>
      <c r="FR177" s="64">
        <f t="shared" si="412"/>
        <v>0</v>
      </c>
      <c r="FS177" s="64">
        <f t="shared" si="412"/>
        <v>8</v>
      </c>
      <c r="FT177" s="64">
        <f t="shared" si="412"/>
        <v>0</v>
      </c>
      <c r="FU177" s="64">
        <f t="shared" si="412"/>
        <v>8</v>
      </c>
      <c r="FV177" s="64">
        <f t="shared" si="412"/>
        <v>8</v>
      </c>
      <c r="FW177" s="64">
        <f t="shared" si="412"/>
        <v>0</v>
      </c>
      <c r="FX177" s="64">
        <f t="shared" si="412"/>
        <v>8</v>
      </c>
      <c r="FY177" s="64">
        <f t="shared" si="412"/>
        <v>4</v>
      </c>
      <c r="FZ177" s="64">
        <f t="shared" si="412"/>
        <v>0</v>
      </c>
      <c r="GA177" s="64">
        <f t="shared" si="412"/>
        <v>4</v>
      </c>
      <c r="GB177" s="64">
        <f t="shared" si="412"/>
        <v>0</v>
      </c>
      <c r="GC177" s="64"/>
      <c r="GD177" s="64" t="s">
        <v>240</v>
      </c>
      <c r="GE177" s="64">
        <v>0</v>
      </c>
      <c r="GF177" s="64">
        <f t="shared" ref="GF177:GQ177" si="413">GF16/5*4</f>
        <v>4</v>
      </c>
      <c r="GG177" s="64">
        <f t="shared" si="413"/>
        <v>0</v>
      </c>
      <c r="GH177" s="64">
        <f t="shared" si="413"/>
        <v>8</v>
      </c>
      <c r="GI177" s="64">
        <f t="shared" si="413"/>
        <v>8</v>
      </c>
      <c r="GJ177" s="64">
        <f t="shared" si="413"/>
        <v>0</v>
      </c>
      <c r="GK177" s="64">
        <f t="shared" si="413"/>
        <v>8</v>
      </c>
      <c r="GL177" s="64">
        <f t="shared" si="413"/>
        <v>4</v>
      </c>
      <c r="GM177" s="64">
        <f t="shared" si="413"/>
        <v>4</v>
      </c>
      <c r="GN177" s="64">
        <f t="shared" si="413"/>
        <v>8</v>
      </c>
      <c r="GO177" s="64">
        <f t="shared" si="413"/>
        <v>4</v>
      </c>
      <c r="GP177" s="64">
        <f t="shared" si="413"/>
        <v>0</v>
      </c>
      <c r="GQ177" s="64">
        <f t="shared" si="413"/>
        <v>0</v>
      </c>
      <c r="GR177" s="64"/>
      <c r="GS177" s="64"/>
      <c r="GT177" s="64"/>
      <c r="GU177" s="64"/>
      <c r="GV177" s="64"/>
      <c r="GW177" s="64"/>
      <c r="GX177" s="64"/>
      <c r="GY177" s="64"/>
      <c r="GZ177" s="64"/>
      <c r="HA177" s="64"/>
      <c r="HB177" s="64"/>
      <c r="HC177" s="64"/>
      <c r="HD177" s="64"/>
      <c r="HE177" s="64"/>
      <c r="HF177" s="64"/>
      <c r="HG177" s="64"/>
      <c r="HH177" s="64"/>
    </row>
    <row r="178" spans="1:254" x14ac:dyDescent="0.25">
      <c r="A178" s="9"/>
      <c r="B178" s="6"/>
      <c r="C178" s="9"/>
      <c r="D178" s="44" t="s">
        <v>521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>
        <f>INDEX(cenník!$C$2:$I$568,MATCH($L178,cenník!$B$2:$B$557,0),MATCH(M$2,cenník!$C$1:$I$1,0))</f>
        <v>898530</v>
      </c>
      <c r="N178" s="11" t="str">
        <f>INDEX(cenník!$C$2:$I$568,MATCH($L178,cenník!$B$2:$B$557,0),MATCH(N$2,cenník!$C$1:$I$1,0))</f>
        <v>ks</v>
      </c>
      <c r="O178" s="11">
        <f>SUM(O176:O177)</f>
        <v>80</v>
      </c>
      <c r="P178" s="36">
        <f>INDEX(cenník!$C$2:$I$568,MATCH($L178,cenník!$B$2:$B$557,0),MATCH(P$2,cenník!$C$1:$I$1,0))</f>
        <v>0.18</v>
      </c>
      <c r="Q178" s="36">
        <f t="shared" si="385"/>
        <v>14.399999999999999</v>
      </c>
      <c r="R178" s="37">
        <f t="shared" si="360"/>
        <v>0</v>
      </c>
      <c r="S178" s="36">
        <f t="shared" si="361"/>
        <v>0.18</v>
      </c>
      <c r="T178" s="36">
        <f t="shared" si="386"/>
        <v>14.399999999999999</v>
      </c>
      <c r="U178" s="36">
        <f>INDEX(cenník!$C$2:$I$568,MATCH($L178,cenník!$B$2:$B$557,0),MATCH(U$2,cenník!$C$1:$I$1,0))*O178</f>
        <v>4</v>
      </c>
      <c r="V178" s="85"/>
      <c r="AC178" s="64"/>
      <c r="AD178" s="64"/>
      <c r="AE178" s="64"/>
      <c r="AF178" s="64"/>
      <c r="AG178" s="64"/>
      <c r="AH178" s="64"/>
      <c r="AI178" s="64"/>
      <c r="AJ178" s="64"/>
      <c r="AK178" s="64"/>
      <c r="AL178" s="64"/>
      <c r="AM178" s="64"/>
      <c r="AN178" s="64"/>
      <c r="AO178" s="64"/>
      <c r="AP178" s="64"/>
      <c r="AQ178" s="64"/>
      <c r="AR178" s="85" t="s">
        <v>59</v>
      </c>
      <c r="AS178" s="85" t="s">
        <v>295</v>
      </c>
      <c r="AT178" s="85" t="s">
        <v>294</v>
      </c>
      <c r="AU178" s="85" t="s">
        <v>292</v>
      </c>
      <c r="AV178" s="64" t="s">
        <v>292</v>
      </c>
      <c r="AX178" s="86"/>
      <c r="AY178" s="86"/>
      <c r="AZ178" s="86"/>
      <c r="BA178" s="64"/>
      <c r="BG178" s="64"/>
      <c r="BH178" s="64" t="s">
        <v>67</v>
      </c>
      <c r="BI178" s="64">
        <v>0</v>
      </c>
      <c r="BJ178" s="64">
        <v>6</v>
      </c>
      <c r="BK178" s="64">
        <v>9</v>
      </c>
      <c r="BL178" s="64">
        <v>12</v>
      </c>
      <c r="BM178" s="64">
        <v>15</v>
      </c>
      <c r="BN178" s="64">
        <v>18</v>
      </c>
      <c r="BO178" s="64">
        <v>21</v>
      </c>
      <c r="BP178" s="64">
        <v>24</v>
      </c>
      <c r="BQ178" s="64">
        <v>27</v>
      </c>
      <c r="BR178" s="64">
        <v>30</v>
      </c>
      <c r="BS178" s="64">
        <v>33</v>
      </c>
      <c r="BT178" s="64">
        <v>36</v>
      </c>
      <c r="BU178" s="64">
        <v>39</v>
      </c>
      <c r="BV178" s="64"/>
      <c r="BW178" s="64" t="s">
        <v>196</v>
      </c>
      <c r="BX178" s="64">
        <v>0</v>
      </c>
      <c r="BY178" s="64">
        <v>6</v>
      </c>
      <c r="BZ178" s="64">
        <v>9</v>
      </c>
      <c r="CA178" s="64">
        <v>12</v>
      </c>
      <c r="CB178" s="64">
        <v>15</v>
      </c>
      <c r="CC178" s="64">
        <v>18</v>
      </c>
      <c r="CD178" s="64">
        <v>21</v>
      </c>
      <c r="CE178" s="64">
        <v>24</v>
      </c>
      <c r="CF178" s="64">
        <v>27</v>
      </c>
      <c r="CG178" s="64">
        <v>30</v>
      </c>
      <c r="CH178" s="64">
        <v>33</v>
      </c>
      <c r="CI178" s="64">
        <v>36</v>
      </c>
      <c r="CJ178" s="64">
        <v>39</v>
      </c>
      <c r="CK178" s="64"/>
      <c r="CL178" s="64"/>
      <c r="CM178" s="64"/>
      <c r="CN178" s="64" t="s">
        <v>71</v>
      </c>
      <c r="CO178" s="64">
        <v>0</v>
      </c>
      <c r="CP178" s="64">
        <v>6</v>
      </c>
      <c r="CQ178" s="64">
        <v>9</v>
      </c>
      <c r="CR178" s="64">
        <v>12</v>
      </c>
      <c r="CS178" s="64">
        <v>15</v>
      </c>
      <c r="CT178" s="64">
        <v>18</v>
      </c>
      <c r="CU178" s="64">
        <v>21</v>
      </c>
      <c r="CV178" s="64">
        <v>24</v>
      </c>
      <c r="CW178" s="64">
        <v>27</v>
      </c>
      <c r="CX178" s="64">
        <v>30</v>
      </c>
      <c r="CY178" s="64">
        <v>33</v>
      </c>
      <c r="CZ178" s="64">
        <v>36</v>
      </c>
      <c r="DA178" s="64">
        <v>39</v>
      </c>
      <c r="DB178" s="64"/>
      <c r="DC178" s="64" t="s">
        <v>204</v>
      </c>
      <c r="DD178" s="64">
        <v>0</v>
      </c>
      <c r="DE178" s="64">
        <v>6</v>
      </c>
      <c r="DF178" s="64">
        <v>9</v>
      </c>
      <c r="DG178" s="64">
        <v>12</v>
      </c>
      <c r="DH178" s="64">
        <v>15</v>
      </c>
      <c r="DI178" s="64">
        <v>18</v>
      </c>
      <c r="DJ178" s="64">
        <v>21</v>
      </c>
      <c r="DK178" s="64">
        <v>24</v>
      </c>
      <c r="DL178" s="64">
        <v>27</v>
      </c>
      <c r="DM178" s="64">
        <v>30</v>
      </c>
      <c r="DN178" s="64">
        <v>33</v>
      </c>
      <c r="DO178" s="64">
        <v>36</v>
      </c>
      <c r="DP178" s="64">
        <v>39</v>
      </c>
      <c r="DQ178" s="80"/>
      <c r="DR178" s="80"/>
      <c r="DS178" s="80"/>
      <c r="DT178" s="64"/>
      <c r="DU178" s="64"/>
      <c r="DV178" s="64"/>
      <c r="DW178" s="64"/>
      <c r="DX178" s="64"/>
      <c r="DY178" s="64"/>
      <c r="DZ178" s="64"/>
      <c r="EA178" s="64"/>
      <c r="EB178" s="64"/>
      <c r="EC178" s="64"/>
      <c r="ED178" s="64"/>
      <c r="EE178" s="64"/>
      <c r="EF178" s="64"/>
      <c r="EG178" s="64"/>
      <c r="EH178" s="64"/>
      <c r="EI178" s="64"/>
      <c r="EJ178" s="64"/>
      <c r="EK178" s="64" t="s">
        <v>241</v>
      </c>
      <c r="EL178" s="64">
        <v>0</v>
      </c>
      <c r="EM178" s="64">
        <f t="shared" ref="EM178:EX178" si="414">EM17/5*4</f>
        <v>4</v>
      </c>
      <c r="EN178" s="64">
        <f t="shared" si="414"/>
        <v>0</v>
      </c>
      <c r="EO178" s="64">
        <f t="shared" si="414"/>
        <v>0</v>
      </c>
      <c r="EP178" s="64">
        <f t="shared" si="414"/>
        <v>0</v>
      </c>
      <c r="EQ178" s="64">
        <f t="shared" si="414"/>
        <v>12</v>
      </c>
      <c r="ER178" s="64">
        <f t="shared" si="414"/>
        <v>4</v>
      </c>
      <c r="ES178" s="64">
        <f t="shared" si="414"/>
        <v>8</v>
      </c>
      <c r="ET178" s="64">
        <f t="shared" si="414"/>
        <v>8</v>
      </c>
      <c r="EU178" s="64">
        <f t="shared" si="414"/>
        <v>16</v>
      </c>
      <c r="EV178" s="64">
        <f t="shared" si="414"/>
        <v>24</v>
      </c>
      <c r="EW178" s="64">
        <f t="shared" si="414"/>
        <v>20</v>
      </c>
      <c r="EX178" s="64">
        <f t="shared" si="414"/>
        <v>24</v>
      </c>
      <c r="EY178" s="64"/>
      <c r="EZ178" s="64" t="s">
        <v>241</v>
      </c>
      <c r="FA178" s="64">
        <v>0</v>
      </c>
      <c r="FB178" s="64">
        <f t="shared" ref="FB178:FM178" si="415">FB17/5*4</f>
        <v>4</v>
      </c>
      <c r="FC178" s="64">
        <f t="shared" si="415"/>
        <v>0</v>
      </c>
      <c r="FD178" s="64">
        <f t="shared" si="415"/>
        <v>4</v>
      </c>
      <c r="FE178" s="64">
        <f t="shared" si="415"/>
        <v>12</v>
      </c>
      <c r="FF178" s="64">
        <f t="shared" si="415"/>
        <v>4</v>
      </c>
      <c r="FG178" s="64">
        <f t="shared" si="415"/>
        <v>16</v>
      </c>
      <c r="FH178" s="64">
        <f t="shared" si="415"/>
        <v>8</v>
      </c>
      <c r="FI178" s="64">
        <f t="shared" si="415"/>
        <v>16</v>
      </c>
      <c r="FJ178" s="64">
        <f t="shared" si="415"/>
        <v>12</v>
      </c>
      <c r="FK178" s="64">
        <f t="shared" si="415"/>
        <v>20</v>
      </c>
      <c r="FL178" s="64">
        <f t="shared" si="415"/>
        <v>24</v>
      </c>
      <c r="FM178" s="64">
        <f t="shared" si="415"/>
        <v>20</v>
      </c>
      <c r="FN178" s="64"/>
      <c r="FO178" s="64" t="s">
        <v>241</v>
      </c>
      <c r="FP178" s="64">
        <v>0</v>
      </c>
      <c r="FQ178" s="64">
        <f t="shared" ref="FQ178:GB178" si="416">FQ17/5*4</f>
        <v>0</v>
      </c>
      <c r="FR178" s="64">
        <f t="shared" si="416"/>
        <v>0</v>
      </c>
      <c r="FS178" s="64">
        <f t="shared" si="416"/>
        <v>0</v>
      </c>
      <c r="FT178" s="64">
        <f t="shared" si="416"/>
        <v>12</v>
      </c>
      <c r="FU178" s="64">
        <f t="shared" si="416"/>
        <v>4</v>
      </c>
      <c r="FV178" s="64">
        <f t="shared" si="416"/>
        <v>8</v>
      </c>
      <c r="FW178" s="64">
        <f t="shared" si="416"/>
        <v>20</v>
      </c>
      <c r="FX178" s="64">
        <f t="shared" si="416"/>
        <v>12</v>
      </c>
      <c r="FY178" s="64">
        <f t="shared" si="416"/>
        <v>20</v>
      </c>
      <c r="FZ178" s="64">
        <f t="shared" si="416"/>
        <v>28</v>
      </c>
      <c r="GA178" s="64">
        <f t="shared" si="416"/>
        <v>24</v>
      </c>
      <c r="GB178" s="64">
        <f t="shared" si="416"/>
        <v>32</v>
      </c>
      <c r="GC178" s="64"/>
      <c r="GD178" s="64" t="s">
        <v>241</v>
      </c>
      <c r="GE178" s="64">
        <v>0</v>
      </c>
      <c r="GF178" s="64">
        <f t="shared" ref="GF178:GQ178" si="417">GF17/5*4</f>
        <v>0</v>
      </c>
      <c r="GG178" s="64">
        <f t="shared" si="417"/>
        <v>0</v>
      </c>
      <c r="GH178" s="64">
        <f t="shared" si="417"/>
        <v>0</v>
      </c>
      <c r="GI178" s="64">
        <f t="shared" si="417"/>
        <v>4</v>
      </c>
      <c r="GJ178" s="64">
        <f t="shared" si="417"/>
        <v>16</v>
      </c>
      <c r="GK178" s="64">
        <f t="shared" si="417"/>
        <v>8</v>
      </c>
      <c r="GL178" s="64">
        <f t="shared" si="417"/>
        <v>16</v>
      </c>
      <c r="GM178" s="64">
        <f t="shared" si="417"/>
        <v>20</v>
      </c>
      <c r="GN178" s="64">
        <f t="shared" si="417"/>
        <v>16</v>
      </c>
      <c r="GO178" s="64">
        <f t="shared" si="417"/>
        <v>24</v>
      </c>
      <c r="GP178" s="64">
        <f t="shared" si="417"/>
        <v>32</v>
      </c>
      <c r="GQ178" s="64">
        <f t="shared" si="417"/>
        <v>36</v>
      </c>
      <c r="GR178" s="64"/>
      <c r="GS178" s="64"/>
      <c r="GT178" s="64"/>
      <c r="GU178" s="64"/>
      <c r="GV178" s="64"/>
      <c r="GW178" s="64"/>
      <c r="GX178" s="64"/>
      <c r="GY178" s="64"/>
      <c r="GZ178" s="64"/>
      <c r="HA178" s="64"/>
      <c r="HB178" s="64"/>
      <c r="HC178" s="64"/>
      <c r="HD178" s="64"/>
      <c r="HE178" s="64"/>
      <c r="HF178" s="64"/>
      <c r="HG178" s="64"/>
      <c r="HH178" s="64"/>
    </row>
    <row r="179" spans="1:254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244</v>
      </c>
      <c r="M179" s="11">
        <f>INDEX(cenník!$C$2:$I$568,MATCH($L179,cenník!$B$2:$B$557,0),MATCH(M$2,cenník!$C$1:$I$1,0))</f>
        <v>166794</v>
      </c>
      <c r="N179" s="11" t="str">
        <f>INDEX(cenník!$C$2:$I$568,MATCH($L179,cenník!$B$2:$B$557,0),MATCH(N$2,cenník!$C$1:$I$1,0))</f>
        <v>100ks</v>
      </c>
      <c r="O179" s="11">
        <f>ROUNDUP(O178/100,0)</f>
        <v>1</v>
      </c>
      <c r="P179" s="36">
        <f>INDEX(cenník!$C$2:$I$568,MATCH($L179,cenník!$B$2:$B$557,0),MATCH(P$2,cenník!$C$1:$I$1,0))</f>
        <v>1.38</v>
      </c>
      <c r="Q179" s="36">
        <f t="shared" si="385"/>
        <v>1.38</v>
      </c>
      <c r="R179" s="37">
        <f t="shared" si="360"/>
        <v>0</v>
      </c>
      <c r="S179" s="36">
        <f t="shared" si="361"/>
        <v>1.38</v>
      </c>
      <c r="T179" s="36">
        <f t="shared" si="386"/>
        <v>1.38</v>
      </c>
      <c r="U179" s="36">
        <f>INDEX(cenník!$C$2:$I$568,MATCH($L179,cenník!$B$2:$B$557,0),MATCH(U$2,cenník!$C$1:$I$1,0))*O179</f>
        <v>0</v>
      </c>
      <c r="V179" s="85"/>
      <c r="W179" s="82"/>
      <c r="X179" s="82"/>
      <c r="Y179" s="82"/>
      <c r="Z179" s="82"/>
      <c r="AA179" s="83" t="s">
        <v>124</v>
      </c>
      <c r="AB179" s="84" t="s">
        <v>126</v>
      </c>
      <c r="AC179" s="64"/>
      <c r="AD179" s="64"/>
      <c r="AE179" s="64"/>
      <c r="AF179" s="64"/>
      <c r="AG179" s="64"/>
      <c r="AH179" s="64"/>
      <c r="AI179" s="64"/>
      <c r="AJ179" s="64"/>
      <c r="AK179" s="64"/>
      <c r="AL179" s="64"/>
      <c r="AM179" s="64"/>
      <c r="AN179" s="64"/>
      <c r="AO179" s="64"/>
      <c r="AP179" s="64"/>
      <c r="AQ179" s="64"/>
      <c r="AR179" s="85" t="s">
        <v>60</v>
      </c>
      <c r="AS179" s="85" t="s">
        <v>295</v>
      </c>
      <c r="AT179" s="85" t="s">
        <v>294</v>
      </c>
      <c r="AU179" s="85" t="s">
        <v>292</v>
      </c>
      <c r="AV179" s="64" t="s">
        <v>293</v>
      </c>
      <c r="AX179" s="86"/>
      <c r="AY179" s="86"/>
      <c r="AZ179" s="86"/>
      <c r="BA179" s="64"/>
      <c r="BG179" s="64"/>
      <c r="BH179" s="64" t="s">
        <v>104</v>
      </c>
      <c r="BI179" s="64">
        <f>BI15/5*4</f>
        <v>0</v>
      </c>
      <c r="BJ179" s="64">
        <f t="shared" ref="BJ179:BS179" si="418">BJ15/5*4</f>
        <v>0</v>
      </c>
      <c r="BK179" s="64">
        <f t="shared" si="418"/>
        <v>4</v>
      </c>
      <c r="BL179" s="64">
        <f t="shared" si="418"/>
        <v>4</v>
      </c>
      <c r="BM179" s="64">
        <f t="shared" si="418"/>
        <v>0</v>
      </c>
      <c r="BN179" s="64">
        <f t="shared" si="418"/>
        <v>4</v>
      </c>
      <c r="BO179" s="64">
        <v>8</v>
      </c>
      <c r="BP179" s="64">
        <v>4</v>
      </c>
      <c r="BQ179" s="64">
        <v>8</v>
      </c>
      <c r="BR179" s="64">
        <f t="shared" si="418"/>
        <v>8</v>
      </c>
      <c r="BS179" s="64">
        <f t="shared" si="418"/>
        <v>12</v>
      </c>
      <c r="BT179" s="64">
        <v>8</v>
      </c>
      <c r="BU179" s="64">
        <v>12</v>
      </c>
      <c r="BV179" s="64"/>
      <c r="BW179" s="64" t="s">
        <v>104</v>
      </c>
      <c r="BX179" s="64">
        <v>0</v>
      </c>
      <c r="BY179" s="64">
        <f t="shared" ref="BY179:CJ182" si="419">BY15/5*4</f>
        <v>0</v>
      </c>
      <c r="BZ179" s="64">
        <f t="shared" si="419"/>
        <v>4</v>
      </c>
      <c r="CA179" s="64">
        <f t="shared" si="419"/>
        <v>0</v>
      </c>
      <c r="CB179" s="64">
        <f t="shared" si="419"/>
        <v>4</v>
      </c>
      <c r="CC179" s="64">
        <v>4</v>
      </c>
      <c r="CD179" s="64">
        <f t="shared" si="419"/>
        <v>8</v>
      </c>
      <c r="CE179" s="64">
        <v>8</v>
      </c>
      <c r="CF179" s="64">
        <f t="shared" si="419"/>
        <v>8</v>
      </c>
      <c r="CG179" s="64">
        <f t="shared" si="419"/>
        <v>4</v>
      </c>
      <c r="CH179" s="64">
        <v>8</v>
      </c>
      <c r="CI179" s="64">
        <v>12</v>
      </c>
      <c r="CJ179" s="64">
        <f t="shared" si="419"/>
        <v>8</v>
      </c>
      <c r="CK179" s="64"/>
      <c r="CL179" s="64"/>
      <c r="CM179" s="64"/>
      <c r="CN179" s="64" t="s">
        <v>104</v>
      </c>
      <c r="CO179" s="64">
        <f t="shared" ref="CO179:DA182" si="420">CO15/5*4</f>
        <v>0</v>
      </c>
      <c r="CP179" s="64">
        <f t="shared" si="420"/>
        <v>0</v>
      </c>
      <c r="CQ179" s="64">
        <f t="shared" si="420"/>
        <v>4</v>
      </c>
      <c r="CR179" s="64">
        <f t="shared" si="420"/>
        <v>0</v>
      </c>
      <c r="CS179" s="64">
        <f t="shared" si="420"/>
        <v>4</v>
      </c>
      <c r="CT179" s="64">
        <v>8</v>
      </c>
      <c r="CU179" s="64">
        <f t="shared" si="420"/>
        <v>4</v>
      </c>
      <c r="CV179" s="64">
        <f t="shared" si="420"/>
        <v>8</v>
      </c>
      <c r="CW179" s="64">
        <f t="shared" si="420"/>
        <v>4</v>
      </c>
      <c r="CX179" s="64">
        <f t="shared" si="420"/>
        <v>8</v>
      </c>
      <c r="CY179" s="64">
        <f t="shared" si="420"/>
        <v>12</v>
      </c>
      <c r="CZ179" s="64">
        <v>8</v>
      </c>
      <c r="DA179" s="64">
        <f t="shared" si="420"/>
        <v>16</v>
      </c>
      <c r="DB179" s="64"/>
      <c r="DC179" s="64" t="s">
        <v>104</v>
      </c>
      <c r="DD179" s="64">
        <v>0</v>
      </c>
      <c r="DE179" s="64">
        <f>DE15/5*4</f>
        <v>0</v>
      </c>
      <c r="DF179" s="64">
        <f t="shared" ref="DF179:DP179" si="421">DF15/5*4</f>
        <v>4</v>
      </c>
      <c r="DG179" s="64">
        <v>4</v>
      </c>
      <c r="DH179" s="64">
        <f t="shared" si="421"/>
        <v>0</v>
      </c>
      <c r="DI179" s="64">
        <f t="shared" si="421"/>
        <v>8</v>
      </c>
      <c r="DJ179" s="64">
        <v>8</v>
      </c>
      <c r="DK179" s="64">
        <f t="shared" si="421"/>
        <v>8</v>
      </c>
      <c r="DL179" s="64">
        <f t="shared" si="421"/>
        <v>8</v>
      </c>
      <c r="DM179" s="64">
        <f t="shared" si="421"/>
        <v>8</v>
      </c>
      <c r="DN179" s="64">
        <v>8</v>
      </c>
      <c r="DO179" s="64">
        <f t="shared" si="421"/>
        <v>16</v>
      </c>
      <c r="DP179" s="64">
        <f t="shared" si="421"/>
        <v>16</v>
      </c>
      <c r="DQ179" s="80"/>
      <c r="DR179" s="80"/>
      <c r="DS179" s="80"/>
      <c r="DT179" s="64"/>
      <c r="DU179" s="64"/>
      <c r="DV179" s="64"/>
      <c r="DW179" s="64"/>
      <c r="DX179" s="64"/>
      <c r="DY179" s="64"/>
      <c r="DZ179" s="64"/>
      <c r="EA179" s="64"/>
      <c r="EB179" s="64"/>
      <c r="EC179" s="64"/>
      <c r="ED179" s="64"/>
      <c r="EE179" s="64"/>
      <c r="EF179" s="64"/>
      <c r="EG179" s="64"/>
      <c r="EH179" s="64"/>
      <c r="EI179" s="64"/>
      <c r="EJ179" s="64"/>
      <c r="EK179" s="64" t="s">
        <v>242</v>
      </c>
      <c r="EL179" s="64">
        <v>0</v>
      </c>
      <c r="EM179" s="64">
        <f t="shared" ref="EM179:EX179" si="422">EM18/5*4</f>
        <v>0</v>
      </c>
      <c r="EN179" s="64">
        <f t="shared" si="422"/>
        <v>0</v>
      </c>
      <c r="EO179" s="64">
        <f t="shared" si="422"/>
        <v>0</v>
      </c>
      <c r="EP179" s="64">
        <f t="shared" si="422"/>
        <v>4</v>
      </c>
      <c r="EQ179" s="64">
        <f t="shared" si="422"/>
        <v>8</v>
      </c>
      <c r="ER179" s="64">
        <f t="shared" si="422"/>
        <v>8</v>
      </c>
      <c r="ES179" s="64">
        <f t="shared" si="422"/>
        <v>12</v>
      </c>
      <c r="ET179" s="64">
        <f t="shared" si="422"/>
        <v>12</v>
      </c>
      <c r="EU179" s="64">
        <f t="shared" si="422"/>
        <v>16</v>
      </c>
      <c r="EV179" s="64">
        <f t="shared" si="422"/>
        <v>20</v>
      </c>
      <c r="EW179" s="64">
        <f t="shared" si="422"/>
        <v>20</v>
      </c>
      <c r="EX179" s="64">
        <f t="shared" si="422"/>
        <v>24</v>
      </c>
      <c r="EY179" s="64"/>
      <c r="EZ179" s="64" t="s">
        <v>242</v>
      </c>
      <c r="FA179" s="64">
        <v>0</v>
      </c>
      <c r="FB179" s="64">
        <f t="shared" ref="FB179:FM179" si="423">FB18/5*4</f>
        <v>0</v>
      </c>
      <c r="FC179" s="64">
        <f t="shared" si="423"/>
        <v>0</v>
      </c>
      <c r="FD179" s="64">
        <f t="shared" si="423"/>
        <v>4</v>
      </c>
      <c r="FE179" s="64">
        <f t="shared" si="423"/>
        <v>8</v>
      </c>
      <c r="FF179" s="64">
        <f t="shared" si="423"/>
        <v>8</v>
      </c>
      <c r="FG179" s="64">
        <f t="shared" si="423"/>
        <v>12</v>
      </c>
      <c r="FH179" s="64">
        <f t="shared" si="423"/>
        <v>12</v>
      </c>
      <c r="FI179" s="64">
        <f t="shared" si="423"/>
        <v>16</v>
      </c>
      <c r="FJ179" s="64">
        <f t="shared" si="423"/>
        <v>16</v>
      </c>
      <c r="FK179" s="64">
        <f t="shared" si="423"/>
        <v>20</v>
      </c>
      <c r="FL179" s="64">
        <f t="shared" si="423"/>
        <v>24</v>
      </c>
      <c r="FM179" s="64">
        <f t="shared" si="423"/>
        <v>24</v>
      </c>
      <c r="FN179" s="64"/>
      <c r="FO179" s="64" t="s">
        <v>242</v>
      </c>
      <c r="FP179" s="64">
        <v>0</v>
      </c>
      <c r="FQ179" s="64">
        <f t="shared" ref="FQ179:GB179" si="424">FQ18/5*4</f>
        <v>0</v>
      </c>
      <c r="FR179" s="64">
        <f t="shared" si="424"/>
        <v>0</v>
      </c>
      <c r="FS179" s="64">
        <f t="shared" si="424"/>
        <v>4</v>
      </c>
      <c r="FT179" s="64">
        <f t="shared" si="424"/>
        <v>8</v>
      </c>
      <c r="FU179" s="64">
        <f t="shared" si="424"/>
        <v>8</v>
      </c>
      <c r="FV179" s="64">
        <f t="shared" si="424"/>
        <v>12</v>
      </c>
      <c r="FW179" s="64">
        <f t="shared" si="424"/>
        <v>16</v>
      </c>
      <c r="FX179" s="64">
        <f t="shared" si="424"/>
        <v>16</v>
      </c>
      <c r="FY179" s="64">
        <f t="shared" si="424"/>
        <v>20</v>
      </c>
      <c r="FZ179" s="64">
        <f t="shared" si="424"/>
        <v>24</v>
      </c>
      <c r="GA179" s="64">
        <f t="shared" si="424"/>
        <v>24</v>
      </c>
      <c r="GB179" s="64">
        <f t="shared" si="424"/>
        <v>28</v>
      </c>
      <c r="GC179" s="64"/>
      <c r="GD179" s="64" t="s">
        <v>242</v>
      </c>
      <c r="GE179" s="64">
        <v>0</v>
      </c>
      <c r="GF179" s="64">
        <f t="shared" ref="GF179:GQ179" si="425">GF18/5*4</f>
        <v>0</v>
      </c>
      <c r="GG179" s="64">
        <f t="shared" si="425"/>
        <v>0</v>
      </c>
      <c r="GH179" s="64">
        <f t="shared" si="425"/>
        <v>4</v>
      </c>
      <c r="GI179" s="64">
        <f t="shared" si="425"/>
        <v>8</v>
      </c>
      <c r="GJ179" s="64">
        <f t="shared" si="425"/>
        <v>12</v>
      </c>
      <c r="GK179" s="64">
        <f t="shared" si="425"/>
        <v>12</v>
      </c>
      <c r="GL179" s="64">
        <f t="shared" si="425"/>
        <v>16</v>
      </c>
      <c r="GM179" s="64">
        <f t="shared" si="425"/>
        <v>20</v>
      </c>
      <c r="GN179" s="64">
        <f t="shared" si="425"/>
        <v>20</v>
      </c>
      <c r="GO179" s="64">
        <f t="shared" si="425"/>
        <v>24</v>
      </c>
      <c r="GP179" s="64">
        <f t="shared" si="425"/>
        <v>28</v>
      </c>
      <c r="GQ179" s="64">
        <f t="shared" si="425"/>
        <v>32</v>
      </c>
      <c r="GR179" s="64"/>
      <c r="GS179" s="64"/>
      <c r="GT179" s="64"/>
      <c r="GU179" s="64"/>
      <c r="GV179" s="64"/>
      <c r="GW179" s="64"/>
      <c r="GX179" s="64"/>
      <c r="GY179" s="64"/>
      <c r="GZ179" s="64"/>
      <c r="HA179" s="64"/>
      <c r="HB179" s="64"/>
      <c r="HC179" s="64"/>
      <c r="HD179" s="64"/>
      <c r="HE179" s="64"/>
      <c r="HF179" s="64"/>
      <c r="HG179" s="64"/>
      <c r="HH179" s="64"/>
    </row>
    <row r="180" spans="1:254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243</v>
      </c>
      <c r="M180" s="11">
        <f>INDEX(cenník!$C$2:$I$568,MATCH($L180,cenník!$B$2:$B$557,0),MATCH(M$2,cenník!$C$1:$I$1,0))</f>
        <v>660245</v>
      </c>
      <c r="N180" s="11" t="str">
        <f>INDEX(cenník!$C$2:$I$568,MATCH($L180,cenník!$B$2:$B$557,0),MATCH(N$2,cenník!$C$1:$I$1,0))</f>
        <v>ks</v>
      </c>
      <c r="O180" s="11">
        <f>SUM(O176:O177)</f>
        <v>80</v>
      </c>
      <c r="P180" s="36">
        <f>INDEX(cenník!$C$2:$I$568,MATCH($L180,cenník!$B$2:$B$557,0),MATCH(P$2,cenník!$C$1:$I$1,0))</f>
        <v>0.55000000000000004</v>
      </c>
      <c r="Q180" s="36">
        <f t="shared" si="385"/>
        <v>44</v>
      </c>
      <c r="R180" s="37">
        <f t="shared" si="360"/>
        <v>0</v>
      </c>
      <c r="S180" s="36">
        <f t="shared" si="361"/>
        <v>0.55000000000000004</v>
      </c>
      <c r="T180" s="36">
        <f t="shared" si="386"/>
        <v>44</v>
      </c>
      <c r="U180" s="36">
        <f>INDEX(cenník!$C$2:$I$568,MATCH($L180,cenník!$B$2:$B$557,0),MATCH(U$2,cenník!$C$1:$I$1,0))*O180</f>
        <v>0.8</v>
      </c>
      <c r="V180" s="85"/>
      <c r="W180" s="82"/>
      <c r="X180" s="82"/>
      <c r="Y180" s="82"/>
      <c r="Z180" s="82"/>
      <c r="AA180" s="64">
        <f t="shared" ref="AA180:AA195" si="426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64">
        <f t="shared" ref="AB180:AB195" si="427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64"/>
      <c r="AD180" s="64"/>
      <c r="AE180" s="64"/>
      <c r="AF180" s="64"/>
      <c r="AG180" s="64"/>
      <c r="AH180" s="64"/>
      <c r="AI180" s="64"/>
      <c r="AJ180" s="64"/>
      <c r="AK180" s="64"/>
      <c r="AL180" s="64"/>
      <c r="AM180" s="64"/>
      <c r="AN180" s="64"/>
      <c r="AO180" s="64"/>
      <c r="AP180" s="64"/>
      <c r="AQ180" s="64"/>
      <c r="AR180" s="85" t="s">
        <v>199</v>
      </c>
      <c r="AS180" s="64" t="s">
        <v>295</v>
      </c>
      <c r="AT180" s="85" t="s">
        <v>294</v>
      </c>
      <c r="AU180" s="85" t="s">
        <v>292</v>
      </c>
      <c r="AV180" s="64" t="s">
        <v>293</v>
      </c>
      <c r="AX180" s="86"/>
      <c r="AY180" s="89"/>
      <c r="AZ180" s="89"/>
      <c r="BA180" s="87"/>
      <c r="BG180" s="64"/>
      <c r="BH180" s="64" t="s">
        <v>103</v>
      </c>
      <c r="BI180" s="64">
        <f t="shared" ref="BI180:BS182" si="428">BI16/5*4</f>
        <v>0</v>
      </c>
      <c r="BJ180" s="64">
        <f t="shared" si="428"/>
        <v>0</v>
      </c>
      <c r="BK180" s="64">
        <f t="shared" si="428"/>
        <v>0</v>
      </c>
      <c r="BL180" s="64">
        <f t="shared" si="428"/>
        <v>0</v>
      </c>
      <c r="BM180" s="64">
        <f t="shared" si="428"/>
        <v>8</v>
      </c>
      <c r="BN180" s="64">
        <f t="shared" si="428"/>
        <v>0</v>
      </c>
      <c r="BO180" s="64">
        <v>0</v>
      </c>
      <c r="BP180" s="64">
        <v>4</v>
      </c>
      <c r="BQ180" s="64">
        <v>0</v>
      </c>
      <c r="BR180" s="64">
        <f t="shared" si="428"/>
        <v>4</v>
      </c>
      <c r="BS180" s="64">
        <f t="shared" si="428"/>
        <v>0</v>
      </c>
      <c r="BT180" s="64">
        <v>8</v>
      </c>
      <c r="BU180" s="64">
        <v>0</v>
      </c>
      <c r="BV180" s="64"/>
      <c r="BW180" s="64" t="s">
        <v>103</v>
      </c>
      <c r="BX180" s="64">
        <v>0</v>
      </c>
      <c r="BY180" s="64">
        <f t="shared" si="419"/>
        <v>0</v>
      </c>
      <c r="BZ180" s="64">
        <f t="shared" si="419"/>
        <v>0</v>
      </c>
      <c r="CA180" s="64">
        <f t="shared" si="419"/>
        <v>4</v>
      </c>
      <c r="CB180" s="64">
        <f t="shared" si="419"/>
        <v>0</v>
      </c>
      <c r="CC180" s="64">
        <v>4</v>
      </c>
      <c r="CD180" s="64">
        <f t="shared" si="419"/>
        <v>0</v>
      </c>
      <c r="CE180" s="64">
        <v>0</v>
      </c>
      <c r="CF180" s="64">
        <f t="shared" si="419"/>
        <v>4</v>
      </c>
      <c r="CG180" s="64">
        <f t="shared" si="419"/>
        <v>8</v>
      </c>
      <c r="CH180" s="64">
        <v>8</v>
      </c>
      <c r="CI180" s="64">
        <v>0</v>
      </c>
      <c r="CJ180" s="64">
        <f t="shared" si="419"/>
        <v>8</v>
      </c>
      <c r="CK180" s="64"/>
      <c r="CL180" s="64"/>
      <c r="CM180" s="64"/>
      <c r="CN180" s="64" t="s">
        <v>103</v>
      </c>
      <c r="CO180" s="64">
        <f t="shared" si="420"/>
        <v>0</v>
      </c>
      <c r="CP180" s="64">
        <f t="shared" si="420"/>
        <v>4</v>
      </c>
      <c r="CQ180" s="64">
        <f t="shared" si="420"/>
        <v>0</v>
      </c>
      <c r="CR180" s="64">
        <f t="shared" si="420"/>
        <v>8</v>
      </c>
      <c r="CS180" s="64">
        <f t="shared" si="420"/>
        <v>0</v>
      </c>
      <c r="CT180" s="64">
        <v>0</v>
      </c>
      <c r="CU180" s="64">
        <f t="shared" si="420"/>
        <v>8</v>
      </c>
      <c r="CV180" s="64">
        <f t="shared" si="420"/>
        <v>0</v>
      </c>
      <c r="CW180" s="64">
        <f t="shared" si="420"/>
        <v>8</v>
      </c>
      <c r="CX180" s="64">
        <f t="shared" si="420"/>
        <v>4</v>
      </c>
      <c r="CY180" s="64">
        <f t="shared" si="420"/>
        <v>0</v>
      </c>
      <c r="CZ180" s="64">
        <v>8</v>
      </c>
      <c r="DA180" s="64">
        <f t="shared" si="420"/>
        <v>0</v>
      </c>
      <c r="DB180" s="64"/>
      <c r="DC180" s="64" t="s">
        <v>103</v>
      </c>
      <c r="DD180" s="64">
        <v>0</v>
      </c>
      <c r="DE180" s="64">
        <f t="shared" ref="DE180:DP182" si="429">DE16/5*4</f>
        <v>4</v>
      </c>
      <c r="DF180" s="64">
        <f t="shared" si="429"/>
        <v>0</v>
      </c>
      <c r="DG180" s="64">
        <v>0</v>
      </c>
      <c r="DH180" s="64">
        <f t="shared" si="429"/>
        <v>8</v>
      </c>
      <c r="DI180" s="64">
        <f t="shared" si="429"/>
        <v>0</v>
      </c>
      <c r="DJ180" s="64">
        <v>0</v>
      </c>
      <c r="DK180" s="64">
        <f t="shared" si="429"/>
        <v>4</v>
      </c>
      <c r="DL180" s="64">
        <f t="shared" si="429"/>
        <v>4</v>
      </c>
      <c r="DM180" s="64">
        <f t="shared" si="429"/>
        <v>8</v>
      </c>
      <c r="DN180" s="64">
        <v>8</v>
      </c>
      <c r="DO180" s="64">
        <f t="shared" si="429"/>
        <v>0</v>
      </c>
      <c r="DP180" s="64">
        <f t="shared" si="429"/>
        <v>0</v>
      </c>
      <c r="DQ180" s="80"/>
      <c r="DR180" s="80"/>
      <c r="DS180" s="80"/>
      <c r="DT180" s="64"/>
      <c r="DU180" s="64"/>
      <c r="DV180" s="64"/>
      <c r="DW180" s="64"/>
      <c r="DX180" s="64"/>
      <c r="DY180" s="64"/>
      <c r="DZ180" s="64"/>
      <c r="EA180" s="64"/>
      <c r="EB180" s="64"/>
      <c r="EC180" s="64"/>
      <c r="ED180" s="64"/>
      <c r="EE180" s="64"/>
      <c r="EF180" s="64"/>
      <c r="EG180" s="64"/>
      <c r="EH180" s="64"/>
      <c r="EI180" s="64"/>
      <c r="EJ180" s="64"/>
      <c r="EK180" s="64"/>
      <c r="EL180" s="64"/>
      <c r="EM180" s="64"/>
      <c r="EN180" s="64"/>
      <c r="EO180" s="64"/>
      <c r="EP180" s="64"/>
      <c r="EQ180" s="64"/>
      <c r="ER180" s="64"/>
      <c r="ES180" s="64"/>
      <c r="ET180" s="64"/>
      <c r="EU180" s="64"/>
      <c r="EV180" s="64"/>
      <c r="EW180" s="64"/>
      <c r="EX180" s="64"/>
      <c r="EY180" s="64"/>
      <c r="EZ180" s="64"/>
      <c r="FA180" s="64"/>
      <c r="FB180" s="64"/>
      <c r="FC180" s="64"/>
      <c r="FD180" s="64"/>
      <c r="FE180" s="64"/>
      <c r="FF180" s="64"/>
      <c r="FG180" s="64"/>
      <c r="FH180" s="64"/>
      <c r="FI180" s="64"/>
      <c r="FJ180" s="64"/>
      <c r="FK180" s="64"/>
      <c r="FL180" s="64"/>
      <c r="FM180" s="64"/>
      <c r="FN180" s="64"/>
      <c r="FO180" s="64"/>
      <c r="FP180" s="64"/>
      <c r="FQ180" s="64"/>
      <c r="FR180" s="64"/>
      <c r="FS180" s="64"/>
      <c r="FT180" s="64"/>
      <c r="FU180" s="64"/>
      <c r="FV180" s="64"/>
      <c r="FW180" s="64"/>
      <c r="FX180" s="64"/>
      <c r="FY180" s="64"/>
      <c r="FZ180" s="64"/>
      <c r="GA180" s="64"/>
      <c r="GB180" s="64"/>
      <c r="GC180" s="64"/>
      <c r="GD180" s="64"/>
      <c r="GE180" s="64"/>
      <c r="GF180" s="64"/>
      <c r="GG180" s="64"/>
      <c r="GH180" s="64"/>
      <c r="GI180" s="64"/>
      <c r="GJ180" s="64"/>
      <c r="GK180" s="64"/>
      <c r="GL180" s="64"/>
      <c r="GM180" s="64"/>
      <c r="GN180" s="64"/>
      <c r="GO180" s="64"/>
      <c r="GP180" s="64"/>
      <c r="GQ180" s="64"/>
      <c r="GR180" s="64"/>
      <c r="GS180" s="64"/>
      <c r="GT180" s="64"/>
      <c r="GU180" s="64"/>
      <c r="GV180" s="64"/>
      <c r="GW180" s="64"/>
      <c r="GX180" s="64"/>
      <c r="GY180" s="64"/>
      <c r="GZ180" s="64"/>
      <c r="HA180" s="64"/>
      <c r="HB180" s="64"/>
      <c r="HC180" s="64"/>
      <c r="HD180" s="64"/>
      <c r="HE180" s="64"/>
      <c r="HF180" s="64"/>
      <c r="HG180" s="64"/>
      <c r="HH180" s="64"/>
    </row>
    <row r="181" spans="1:254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371</v>
      </c>
      <c r="M181" s="11">
        <f>INDEX(cenník!$C$2:$I$568,MATCH($L181,cenník!$B$2:$B$557,0),MATCH(M$2,cenník!$C$1:$I$1,0))</f>
        <v>6510443</v>
      </c>
      <c r="N181" s="11" t="str">
        <f>INDEX(cenník!$C$2:$I$568,MATCH($L181,cenník!$B$2:$B$557,0),MATCH(N$2,cenník!$C$1:$I$1,0))</f>
        <v>100ks</v>
      </c>
      <c r="O181" s="11">
        <f>O182</f>
        <v>4</v>
      </c>
      <c r="P181" s="36">
        <f>INDEX(cenník!$C$2:$I$568,MATCH($L181,cenník!$B$2:$B$557,0),MATCH(P$2,cenník!$C$1:$I$1,0))</f>
        <v>15.05</v>
      </c>
      <c r="Q181" s="36">
        <f t="shared" ref="Q181" si="430">O181*P181</f>
        <v>60.2</v>
      </c>
      <c r="R181" s="37">
        <f t="shared" si="360"/>
        <v>0</v>
      </c>
      <c r="S181" s="36">
        <f t="shared" si="361"/>
        <v>15.05</v>
      </c>
      <c r="T181" s="36">
        <f t="shared" ref="T181" si="431">O181*S181</f>
        <v>60.2</v>
      </c>
      <c r="U181" s="36">
        <f>INDEX(cenník!$C$2:$I$568,MATCH($L181,cenník!$B$2:$B$557,0),MATCH(U$2,cenník!$C$1:$I$1,0))*O181</f>
        <v>0</v>
      </c>
      <c r="V181" s="85"/>
      <c r="W181" s="72" t="s">
        <v>17</v>
      </c>
      <c r="X181" s="64" t="s">
        <v>104</v>
      </c>
      <c r="Y181" s="64" t="s">
        <v>103</v>
      </c>
      <c r="Z181" s="64" t="s">
        <v>16</v>
      </c>
      <c r="AA181" s="64">
        <f t="shared" si="426"/>
        <v>0</v>
      </c>
      <c r="AB181" s="64">
        <f t="shared" si="427"/>
        <v>0</v>
      </c>
      <c r="AC181" s="64"/>
      <c r="AD181" s="64"/>
      <c r="AE181" s="64"/>
      <c r="AF181" s="64"/>
      <c r="AG181" s="64"/>
      <c r="AH181" s="64"/>
      <c r="AI181" s="64"/>
      <c r="AJ181" s="64"/>
      <c r="AK181" s="64"/>
      <c r="AL181" s="64"/>
      <c r="AM181" s="64"/>
      <c r="AN181" s="64"/>
      <c r="AO181" s="64"/>
      <c r="AP181" s="64"/>
      <c r="AQ181" s="64"/>
      <c r="AR181" s="85" t="s">
        <v>205</v>
      </c>
      <c r="AS181" s="85" t="s">
        <v>295</v>
      </c>
      <c r="AT181" s="85" t="s">
        <v>295</v>
      </c>
      <c r="AU181" s="85" t="s">
        <v>293</v>
      </c>
      <c r="AV181" s="64" t="s">
        <v>293</v>
      </c>
      <c r="AX181" s="86"/>
      <c r="AY181" s="89"/>
      <c r="AZ181" s="89"/>
      <c r="BA181" s="87"/>
      <c r="BG181" s="64"/>
      <c r="BH181" s="64" t="s">
        <v>16</v>
      </c>
      <c r="BI181" s="64">
        <f t="shared" si="428"/>
        <v>0</v>
      </c>
      <c r="BJ181" s="64">
        <f t="shared" si="428"/>
        <v>4</v>
      </c>
      <c r="BK181" s="64">
        <f t="shared" si="428"/>
        <v>0</v>
      </c>
      <c r="BL181" s="64">
        <f t="shared" si="428"/>
        <v>0</v>
      </c>
      <c r="BM181" s="64">
        <f t="shared" si="428"/>
        <v>0</v>
      </c>
      <c r="BN181" s="64">
        <f t="shared" si="428"/>
        <v>4</v>
      </c>
      <c r="BO181" s="64">
        <v>0</v>
      </c>
      <c r="BP181" s="64">
        <v>4</v>
      </c>
      <c r="BQ181" s="64">
        <v>4</v>
      </c>
      <c r="BR181" s="64">
        <f t="shared" si="428"/>
        <v>0</v>
      </c>
      <c r="BS181" s="64">
        <f t="shared" si="428"/>
        <v>0</v>
      </c>
      <c r="BT181" s="64">
        <v>0</v>
      </c>
      <c r="BU181" s="64">
        <v>4</v>
      </c>
      <c r="BV181" s="64"/>
      <c r="BW181" s="64" t="s">
        <v>16</v>
      </c>
      <c r="BX181" s="64">
        <v>0</v>
      </c>
      <c r="BY181" s="64">
        <f t="shared" si="419"/>
        <v>4</v>
      </c>
      <c r="BZ181" s="64">
        <f t="shared" si="419"/>
        <v>0</v>
      </c>
      <c r="CA181" s="64">
        <f t="shared" si="419"/>
        <v>4</v>
      </c>
      <c r="CB181" s="64">
        <f t="shared" si="419"/>
        <v>4</v>
      </c>
      <c r="CC181" s="64">
        <v>0</v>
      </c>
      <c r="CD181" s="64">
        <f t="shared" si="419"/>
        <v>0</v>
      </c>
      <c r="CE181" s="64">
        <v>4</v>
      </c>
      <c r="CF181" s="64">
        <f t="shared" si="419"/>
        <v>0</v>
      </c>
      <c r="CG181" s="64">
        <f t="shared" si="419"/>
        <v>4</v>
      </c>
      <c r="CH181" s="64">
        <v>0</v>
      </c>
      <c r="CI181" s="64">
        <v>4</v>
      </c>
      <c r="CJ181" s="64">
        <f t="shared" si="419"/>
        <v>4</v>
      </c>
      <c r="CK181" s="64"/>
      <c r="CL181" s="64"/>
      <c r="CM181" s="64"/>
      <c r="CN181" s="64" t="s">
        <v>16</v>
      </c>
      <c r="CO181" s="64">
        <f t="shared" si="420"/>
        <v>0</v>
      </c>
      <c r="CP181" s="64">
        <f t="shared" si="420"/>
        <v>0</v>
      </c>
      <c r="CQ181" s="64">
        <f t="shared" si="420"/>
        <v>0</v>
      </c>
      <c r="CR181" s="64">
        <f t="shared" si="420"/>
        <v>0</v>
      </c>
      <c r="CS181" s="64">
        <f t="shared" si="420"/>
        <v>4</v>
      </c>
      <c r="CT181" s="64">
        <v>0</v>
      </c>
      <c r="CU181" s="64">
        <f t="shared" si="420"/>
        <v>0</v>
      </c>
      <c r="CV181" s="64">
        <f t="shared" si="420"/>
        <v>4</v>
      </c>
      <c r="CW181" s="64">
        <f t="shared" si="420"/>
        <v>4</v>
      </c>
      <c r="CX181" s="64">
        <f t="shared" si="420"/>
        <v>4</v>
      </c>
      <c r="CY181" s="64">
        <f t="shared" si="420"/>
        <v>4</v>
      </c>
      <c r="CZ181" s="64">
        <v>4</v>
      </c>
      <c r="DA181" s="64">
        <f t="shared" si="420"/>
        <v>0</v>
      </c>
      <c r="DB181" s="64"/>
      <c r="DC181" s="64" t="s">
        <v>16</v>
      </c>
      <c r="DD181" s="64">
        <v>0</v>
      </c>
      <c r="DE181" s="64">
        <f t="shared" si="429"/>
        <v>0</v>
      </c>
      <c r="DF181" s="64">
        <f t="shared" si="429"/>
        <v>0</v>
      </c>
      <c r="DG181" s="64">
        <v>4</v>
      </c>
      <c r="DH181" s="64">
        <f t="shared" si="429"/>
        <v>4</v>
      </c>
      <c r="DI181" s="64">
        <f t="shared" si="429"/>
        <v>0</v>
      </c>
      <c r="DJ181" s="64">
        <v>4</v>
      </c>
      <c r="DK181" s="64">
        <f t="shared" si="429"/>
        <v>0</v>
      </c>
      <c r="DL181" s="64">
        <f t="shared" si="429"/>
        <v>4</v>
      </c>
      <c r="DM181" s="64">
        <f t="shared" si="429"/>
        <v>0</v>
      </c>
      <c r="DN181" s="64">
        <v>4</v>
      </c>
      <c r="DO181" s="64">
        <f t="shared" si="429"/>
        <v>0</v>
      </c>
      <c r="DP181" s="64">
        <f t="shared" si="429"/>
        <v>4</v>
      </c>
      <c r="DQ181" s="80"/>
      <c r="DR181" s="80"/>
      <c r="DS181" s="80"/>
      <c r="DT181" s="64"/>
      <c r="DU181" s="64"/>
      <c r="DV181" s="64"/>
      <c r="DW181" s="64"/>
      <c r="DX181" s="64"/>
      <c r="DY181" s="64"/>
      <c r="DZ181" s="64"/>
      <c r="EA181" s="64"/>
      <c r="EB181" s="64"/>
      <c r="EC181" s="64"/>
      <c r="ED181" s="64"/>
      <c r="EE181" s="64"/>
      <c r="EF181" s="64"/>
      <c r="EG181" s="64"/>
      <c r="EH181" s="64"/>
      <c r="EI181" s="64"/>
      <c r="EJ181" s="64"/>
      <c r="EK181" s="64"/>
      <c r="EL181" s="64"/>
      <c r="EM181" s="64"/>
      <c r="EN181" s="64"/>
      <c r="EO181" s="64"/>
      <c r="EP181" s="64"/>
      <c r="EQ181" s="64"/>
      <c r="ER181" s="64"/>
      <c r="ES181" s="64"/>
      <c r="ET181" s="64"/>
      <c r="EU181" s="64"/>
      <c r="EV181" s="64"/>
      <c r="EW181" s="64"/>
      <c r="EX181" s="64"/>
      <c r="EY181" s="64"/>
      <c r="EZ181" s="64"/>
      <c r="FA181" s="64"/>
      <c r="FB181" s="64"/>
      <c r="FC181" s="64"/>
      <c r="FD181" s="64"/>
      <c r="FE181" s="64"/>
      <c r="FF181" s="64"/>
      <c r="FG181" s="64"/>
      <c r="FH181" s="64"/>
      <c r="FI181" s="64"/>
      <c r="FJ181" s="64"/>
      <c r="FK181" s="64"/>
      <c r="FL181" s="64"/>
      <c r="FM181" s="64"/>
      <c r="FN181" s="64"/>
      <c r="FO181" s="64"/>
      <c r="FP181" s="64"/>
      <c r="FQ181" s="64"/>
      <c r="FR181" s="64"/>
      <c r="FS181" s="64"/>
      <c r="FT181" s="64"/>
      <c r="FU181" s="64"/>
      <c r="FV181" s="64"/>
      <c r="FW181" s="64"/>
      <c r="FX181" s="64"/>
      <c r="FY181" s="64"/>
      <c r="FZ181" s="64"/>
      <c r="GA181" s="64"/>
      <c r="GB181" s="64"/>
      <c r="GC181" s="64"/>
      <c r="GD181" s="64"/>
      <c r="GE181" s="64"/>
      <c r="GF181" s="64"/>
      <c r="GG181" s="64"/>
      <c r="GH181" s="64"/>
      <c r="GI181" s="64"/>
      <c r="GJ181" s="64"/>
      <c r="GK181" s="64"/>
      <c r="GL181" s="64"/>
      <c r="GM181" s="64"/>
      <c r="GN181" s="64"/>
      <c r="GO181" s="64"/>
      <c r="GP181" s="64"/>
      <c r="GQ181" s="64"/>
      <c r="GR181" s="64"/>
      <c r="GS181" s="64"/>
      <c r="GT181" s="64"/>
      <c r="GU181" s="64"/>
      <c r="GV181" s="64"/>
      <c r="GW181" s="64"/>
      <c r="GX181" s="64"/>
      <c r="GY181" s="64"/>
      <c r="GZ181" s="64"/>
      <c r="HA181" s="64"/>
      <c r="HB181" s="64"/>
      <c r="HC181" s="64"/>
      <c r="HD181" s="64"/>
      <c r="HE181" s="64"/>
      <c r="HF181" s="64"/>
      <c r="HG181" s="64"/>
      <c r="HH181" s="64"/>
    </row>
    <row r="182" spans="1:254" ht="15.75" thickBo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150</v>
      </c>
      <c r="M182" s="11">
        <f>INDEX(cenník!$C$2:$I$568,MATCH($L182,cenník!$B$2:$B$557,0),MATCH(M$2,cenník!$C$1:$I$1,0))</f>
        <v>651643</v>
      </c>
      <c r="N182" s="11" t="str">
        <f>INDEX(cenník!$C$2:$I$568,MATCH($L182,cenník!$B$2:$B$557,0),MATCH(N$2,cenník!$C$1:$I$1,0))</f>
        <v>100ks</v>
      </c>
      <c r="O182" s="11">
        <f>ROUNDUP(((O165*12)+(O169*2)+(O164*9)+(O175*8)+(O171*2)+(O188*2)+(O189*2))/100,0)</f>
        <v>4</v>
      </c>
      <c r="P182" s="36">
        <f>INDEX(cenník!$C$2:$I$568,MATCH($L182,cenník!$B$2:$B$557,0),MATCH(P$2,cenník!$C$1:$I$1,0))</f>
        <v>49.87</v>
      </c>
      <c r="Q182" s="36">
        <f t="shared" si="385"/>
        <v>199.48</v>
      </c>
      <c r="R182" s="37">
        <f t="shared" si="360"/>
        <v>0</v>
      </c>
      <c r="S182" s="36">
        <f t="shared" si="361"/>
        <v>49.87</v>
      </c>
      <c r="T182" s="36">
        <f t="shared" si="386"/>
        <v>199.48</v>
      </c>
      <c r="U182" s="36">
        <f>INDEX(cenník!$C$2:$I$568,MATCH($L182,cenník!$B$2:$B$557,0),MATCH(U$2,cenník!$C$1:$I$1,0))*O182</f>
        <v>13.2</v>
      </c>
      <c r="V182" s="85"/>
      <c r="W182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64">
        <v>0</v>
      </c>
      <c r="Y182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64">
        <f t="shared" si="426"/>
        <v>0</v>
      </c>
      <c r="AB182" s="64">
        <f t="shared" si="427"/>
        <v>0</v>
      </c>
      <c r="AC182" s="64"/>
      <c r="AD182" s="64"/>
      <c r="AE182" s="64"/>
      <c r="AF182" s="64"/>
      <c r="AG182" s="64"/>
      <c r="AH182" s="64"/>
      <c r="AI182" s="64"/>
      <c r="AJ182" s="64"/>
      <c r="AK182" s="64"/>
      <c r="AL182" s="64"/>
      <c r="AM182" s="64"/>
      <c r="AN182" s="64"/>
      <c r="AO182" s="64"/>
      <c r="AP182" s="64"/>
      <c r="AQ182" s="64"/>
      <c r="AR182" s="85" t="s">
        <v>329</v>
      </c>
      <c r="AS182" s="85" t="s">
        <v>295</v>
      </c>
      <c r="AT182" s="85" t="s">
        <v>295</v>
      </c>
      <c r="AU182" s="64" t="s">
        <v>293</v>
      </c>
      <c r="AV182" s="64" t="s">
        <v>293</v>
      </c>
      <c r="AX182" s="86"/>
      <c r="AY182" s="90"/>
      <c r="AZ182" s="90"/>
      <c r="BA182" s="90"/>
      <c r="BG182" s="64"/>
      <c r="BH182" s="72" t="s">
        <v>17</v>
      </c>
      <c r="BI182" s="64">
        <f t="shared" si="428"/>
        <v>0</v>
      </c>
      <c r="BJ182" s="64">
        <f t="shared" si="428"/>
        <v>0</v>
      </c>
      <c r="BK182" s="64">
        <f t="shared" si="428"/>
        <v>0</v>
      </c>
      <c r="BL182" s="64">
        <f t="shared" si="428"/>
        <v>0</v>
      </c>
      <c r="BM182" s="64">
        <f t="shared" si="428"/>
        <v>4</v>
      </c>
      <c r="BN182" s="64">
        <f t="shared" si="428"/>
        <v>4</v>
      </c>
      <c r="BO182" s="64">
        <v>4</v>
      </c>
      <c r="BP182" s="64">
        <v>8</v>
      </c>
      <c r="BQ182" s="64">
        <v>8</v>
      </c>
      <c r="BR182" s="64">
        <f t="shared" si="428"/>
        <v>8</v>
      </c>
      <c r="BS182" s="64">
        <f t="shared" si="428"/>
        <v>8</v>
      </c>
      <c r="BT182" s="64">
        <v>12</v>
      </c>
      <c r="BU182" s="64">
        <v>12</v>
      </c>
      <c r="BV182" s="64"/>
      <c r="BW182" s="64" t="s">
        <v>17</v>
      </c>
      <c r="BX182" s="64">
        <v>0</v>
      </c>
      <c r="BY182" s="64">
        <f t="shared" si="419"/>
        <v>0</v>
      </c>
      <c r="BZ182" s="64">
        <f t="shared" si="419"/>
        <v>0</v>
      </c>
      <c r="CA182" s="64">
        <f t="shared" si="419"/>
        <v>4</v>
      </c>
      <c r="CB182" s="64">
        <f t="shared" si="419"/>
        <v>4</v>
      </c>
      <c r="CC182" s="64">
        <v>4</v>
      </c>
      <c r="CD182" s="64">
        <f t="shared" si="419"/>
        <v>4</v>
      </c>
      <c r="CE182" s="64">
        <v>8</v>
      </c>
      <c r="CF182" s="64">
        <f t="shared" si="419"/>
        <v>8</v>
      </c>
      <c r="CG182" s="64">
        <f t="shared" si="419"/>
        <v>12</v>
      </c>
      <c r="CH182" s="64">
        <v>12</v>
      </c>
      <c r="CI182" s="64">
        <v>12</v>
      </c>
      <c r="CJ182" s="64">
        <f t="shared" si="419"/>
        <v>16</v>
      </c>
      <c r="CK182" s="64"/>
      <c r="CL182" s="64"/>
      <c r="CM182" s="64"/>
      <c r="CN182" s="72" t="s">
        <v>17</v>
      </c>
      <c r="CO182" s="64">
        <f t="shared" si="420"/>
        <v>0</v>
      </c>
      <c r="CP182" s="64">
        <f t="shared" si="420"/>
        <v>0</v>
      </c>
      <c r="CQ182" s="64">
        <f t="shared" si="420"/>
        <v>0</v>
      </c>
      <c r="CR182" s="64">
        <f t="shared" si="420"/>
        <v>4</v>
      </c>
      <c r="CS182" s="64">
        <f t="shared" si="420"/>
        <v>4</v>
      </c>
      <c r="CT182" s="64">
        <v>4</v>
      </c>
      <c r="CU182" s="64">
        <f t="shared" si="420"/>
        <v>8</v>
      </c>
      <c r="CV182" s="64">
        <f t="shared" si="420"/>
        <v>8</v>
      </c>
      <c r="CW182" s="64">
        <f t="shared" si="420"/>
        <v>12</v>
      </c>
      <c r="CX182" s="64">
        <f t="shared" si="420"/>
        <v>12</v>
      </c>
      <c r="CY182" s="64">
        <f t="shared" si="420"/>
        <v>12</v>
      </c>
      <c r="CZ182" s="64">
        <v>16</v>
      </c>
      <c r="DA182" s="64">
        <f t="shared" si="420"/>
        <v>12</v>
      </c>
      <c r="DB182" s="64"/>
      <c r="DC182" s="64" t="s">
        <v>17</v>
      </c>
      <c r="DD182" s="64">
        <v>0</v>
      </c>
      <c r="DE182" s="64">
        <f t="shared" si="429"/>
        <v>0</v>
      </c>
      <c r="DF182" s="64">
        <f t="shared" si="429"/>
        <v>0</v>
      </c>
      <c r="DG182" s="64">
        <v>4</v>
      </c>
      <c r="DH182" s="64">
        <f t="shared" si="429"/>
        <v>8</v>
      </c>
      <c r="DI182" s="64">
        <f t="shared" si="429"/>
        <v>4</v>
      </c>
      <c r="DJ182" s="64">
        <v>8</v>
      </c>
      <c r="DK182" s="64">
        <f t="shared" si="429"/>
        <v>8</v>
      </c>
      <c r="DL182" s="64">
        <f t="shared" si="429"/>
        <v>12</v>
      </c>
      <c r="DM182" s="64">
        <f t="shared" si="429"/>
        <v>12</v>
      </c>
      <c r="DN182" s="64">
        <v>16</v>
      </c>
      <c r="DO182" s="64">
        <f t="shared" si="429"/>
        <v>12</v>
      </c>
      <c r="DP182" s="64">
        <f t="shared" si="429"/>
        <v>16</v>
      </c>
      <c r="DQ182" s="80"/>
      <c r="DR182" s="80"/>
      <c r="DS182" s="80"/>
      <c r="DT182" s="64"/>
      <c r="DU182" s="64"/>
      <c r="DV182" s="64"/>
      <c r="DW182" s="64"/>
      <c r="DX182" s="64"/>
      <c r="DY182" s="64"/>
      <c r="DZ182" s="64"/>
      <c r="EA182" s="64"/>
      <c r="EB182" s="64"/>
      <c r="EC182" s="64"/>
      <c r="ED182" s="64"/>
      <c r="EE182" s="64"/>
      <c r="EF182" s="64"/>
      <c r="EG182" s="64"/>
      <c r="EH182" s="64"/>
      <c r="EI182" s="64"/>
      <c r="EJ182" s="64"/>
      <c r="EK182" s="64"/>
      <c r="EL182" s="64"/>
      <c r="EM182" s="64"/>
      <c r="EN182" s="64"/>
      <c r="EO182" s="64"/>
      <c r="EP182" s="64"/>
      <c r="EQ182" s="64"/>
      <c r="ER182" s="64"/>
      <c r="ES182" s="64"/>
      <c r="ET182" s="64"/>
      <c r="EU182" s="64"/>
      <c r="EV182" s="64"/>
      <c r="EW182" s="64"/>
      <c r="EX182" s="64"/>
      <c r="EY182" s="64"/>
      <c r="EZ182" s="64"/>
      <c r="FA182" s="64"/>
      <c r="FB182" s="64"/>
      <c r="FC182" s="64"/>
      <c r="FD182" s="64"/>
      <c r="FE182" s="64"/>
      <c r="FF182" s="64"/>
      <c r="FG182" s="64"/>
      <c r="FH182" s="64"/>
      <c r="FI182" s="64"/>
      <c r="FJ182" s="64"/>
      <c r="FK182" s="64"/>
      <c r="FL182" s="64"/>
      <c r="FM182" s="64"/>
      <c r="FN182" s="64"/>
      <c r="FO182" s="64"/>
      <c r="FP182" s="64"/>
      <c r="FQ182" s="64"/>
      <c r="FR182" s="64"/>
      <c r="FS182" s="64"/>
      <c r="FT182" s="64"/>
      <c r="FU182" s="64"/>
      <c r="FV182" s="64"/>
      <c r="FW182" s="64"/>
      <c r="FX182" s="64"/>
      <c r="FY182" s="64"/>
      <c r="FZ182" s="64"/>
      <c r="GA182" s="64"/>
      <c r="GB182" s="64"/>
      <c r="GC182" s="64"/>
      <c r="GD182" s="64"/>
      <c r="GE182" s="64"/>
      <c r="GF182" s="64"/>
      <c r="GG182" s="64"/>
      <c r="GH182" s="64"/>
      <c r="GI182" s="64"/>
      <c r="GJ182" s="64"/>
      <c r="GK182" s="64"/>
      <c r="GL182" s="64"/>
      <c r="GM182" s="64"/>
      <c r="GN182" s="64"/>
      <c r="GO182" s="64"/>
      <c r="GP182" s="64"/>
      <c r="GQ182" s="64"/>
      <c r="GR182" s="64"/>
      <c r="GS182" s="64"/>
      <c r="GT182" s="64"/>
      <c r="GU182" s="64"/>
      <c r="GV182" s="64"/>
      <c r="GW182" s="64"/>
      <c r="GX182" s="64"/>
      <c r="GY182" s="64"/>
      <c r="GZ182" s="64"/>
      <c r="HA182" s="64"/>
      <c r="HB182" s="64"/>
      <c r="HC182" s="64"/>
      <c r="HD182" s="64"/>
      <c r="HE182" s="64"/>
      <c r="HF182" s="64"/>
      <c r="HG182" s="64"/>
      <c r="HH182" s="64"/>
    </row>
    <row r="183" spans="1:254" ht="15.75" thickBo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65</v>
      </c>
      <c r="M183" s="11">
        <f>INDEX(cenník!$C$2:$I$568,MATCH($L183,cenník!$B$2:$B$557,0),MATCH(M$2,cenník!$C$1:$I$1,0))</f>
        <v>897303</v>
      </c>
      <c r="N183" s="11" t="str">
        <f>INDEX(cenník!$C$2:$I$568,MATCH($L183,cenník!$B$2:$B$557,0),MATCH(N$2,cenník!$C$1:$I$1,0))</f>
        <v>ks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20</v>
      </c>
      <c r="P183" s="36">
        <f>INDEX(cenník!$C$2:$I$568,MATCH($L183,cenník!$B$2:$B$557,0),MATCH(P$2,cenník!$C$1:$I$1,0))</f>
        <v>0.83</v>
      </c>
      <c r="Q183" s="36">
        <f t="shared" si="385"/>
        <v>16.599999999999998</v>
      </c>
      <c r="R183" s="37">
        <f t="shared" si="360"/>
        <v>0</v>
      </c>
      <c r="S183" s="36">
        <f t="shared" si="361"/>
        <v>0.83</v>
      </c>
      <c r="T183" s="36">
        <f t="shared" si="386"/>
        <v>16.599999999999998</v>
      </c>
      <c r="U183" s="36">
        <f>INDEX(cenník!$C$2:$I$568,MATCH($L183,cenník!$B$2:$B$557,0),MATCH(U$2,cenník!$C$1:$I$1,0))*O183</f>
        <v>0.32</v>
      </c>
      <c r="V183" s="85"/>
      <c r="W183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64">
        <v>0</v>
      </c>
      <c r="Y183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64">
        <f t="shared" si="426"/>
        <v>0</v>
      </c>
      <c r="AB183" s="64">
        <f t="shared" si="427"/>
        <v>0</v>
      </c>
      <c r="AC183" s="64"/>
      <c r="AD183" s="64"/>
      <c r="AE183" s="64"/>
      <c r="AF183" s="64"/>
      <c r="AG183" s="64"/>
      <c r="AH183" s="64"/>
      <c r="AI183" s="64"/>
      <c r="AJ183" s="64"/>
      <c r="AK183" s="64"/>
      <c r="AL183" s="64"/>
      <c r="AM183" s="64"/>
      <c r="AN183" s="64"/>
      <c r="AO183" s="64"/>
      <c r="AP183" s="64"/>
      <c r="AQ183" s="64"/>
      <c r="AR183" s="64" t="s">
        <v>330</v>
      </c>
      <c r="AS183" s="85" t="s">
        <v>295</v>
      </c>
      <c r="AT183" s="85" t="s">
        <v>295</v>
      </c>
      <c r="AU183" s="64" t="s">
        <v>293</v>
      </c>
      <c r="AV183" s="64" t="s">
        <v>293</v>
      </c>
      <c r="AX183" s="86"/>
      <c r="AY183" s="90"/>
      <c r="AZ183" s="90"/>
      <c r="BA183" s="87"/>
      <c r="BG183" s="64"/>
      <c r="BH183" s="64"/>
      <c r="BI183" s="64"/>
      <c r="BJ183" s="64"/>
      <c r="BK183" s="64"/>
      <c r="BL183" s="64"/>
      <c r="BM183" s="64"/>
      <c r="BN183" s="64"/>
      <c r="BO183" s="64"/>
      <c r="BP183" s="64"/>
      <c r="BQ183" s="64"/>
      <c r="BR183" s="64"/>
      <c r="BS183" s="64"/>
      <c r="BT183" s="64"/>
      <c r="BU183" s="64"/>
      <c r="BV183" s="64"/>
      <c r="BW183" s="64"/>
      <c r="BX183" s="64"/>
      <c r="BY183" s="64"/>
      <c r="BZ183" s="64"/>
      <c r="CA183" s="64"/>
      <c r="CB183" s="64"/>
      <c r="CC183" s="64"/>
      <c r="CD183" s="64"/>
      <c r="CE183" s="64"/>
      <c r="CF183" s="64"/>
      <c r="CG183" s="64"/>
      <c r="CH183" s="64"/>
      <c r="CI183" s="64"/>
      <c r="CJ183" s="64"/>
      <c r="CK183" s="64"/>
      <c r="CL183" s="64"/>
      <c r="CM183" s="64"/>
      <c r="CN183" s="64"/>
      <c r="CO183" s="64"/>
      <c r="CP183" s="64"/>
      <c r="CQ183" s="64"/>
      <c r="CR183" s="64"/>
      <c r="CS183" s="64"/>
      <c r="CT183" s="64"/>
      <c r="CU183" s="64"/>
      <c r="CV183" s="64"/>
      <c r="CW183" s="64"/>
      <c r="CX183" s="64"/>
      <c r="CY183" s="64"/>
      <c r="CZ183" s="64"/>
      <c r="DA183" s="64"/>
      <c r="DB183" s="64"/>
      <c r="DC183" s="64"/>
      <c r="DD183" s="64"/>
      <c r="DE183" s="64"/>
      <c r="DF183" s="64"/>
      <c r="DG183" s="64"/>
      <c r="DH183" s="64"/>
      <c r="DI183" s="64"/>
      <c r="DJ183" s="64"/>
      <c r="DK183" s="64"/>
      <c r="DL183" s="64"/>
      <c r="DM183" s="64"/>
      <c r="DN183" s="64"/>
      <c r="DO183" s="64"/>
      <c r="DP183" s="64"/>
      <c r="DQ183" s="80"/>
      <c r="DR183" s="80"/>
      <c r="DS183" s="80"/>
      <c r="DT183" s="64"/>
      <c r="DU183" s="64"/>
      <c r="DV183" s="64"/>
      <c r="DW183" s="64"/>
      <c r="DX183" s="64"/>
      <c r="DY183" s="64"/>
      <c r="DZ183" s="64"/>
      <c r="EA183" s="64"/>
      <c r="EB183" s="64"/>
      <c r="EC183" s="64"/>
      <c r="ED183" s="64"/>
      <c r="EE183" s="64"/>
      <c r="EF183" s="64"/>
      <c r="EG183" s="64"/>
      <c r="EH183" s="64"/>
      <c r="EI183" s="64"/>
      <c r="EJ183" s="65"/>
      <c r="EK183" s="66"/>
      <c r="EL183" s="66"/>
      <c r="EM183" s="66"/>
      <c r="EN183" s="66"/>
      <c r="EO183" s="66"/>
      <c r="EP183" s="66"/>
      <c r="EQ183" s="66"/>
      <c r="ER183" s="66"/>
      <c r="ES183" s="66"/>
      <c r="ET183" s="66"/>
      <c r="EU183" s="66"/>
      <c r="EV183" s="66"/>
      <c r="EW183" s="66"/>
      <c r="EX183" s="66"/>
      <c r="EY183" s="66"/>
      <c r="EZ183" s="66"/>
      <c r="FA183" s="66"/>
      <c r="FB183" s="66"/>
      <c r="FC183" s="66"/>
      <c r="FD183" s="66"/>
      <c r="FE183" s="66"/>
      <c r="FF183" s="66"/>
      <c r="FG183" s="66"/>
      <c r="FH183" s="66"/>
      <c r="FI183" s="66"/>
      <c r="FJ183" s="66"/>
      <c r="FK183" s="66"/>
      <c r="FL183" s="66"/>
      <c r="FM183" s="66"/>
      <c r="FN183" s="66"/>
      <c r="FO183" s="66"/>
      <c r="FP183" s="66"/>
      <c r="FQ183" s="66"/>
      <c r="FR183" s="66"/>
      <c r="FS183" s="66"/>
      <c r="FT183" s="66"/>
      <c r="FU183" s="66"/>
      <c r="FV183" s="66"/>
      <c r="FW183" s="66"/>
      <c r="FX183" s="66"/>
      <c r="FY183" s="66"/>
      <c r="FZ183" s="66"/>
      <c r="GA183" s="66"/>
      <c r="GB183" s="66"/>
      <c r="GC183" s="66"/>
      <c r="GD183" s="66"/>
      <c r="GE183" s="66"/>
      <c r="GF183" s="66"/>
      <c r="GG183" s="66"/>
      <c r="GH183" s="66"/>
      <c r="GI183" s="66"/>
      <c r="GJ183" s="66"/>
      <c r="GK183" s="66"/>
      <c r="GL183" s="66"/>
      <c r="GM183" s="66"/>
      <c r="GN183" s="66"/>
      <c r="GO183" s="66"/>
      <c r="GP183" s="66"/>
      <c r="GQ183" s="66"/>
      <c r="GR183" s="66"/>
      <c r="GS183" s="66"/>
      <c r="GT183" s="66"/>
      <c r="GU183" s="66"/>
      <c r="GV183" s="66"/>
      <c r="GW183" s="66"/>
      <c r="GX183" s="66"/>
      <c r="GY183" s="66"/>
      <c r="GZ183" s="66"/>
      <c r="HA183" s="66"/>
      <c r="HB183" s="66"/>
      <c r="HC183" s="66"/>
      <c r="HD183" s="66"/>
      <c r="HE183" s="66"/>
      <c r="HF183" s="66"/>
      <c r="HG183" s="66"/>
      <c r="HH183" s="66"/>
      <c r="HI183" s="76"/>
      <c r="HJ183" s="76"/>
      <c r="HK183" s="76"/>
      <c r="HL183" s="76"/>
      <c r="HM183" s="76"/>
      <c r="HN183" s="76"/>
      <c r="HO183" s="76"/>
      <c r="HP183" s="76"/>
      <c r="HQ183" s="76"/>
      <c r="HR183" s="76"/>
      <c r="HS183" s="76"/>
      <c r="HT183" s="76"/>
      <c r="HU183" s="76"/>
      <c r="HV183" s="76"/>
      <c r="HW183" s="76"/>
      <c r="HX183" s="76"/>
      <c r="HY183" s="76"/>
      <c r="HZ183" s="76"/>
      <c r="IA183" s="76"/>
      <c r="IB183" s="76"/>
      <c r="IC183" s="76"/>
      <c r="ID183" s="76"/>
      <c r="IE183" s="76"/>
      <c r="IF183" s="76"/>
      <c r="IG183" s="76"/>
      <c r="IH183" s="76"/>
      <c r="II183" s="76"/>
      <c r="IJ183" s="76"/>
      <c r="IK183" s="76"/>
      <c r="IL183" s="76"/>
      <c r="IM183" s="76"/>
      <c r="IN183" s="76"/>
      <c r="IO183" s="76"/>
      <c r="IP183" s="76"/>
      <c r="IQ183" s="76"/>
      <c r="IR183" s="76"/>
      <c r="IS183" s="76"/>
      <c r="IT183" s="77"/>
    </row>
    <row r="184" spans="1:254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245</v>
      </c>
      <c r="M184" s="11">
        <f>INDEX(cenník!$C$2:$I$568,MATCH($L184,cenník!$B$2:$B$557,0),MATCH(M$2,cenník!$C$1:$I$1,0))</f>
        <v>897311</v>
      </c>
      <c r="N184" s="11" t="str">
        <f>INDEX(cenník!$C$2:$I$568,MATCH($L184,cenník!$B$2:$B$557,0),MATCH(N$2,cenník!$C$1:$I$1,0))</f>
        <v>ks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24</v>
      </c>
      <c r="P184" s="36">
        <f>INDEX(cenník!$C$2:$I$568,MATCH($L184,cenník!$B$2:$B$557,0),MATCH(P$2,cenník!$C$1:$I$1,0))</f>
        <v>1.9</v>
      </c>
      <c r="Q184" s="36">
        <f t="shared" si="385"/>
        <v>45.599999999999994</v>
      </c>
      <c r="R184" s="37">
        <f t="shared" si="360"/>
        <v>0</v>
      </c>
      <c r="S184" s="36">
        <f t="shared" si="361"/>
        <v>1.9</v>
      </c>
      <c r="T184" s="36">
        <f t="shared" si="386"/>
        <v>45.599999999999994</v>
      </c>
      <c r="U184" s="36">
        <f>INDEX(cenník!$C$2:$I$568,MATCH($L184,cenník!$B$2:$B$557,0),MATCH(U$2,cenník!$C$1:$I$1,0))*O184</f>
        <v>0.72</v>
      </c>
      <c r="V184" s="85"/>
      <c r="W184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64">
        <v>0</v>
      </c>
      <c r="Y184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64">
        <f t="shared" si="426"/>
        <v>0</v>
      </c>
      <c r="AB184" s="64">
        <f t="shared" si="427"/>
        <v>0</v>
      </c>
      <c r="AC184" s="64"/>
      <c r="AD184" s="64"/>
      <c r="AE184" s="64"/>
      <c r="AF184" s="64"/>
      <c r="AG184" s="64"/>
      <c r="AH184" s="64"/>
      <c r="AI184" s="64"/>
      <c r="AJ184" s="64"/>
      <c r="AK184" s="64"/>
      <c r="AL184" s="64"/>
      <c r="AM184" s="64"/>
      <c r="AN184" s="64"/>
      <c r="AO184" s="64"/>
      <c r="AP184" s="64"/>
      <c r="AQ184" s="64"/>
      <c r="AR184" s="64" t="s">
        <v>331</v>
      </c>
      <c r="AS184" s="85" t="s">
        <v>295</v>
      </c>
      <c r="AT184" s="85" t="s">
        <v>295</v>
      </c>
      <c r="AU184" s="64" t="s">
        <v>293</v>
      </c>
      <c r="AV184" s="64" t="s">
        <v>293</v>
      </c>
      <c r="AX184" s="86"/>
      <c r="AY184" s="89"/>
      <c r="AZ184" s="89"/>
      <c r="BA184" s="87"/>
      <c r="BG184" s="64"/>
      <c r="BH184" s="65" t="s">
        <v>56</v>
      </c>
      <c r="BI184" s="66">
        <v>0</v>
      </c>
      <c r="BJ184" s="66">
        <v>8</v>
      </c>
      <c r="BK184" s="66">
        <v>12</v>
      </c>
      <c r="BL184" s="66">
        <v>16</v>
      </c>
      <c r="BM184" s="66">
        <v>20</v>
      </c>
      <c r="BN184" s="66">
        <v>24</v>
      </c>
      <c r="BO184" s="66">
        <v>28</v>
      </c>
      <c r="BP184" s="66">
        <v>32</v>
      </c>
      <c r="BQ184" s="66">
        <v>36</v>
      </c>
      <c r="BR184" s="66">
        <v>40</v>
      </c>
      <c r="BS184" s="66">
        <v>44</v>
      </c>
      <c r="BT184" s="66">
        <v>48</v>
      </c>
      <c r="BU184" s="66">
        <v>52</v>
      </c>
      <c r="BV184" s="66"/>
      <c r="BW184" s="66" t="s">
        <v>195</v>
      </c>
      <c r="BX184" s="66">
        <v>0</v>
      </c>
      <c r="BY184" s="66">
        <v>8</v>
      </c>
      <c r="BZ184" s="66">
        <v>12</v>
      </c>
      <c r="CA184" s="66">
        <v>16</v>
      </c>
      <c r="CB184" s="66">
        <v>20</v>
      </c>
      <c r="CC184" s="66">
        <v>24</v>
      </c>
      <c r="CD184" s="66">
        <v>28</v>
      </c>
      <c r="CE184" s="66">
        <v>32</v>
      </c>
      <c r="CF184" s="66">
        <v>36</v>
      </c>
      <c r="CG184" s="66">
        <v>40</v>
      </c>
      <c r="CH184" s="66">
        <v>44</v>
      </c>
      <c r="CI184" s="66">
        <v>48</v>
      </c>
      <c r="CJ184" s="66">
        <v>52</v>
      </c>
      <c r="CK184" s="66"/>
      <c r="CL184" s="66"/>
      <c r="CM184" s="66"/>
      <c r="CN184" s="66" t="s">
        <v>198</v>
      </c>
      <c r="CO184" s="66">
        <v>0</v>
      </c>
      <c r="CP184" s="66">
        <v>8</v>
      </c>
      <c r="CQ184" s="66">
        <v>12</v>
      </c>
      <c r="CR184" s="66">
        <v>16</v>
      </c>
      <c r="CS184" s="66">
        <v>20</v>
      </c>
      <c r="CT184" s="66">
        <v>24</v>
      </c>
      <c r="CU184" s="66">
        <v>28</v>
      </c>
      <c r="CV184" s="66">
        <v>32</v>
      </c>
      <c r="CW184" s="66">
        <v>36</v>
      </c>
      <c r="CX184" s="66">
        <v>40</v>
      </c>
      <c r="CY184" s="66">
        <v>44</v>
      </c>
      <c r="CZ184" s="66">
        <v>48</v>
      </c>
      <c r="DA184" s="66">
        <v>52</v>
      </c>
      <c r="DB184" s="66"/>
      <c r="DC184" s="66" t="s">
        <v>72</v>
      </c>
      <c r="DD184" s="66">
        <v>0</v>
      </c>
      <c r="DE184" s="66">
        <v>8</v>
      </c>
      <c r="DF184" s="66">
        <v>12</v>
      </c>
      <c r="DG184" s="66">
        <v>16</v>
      </c>
      <c r="DH184" s="66">
        <v>20</v>
      </c>
      <c r="DI184" s="66">
        <v>24</v>
      </c>
      <c r="DJ184" s="66">
        <v>28</v>
      </c>
      <c r="DK184" s="66">
        <v>32</v>
      </c>
      <c r="DL184" s="66">
        <v>36</v>
      </c>
      <c r="DM184" s="66">
        <v>40</v>
      </c>
      <c r="DN184" s="66">
        <v>44</v>
      </c>
      <c r="DO184" s="66">
        <v>48</v>
      </c>
      <c r="DP184" s="66">
        <v>52</v>
      </c>
      <c r="DQ184" s="158"/>
      <c r="DR184" s="158">
        <v>6</v>
      </c>
      <c r="DS184" s="158"/>
      <c r="DT184" s="66" t="s">
        <v>232</v>
      </c>
      <c r="DU184" s="66">
        <v>0</v>
      </c>
      <c r="DV184" s="66">
        <v>8</v>
      </c>
      <c r="DW184" s="66">
        <v>12</v>
      </c>
      <c r="DX184" s="66">
        <v>16</v>
      </c>
      <c r="DY184" s="66">
        <v>20</v>
      </c>
      <c r="DZ184" s="66">
        <v>24</v>
      </c>
      <c r="EA184" s="66">
        <v>28</v>
      </c>
      <c r="EB184" s="66">
        <v>32</v>
      </c>
      <c r="EC184" s="66">
        <v>36</v>
      </c>
      <c r="ED184" s="66">
        <v>40</v>
      </c>
      <c r="EE184" s="66">
        <v>44</v>
      </c>
      <c r="EF184" s="66">
        <v>48</v>
      </c>
      <c r="EG184" s="66">
        <v>52</v>
      </c>
      <c r="EH184" s="67"/>
      <c r="EI184" s="64"/>
      <c r="EJ184" s="69"/>
      <c r="EK184" s="64"/>
      <c r="EL184" s="64"/>
      <c r="EM184" s="64" t="s">
        <v>405</v>
      </c>
      <c r="EN184" s="64"/>
      <c r="EO184" s="64"/>
      <c r="EP184" s="64"/>
      <c r="EQ184" s="64"/>
      <c r="ER184" s="64"/>
      <c r="ES184" s="64"/>
      <c r="ET184" s="64"/>
      <c r="EU184" s="64"/>
      <c r="EV184" s="64"/>
      <c r="EW184" s="64"/>
      <c r="EX184" s="64"/>
      <c r="EY184" s="64"/>
      <c r="EZ184" s="64"/>
      <c r="FA184" s="64"/>
      <c r="FB184" s="64"/>
      <c r="FC184" s="64"/>
      <c r="FD184" s="64"/>
      <c r="FE184" s="64"/>
      <c r="FF184" s="64"/>
      <c r="FG184" s="64"/>
      <c r="FH184" s="64"/>
      <c r="FI184" s="64"/>
      <c r="FJ184" s="64"/>
      <c r="FK184" s="64"/>
      <c r="FL184" s="64"/>
      <c r="FM184" s="64"/>
      <c r="FN184" s="64"/>
      <c r="FO184" s="64"/>
      <c r="FP184" s="64"/>
      <c r="FQ184" s="64"/>
      <c r="FR184" s="64"/>
      <c r="FS184" s="64"/>
      <c r="FT184" s="64"/>
      <c r="FU184" s="64"/>
      <c r="FV184" s="64"/>
      <c r="FW184" s="64"/>
      <c r="FX184" s="64"/>
      <c r="FY184" s="64"/>
      <c r="FZ184" s="64"/>
      <c r="GA184" s="64"/>
      <c r="GB184" s="64"/>
      <c r="GC184" s="64"/>
      <c r="GD184" s="64"/>
      <c r="GE184" s="64"/>
      <c r="GF184" s="64"/>
      <c r="GG184" s="64"/>
      <c r="GH184" s="64"/>
      <c r="GI184" s="64"/>
      <c r="GJ184" s="64"/>
      <c r="GK184" s="64"/>
      <c r="GL184" s="64"/>
      <c r="GM184" s="64"/>
      <c r="GN184" s="64"/>
      <c r="GO184" s="64"/>
      <c r="GP184" s="64"/>
      <c r="GQ184" s="64"/>
      <c r="GR184" s="64"/>
      <c r="GS184" s="64"/>
      <c r="GT184" s="64"/>
      <c r="GU184" s="64"/>
      <c r="GV184" s="64"/>
      <c r="GW184" s="64"/>
      <c r="GX184" s="64"/>
      <c r="GY184" s="64"/>
      <c r="GZ184" s="64"/>
      <c r="HA184" s="64"/>
      <c r="HB184" s="64"/>
      <c r="HC184" s="64"/>
      <c r="HD184" s="64"/>
      <c r="HE184" s="64"/>
      <c r="HF184" s="64"/>
      <c r="HG184" s="64"/>
      <c r="HH184" s="64"/>
      <c r="IT184" s="71"/>
    </row>
    <row r="185" spans="1:254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127</v>
      </c>
      <c r="M185" s="11">
        <f>INDEX(cenník!$C$2:$I$568,MATCH($L185,cenník!$B$2:$B$557,0),MATCH(M$2,cenník!$C$1:$I$1,0))</f>
        <v>890111</v>
      </c>
      <c r="N185" s="11" t="str">
        <f>INDEX(cenník!$C$2:$I$568,MATCH($L185,cenník!$B$2:$B$557,0),MATCH(N$2,cenník!$C$1:$I$1,0))</f>
        <v>100ks</v>
      </c>
      <c r="O185" s="11">
        <f>ROUNDUP((O163*4)/100,0)</f>
        <v>0</v>
      </c>
      <c r="P185" s="36">
        <f>INDEX(cenník!$C$2:$I$568,MATCH($L185,cenník!$B$2:$B$557,0),MATCH(P$2,cenník!$C$1:$I$1,0))</f>
        <v>60.37</v>
      </c>
      <c r="Q185" s="36">
        <f t="shared" si="385"/>
        <v>0</v>
      </c>
      <c r="R185" s="37">
        <f t="shared" si="360"/>
        <v>0</v>
      </c>
      <c r="S185" s="36">
        <f t="shared" si="361"/>
        <v>60.37</v>
      </c>
      <c r="T185" s="36">
        <f t="shared" si="386"/>
        <v>0</v>
      </c>
      <c r="U185" s="36">
        <f>INDEX(cenník!$C$2:$I$568,MATCH($L185,cenník!$B$2:$B$557,0),MATCH(U$2,cenník!$C$1:$I$1,0))*O185</f>
        <v>0</v>
      </c>
      <c r="V185" s="85"/>
      <c r="W185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64">
        <v>0</v>
      </c>
      <c r="Y185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64">
        <f t="shared" si="426"/>
        <v>0</v>
      </c>
      <c r="AB185" s="64">
        <f t="shared" si="427"/>
        <v>0</v>
      </c>
      <c r="AC185" s="64"/>
      <c r="AD185" s="64"/>
      <c r="AE185" s="64"/>
      <c r="AF185" s="64"/>
      <c r="AG185" s="64"/>
      <c r="AH185" s="64"/>
      <c r="AI185" s="64"/>
      <c r="AJ185" s="64"/>
      <c r="AK185" s="64"/>
      <c r="AL185" s="64"/>
      <c r="AM185" s="64"/>
      <c r="AN185" s="64"/>
      <c r="AO185" s="64"/>
      <c r="AP185" s="64"/>
      <c r="AQ185" s="64"/>
      <c r="AR185" s="72"/>
      <c r="AS185" s="72"/>
      <c r="AT185" s="72"/>
      <c r="AU185" s="72"/>
      <c r="AV185" s="72"/>
      <c r="AW185" s="72"/>
      <c r="AX185" s="72"/>
      <c r="AY185" s="89"/>
      <c r="BA185" s="87"/>
      <c r="BB185" s="72"/>
      <c r="BC185" s="72"/>
      <c r="BD185" s="72"/>
      <c r="BE185" s="72"/>
      <c r="BF185" s="72"/>
      <c r="BG185" s="64"/>
      <c r="BH185" s="69" t="s">
        <v>240</v>
      </c>
      <c r="BI185" s="64">
        <v>0</v>
      </c>
      <c r="BJ185" s="64">
        <v>5</v>
      </c>
      <c r="BK185" s="64">
        <v>0</v>
      </c>
      <c r="BL185" s="64">
        <v>5</v>
      </c>
      <c r="BM185" s="64">
        <v>10</v>
      </c>
      <c r="BN185" s="64">
        <v>5</v>
      </c>
      <c r="BO185" s="64">
        <v>10</v>
      </c>
      <c r="BP185" s="64">
        <v>5</v>
      </c>
      <c r="BQ185" s="64">
        <v>10</v>
      </c>
      <c r="BR185" s="64">
        <v>20</v>
      </c>
      <c r="BS185" s="64">
        <v>10</v>
      </c>
      <c r="BT185" s="64">
        <v>20</v>
      </c>
      <c r="BU185" s="64">
        <v>10</v>
      </c>
      <c r="BV185" s="64"/>
      <c r="BW185" s="64" t="s">
        <v>240</v>
      </c>
      <c r="BX185" s="64">
        <v>0</v>
      </c>
      <c r="BY185" s="64">
        <v>5</v>
      </c>
      <c r="BZ185" s="64">
        <v>0</v>
      </c>
      <c r="CA185" s="64">
        <v>5</v>
      </c>
      <c r="CB185" s="64">
        <v>0</v>
      </c>
      <c r="CC185" s="64">
        <v>5</v>
      </c>
      <c r="CD185" s="64">
        <v>15</v>
      </c>
      <c r="CE185" s="64">
        <v>10</v>
      </c>
      <c r="CF185" s="64">
        <v>0</v>
      </c>
      <c r="CG185" s="64">
        <v>10</v>
      </c>
      <c r="CH185" s="64">
        <v>20</v>
      </c>
      <c r="CI185" s="64">
        <v>25</v>
      </c>
      <c r="CJ185" s="64">
        <v>5</v>
      </c>
      <c r="CK185" s="64"/>
      <c r="CL185" s="64"/>
      <c r="CM185" s="64"/>
      <c r="CN185" s="64" t="s">
        <v>240</v>
      </c>
      <c r="CO185" s="64">
        <v>0</v>
      </c>
      <c r="CP185" s="64">
        <v>5</v>
      </c>
      <c r="CQ185" s="64">
        <v>0</v>
      </c>
      <c r="CR185" s="64">
        <v>10</v>
      </c>
      <c r="CS185" s="64">
        <v>0</v>
      </c>
      <c r="CT185" s="64">
        <v>10</v>
      </c>
      <c r="CU185" s="64">
        <v>5</v>
      </c>
      <c r="CV185" s="64">
        <v>15</v>
      </c>
      <c r="CW185" s="64">
        <v>10</v>
      </c>
      <c r="CX185" s="64">
        <v>0</v>
      </c>
      <c r="CY185" s="64">
        <v>25</v>
      </c>
      <c r="CZ185" s="64">
        <v>5</v>
      </c>
      <c r="DA185" s="64">
        <v>30</v>
      </c>
      <c r="DB185" s="64"/>
      <c r="DC185" s="64" t="s">
        <v>240</v>
      </c>
      <c r="DD185" s="64">
        <f>DD22/5*4</f>
        <v>0</v>
      </c>
      <c r="DE185" s="64">
        <v>5</v>
      </c>
      <c r="DF185" s="64">
        <v>0</v>
      </c>
      <c r="DG185" s="64">
        <v>10</v>
      </c>
      <c r="DH185" s="64">
        <v>5</v>
      </c>
      <c r="DI185" s="64">
        <v>15</v>
      </c>
      <c r="DJ185" s="64">
        <v>10</v>
      </c>
      <c r="DK185" s="64">
        <v>20</v>
      </c>
      <c r="DL185" s="64">
        <v>15</v>
      </c>
      <c r="DM185" s="64">
        <v>10</v>
      </c>
      <c r="DN185" s="64">
        <v>20</v>
      </c>
      <c r="DO185" s="64">
        <v>30</v>
      </c>
      <c r="DP185" s="64">
        <v>10</v>
      </c>
      <c r="DQ185" s="80"/>
      <c r="DR185" s="80">
        <v>12</v>
      </c>
      <c r="DS185" s="80"/>
      <c r="DT185" s="64" t="s">
        <v>240</v>
      </c>
      <c r="DU185" s="64">
        <v>0</v>
      </c>
      <c r="DV185" s="64">
        <v>0</v>
      </c>
      <c r="DW185" s="64">
        <v>5</v>
      </c>
      <c r="DX185" s="64">
        <v>0</v>
      </c>
      <c r="DY185" s="64">
        <v>10</v>
      </c>
      <c r="DZ185" s="64">
        <v>5</v>
      </c>
      <c r="EA185" s="64">
        <v>15</v>
      </c>
      <c r="EB185" s="64">
        <v>10</v>
      </c>
      <c r="EC185" s="64">
        <v>20</v>
      </c>
      <c r="ED185" s="64">
        <v>15</v>
      </c>
      <c r="EE185" s="64">
        <v>25</v>
      </c>
      <c r="EF185" s="64">
        <v>20</v>
      </c>
      <c r="EG185" s="64">
        <v>30</v>
      </c>
      <c r="EH185" s="70"/>
      <c r="EI185" s="64"/>
      <c r="EJ185" s="69"/>
      <c r="EK185" s="64"/>
      <c r="EL185" s="64"/>
      <c r="EM185" s="64"/>
      <c r="EN185" s="64"/>
      <c r="EO185" s="64"/>
      <c r="EP185" s="64"/>
      <c r="EQ185" s="64"/>
      <c r="ER185" s="64"/>
      <c r="ES185" s="64"/>
      <c r="ET185" s="64"/>
      <c r="EU185" s="64"/>
      <c r="EV185" s="64"/>
      <c r="EW185" s="64"/>
      <c r="EX185" s="64"/>
      <c r="EY185" s="64"/>
      <c r="EZ185" s="64"/>
      <c r="FA185" s="64"/>
      <c r="FB185" s="64"/>
      <c r="FC185" s="64"/>
      <c r="FD185" s="64"/>
      <c r="FE185" s="64"/>
      <c r="FF185" s="64"/>
      <c r="FG185" s="64"/>
      <c r="FH185" s="64"/>
      <c r="FI185" s="64"/>
      <c r="FJ185" s="64"/>
      <c r="FK185" s="64"/>
      <c r="FL185" s="64"/>
      <c r="FM185" s="64"/>
      <c r="FN185" s="64"/>
      <c r="FO185" s="64"/>
      <c r="FP185" s="64"/>
      <c r="FQ185" s="64"/>
      <c r="FR185" s="64"/>
      <c r="FS185" s="64"/>
      <c r="FT185" s="64"/>
      <c r="FU185" s="64"/>
      <c r="FV185" s="64"/>
      <c r="FW185" s="64"/>
      <c r="FX185" s="64"/>
      <c r="FY185" s="64"/>
      <c r="FZ185" s="64"/>
      <c r="GA185" s="64"/>
      <c r="GB185" s="64"/>
      <c r="GC185" s="64"/>
      <c r="GD185" s="64"/>
      <c r="GE185" s="64"/>
      <c r="GF185" s="64"/>
      <c r="GG185" s="64"/>
      <c r="GH185" s="64"/>
      <c r="GI185" s="64"/>
      <c r="GJ185" s="64"/>
      <c r="GK185" s="64"/>
      <c r="GL185" s="64"/>
      <c r="GM185" s="64"/>
      <c r="GN185" s="64"/>
      <c r="GO185" s="64"/>
      <c r="GP185" s="64"/>
      <c r="GQ185" s="64"/>
      <c r="GR185" s="64"/>
      <c r="GS185" s="64"/>
      <c r="GT185" s="64"/>
      <c r="GU185" s="64"/>
      <c r="GV185" s="64"/>
      <c r="GW185" s="64"/>
      <c r="GX185" s="64"/>
      <c r="GY185" s="64"/>
      <c r="GZ185" s="64"/>
      <c r="HA185" s="64"/>
      <c r="HB185" s="64"/>
      <c r="HC185" s="64"/>
      <c r="HD185" s="64"/>
      <c r="HE185" s="64"/>
      <c r="HF185" s="64"/>
      <c r="HG185" s="64"/>
      <c r="HH185" s="64"/>
      <c r="IT185" s="71"/>
    </row>
    <row r="186" spans="1:254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38" t="s">
        <v>336</v>
      </c>
      <c r="M186" s="11">
        <f>INDEX(cenník!$C$2:$I$568,MATCH($L186,cenník!$B$2:$B$557,0),MATCH(M$2,cenník!$C$1:$I$1,0))</f>
        <v>890504</v>
      </c>
      <c r="N186" s="11" t="str">
        <f>INDEX(cenník!$C$2:$I$568,MATCH($L186,cenník!$B$2:$B$557,0),MATCH(N$2,cenník!$C$1:$I$1,0))</f>
        <v>ks</v>
      </c>
      <c r="O186" s="11">
        <f>SUM(C162:C177)*8</f>
        <v>8</v>
      </c>
      <c r="P186" s="36">
        <f>INDEX(cenník!$C$2:$I$568,MATCH($L186,cenník!$B$2:$B$557,0),MATCH(P$2,cenník!$C$1:$I$1,0))</f>
        <v>1.59</v>
      </c>
      <c r="Q186" s="36">
        <f t="shared" si="385"/>
        <v>12.72</v>
      </c>
      <c r="R186" s="37">
        <f t="shared" si="360"/>
        <v>0</v>
      </c>
      <c r="S186" s="36">
        <f t="shared" si="361"/>
        <v>1.59</v>
      </c>
      <c r="T186" s="36">
        <f t="shared" ref="T186" si="432">O186*S186</f>
        <v>12.72</v>
      </c>
      <c r="U186" s="36">
        <f>INDEX(cenník!$C$2:$I$568,MATCH($L186,cenník!$B$2:$B$557,0),MATCH(U$2,cenník!$C$1:$I$1,0))*O186</f>
        <v>0.24</v>
      </c>
      <c r="V186" s="85"/>
      <c r="W186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64">
        <v>0</v>
      </c>
      <c r="Y186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64">
        <f t="shared" si="426"/>
        <v>0</v>
      </c>
      <c r="AB186" s="64">
        <f t="shared" si="427"/>
        <v>0</v>
      </c>
      <c r="AC186" s="64"/>
      <c r="AD186" s="64"/>
      <c r="AE186" s="64"/>
      <c r="AF186" s="64"/>
      <c r="AG186" s="64"/>
      <c r="AH186" s="64"/>
      <c r="AI186" s="64"/>
      <c r="AJ186" s="64"/>
      <c r="AK186" s="64"/>
      <c r="AL186" s="64"/>
      <c r="AM186" s="64"/>
      <c r="AN186" s="64"/>
      <c r="AO186" s="64"/>
      <c r="AP186" s="64"/>
      <c r="AQ186" s="64"/>
      <c r="AR186" s="82" t="s">
        <v>332</v>
      </c>
      <c r="AS186" s="85"/>
      <c r="AT186" s="85"/>
      <c r="AU186" s="85"/>
      <c r="AV186" s="64"/>
      <c r="AW186" s="64"/>
      <c r="AX186" s="64"/>
      <c r="AY186" s="86"/>
      <c r="AZ186" s="86"/>
      <c r="BA186" s="64"/>
      <c r="BB186" s="91" t="s">
        <v>332</v>
      </c>
      <c r="BG186" s="64"/>
      <c r="BH186" s="69" t="s">
        <v>241</v>
      </c>
      <c r="BI186" s="64">
        <v>0</v>
      </c>
      <c r="BJ186" s="64">
        <v>0</v>
      </c>
      <c r="BK186" s="64">
        <v>10</v>
      </c>
      <c r="BL186" s="64">
        <v>5</v>
      </c>
      <c r="BM186" s="64">
        <v>0</v>
      </c>
      <c r="BN186" s="64">
        <v>10</v>
      </c>
      <c r="BO186" s="64">
        <v>5</v>
      </c>
      <c r="BP186" s="64">
        <v>15</v>
      </c>
      <c r="BQ186" s="64">
        <v>10</v>
      </c>
      <c r="BR186" s="64">
        <v>0</v>
      </c>
      <c r="BS186" s="64">
        <v>15</v>
      </c>
      <c r="BT186" s="64">
        <v>5</v>
      </c>
      <c r="BU186" s="64">
        <v>20</v>
      </c>
      <c r="BV186" s="64"/>
      <c r="BW186" s="64" t="s">
        <v>241</v>
      </c>
      <c r="BX186" s="64">
        <v>0</v>
      </c>
      <c r="BY186" s="64">
        <v>0</v>
      </c>
      <c r="BZ186" s="64">
        <v>10</v>
      </c>
      <c r="CA186" s="64">
        <v>5</v>
      </c>
      <c r="CB186" s="64">
        <v>15</v>
      </c>
      <c r="CC186" s="64">
        <v>10</v>
      </c>
      <c r="CD186" s="64">
        <v>0</v>
      </c>
      <c r="CE186" s="64">
        <v>10</v>
      </c>
      <c r="CF186" s="64">
        <v>25</v>
      </c>
      <c r="CG186" s="64">
        <v>15</v>
      </c>
      <c r="CH186" s="64">
        <v>5</v>
      </c>
      <c r="CI186" s="64">
        <v>0</v>
      </c>
      <c r="CJ186" s="64">
        <v>30</v>
      </c>
      <c r="CK186" s="64"/>
      <c r="CL186" s="64"/>
      <c r="CM186" s="64"/>
      <c r="CN186" s="64" t="s">
        <v>241</v>
      </c>
      <c r="CO186" s="64">
        <v>0</v>
      </c>
      <c r="CP186" s="64">
        <v>0</v>
      </c>
      <c r="CQ186" s="64">
        <v>10</v>
      </c>
      <c r="CR186" s="64">
        <v>0</v>
      </c>
      <c r="CS186" s="64">
        <v>15</v>
      </c>
      <c r="CT186" s="64">
        <v>5</v>
      </c>
      <c r="CU186" s="64">
        <v>15</v>
      </c>
      <c r="CV186" s="64">
        <v>5</v>
      </c>
      <c r="CW186" s="64">
        <v>15</v>
      </c>
      <c r="CX186" s="64">
        <v>30</v>
      </c>
      <c r="CY186" s="64">
        <v>0</v>
      </c>
      <c r="CZ186" s="64">
        <v>30</v>
      </c>
      <c r="DA186" s="64">
        <v>0</v>
      </c>
      <c r="DB186" s="64"/>
      <c r="DC186" s="64" t="s">
        <v>241</v>
      </c>
      <c r="DD186" s="64">
        <f>DD23/5*4</f>
        <v>0</v>
      </c>
      <c r="DE186" s="64">
        <v>0</v>
      </c>
      <c r="DF186" s="64">
        <v>10</v>
      </c>
      <c r="DG186" s="64">
        <v>0</v>
      </c>
      <c r="DH186" s="64">
        <v>10</v>
      </c>
      <c r="DI186" s="64">
        <v>0</v>
      </c>
      <c r="DJ186" s="64">
        <v>10</v>
      </c>
      <c r="DK186" s="64">
        <v>0</v>
      </c>
      <c r="DL186" s="64">
        <v>10</v>
      </c>
      <c r="DM186" s="64">
        <v>20</v>
      </c>
      <c r="DN186" s="64">
        <v>10</v>
      </c>
      <c r="DO186" s="64">
        <v>0</v>
      </c>
      <c r="DP186" s="64">
        <v>30</v>
      </c>
      <c r="DQ186" s="80"/>
      <c r="DR186" s="80">
        <v>15</v>
      </c>
      <c r="DS186" s="80"/>
      <c r="DT186" s="64" t="s">
        <v>241</v>
      </c>
      <c r="DU186" s="64">
        <v>0</v>
      </c>
      <c r="DV186" s="64">
        <v>10</v>
      </c>
      <c r="DW186" s="64">
        <v>5</v>
      </c>
      <c r="DX186" s="64">
        <v>15</v>
      </c>
      <c r="DY186" s="64">
        <v>5</v>
      </c>
      <c r="DZ186" s="64">
        <v>15</v>
      </c>
      <c r="EA186" s="64">
        <v>5</v>
      </c>
      <c r="EB186" s="64">
        <v>15</v>
      </c>
      <c r="EC186" s="64">
        <v>5</v>
      </c>
      <c r="ED186" s="64">
        <v>15</v>
      </c>
      <c r="EE186" s="64">
        <v>5</v>
      </c>
      <c r="EF186" s="64">
        <v>15</v>
      </c>
      <c r="EG186" s="64">
        <v>5</v>
      </c>
      <c r="EH186" s="70"/>
      <c r="EI186" s="64"/>
      <c r="EJ186" s="69"/>
      <c r="EK186" s="64"/>
      <c r="EL186" s="64"/>
      <c r="EM186" s="64"/>
      <c r="EN186" s="64"/>
      <c r="EO186" s="64"/>
      <c r="EP186" s="64"/>
      <c r="EQ186" s="64"/>
      <c r="ER186" s="64"/>
      <c r="ES186" s="64"/>
      <c r="ET186" s="64"/>
      <c r="EU186" s="64"/>
      <c r="EV186" s="64"/>
      <c r="EW186" s="64"/>
      <c r="EX186" s="64"/>
      <c r="EY186" s="64"/>
      <c r="EZ186" s="64"/>
      <c r="FA186" s="64"/>
      <c r="FB186" s="64"/>
      <c r="FC186" s="64"/>
      <c r="FD186" s="64"/>
      <c r="FE186" s="64"/>
      <c r="FF186" s="64"/>
      <c r="FG186" s="64"/>
      <c r="FH186" s="64"/>
      <c r="FI186" s="64"/>
      <c r="FJ186" s="64"/>
      <c r="FK186" s="64"/>
      <c r="FL186" s="64"/>
      <c r="FM186" s="64"/>
      <c r="FN186" s="64"/>
      <c r="FO186" s="64"/>
      <c r="FP186" s="64"/>
      <c r="FQ186" s="64"/>
      <c r="FR186" s="64"/>
      <c r="FS186" s="64"/>
      <c r="FT186" s="64"/>
      <c r="FU186" s="64"/>
      <c r="FV186" s="64"/>
      <c r="FW186" s="64"/>
      <c r="FX186" s="64"/>
      <c r="FY186" s="64"/>
      <c r="FZ186" s="64"/>
      <c r="GA186" s="64"/>
      <c r="GB186" s="64"/>
      <c r="GC186" s="64"/>
      <c r="GD186" s="64"/>
      <c r="GE186" s="64"/>
      <c r="GF186" s="64"/>
      <c r="GG186" s="64"/>
      <c r="GH186" s="64"/>
      <c r="GI186" s="64"/>
      <c r="GJ186" s="64"/>
      <c r="GK186" s="64"/>
      <c r="GL186" s="64"/>
      <c r="GM186" s="64"/>
      <c r="GN186" s="64"/>
      <c r="GO186" s="64"/>
      <c r="GP186" s="64"/>
      <c r="GQ186" s="64"/>
      <c r="GR186" s="64"/>
      <c r="GS186" s="64"/>
      <c r="GT186" s="64"/>
      <c r="GU186" s="64"/>
      <c r="GV186" s="64"/>
      <c r="GW186" s="64"/>
      <c r="GX186" s="64"/>
      <c r="GY186" s="64"/>
      <c r="GZ186" s="64"/>
      <c r="HA186" s="64"/>
      <c r="HB186" s="64"/>
      <c r="HC186" s="64"/>
      <c r="HD186" s="64"/>
      <c r="HE186" s="64"/>
      <c r="HF186" s="64"/>
      <c r="HG186" s="64"/>
      <c r="HH186" s="64"/>
      <c r="IT186" s="71"/>
    </row>
    <row r="187" spans="1:254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514</v>
      </c>
      <c r="M187" s="11"/>
      <c r="N187" s="11"/>
      <c r="O187" s="11"/>
      <c r="P187" s="36"/>
      <c r="Q187" s="36"/>
      <c r="R187" s="37"/>
      <c r="S187" s="36"/>
      <c r="T187" s="36"/>
      <c r="U187" s="36"/>
      <c r="V187" s="85"/>
      <c r="W187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64">
        <v>0</v>
      </c>
      <c r="Y187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64">
        <f t="shared" si="426"/>
        <v>0</v>
      </c>
      <c r="AB187" s="64">
        <f t="shared" si="427"/>
        <v>0</v>
      </c>
      <c r="AC187" s="64"/>
      <c r="AD187" s="64"/>
      <c r="AE187" s="64"/>
      <c r="AF187" s="64"/>
      <c r="AG187" s="64"/>
      <c r="AH187" s="64"/>
      <c r="AI187" s="64"/>
      <c r="AJ187" s="64"/>
      <c r="AK187" s="64"/>
      <c r="AL187" s="64"/>
      <c r="AM187" s="64"/>
      <c r="AN187" s="64"/>
      <c r="AO187" s="64"/>
      <c r="AP187" s="64"/>
      <c r="AQ187" s="64"/>
      <c r="AR187" s="85">
        <v>30</v>
      </c>
      <c r="AS187" s="64" t="s">
        <v>515</v>
      </c>
      <c r="AT187" s="64" t="s">
        <v>516</v>
      </c>
      <c r="AU187" s="64" t="s">
        <v>483</v>
      </c>
      <c r="AV187" s="64" t="s">
        <v>517</v>
      </c>
      <c r="AW187" s="64"/>
      <c r="AX187" s="64"/>
      <c r="AY187" s="86"/>
      <c r="AZ187" s="86"/>
      <c r="BA187" s="64"/>
      <c r="BB187" s="68">
        <v>30</v>
      </c>
      <c r="BC187" s="64" t="s">
        <v>515</v>
      </c>
      <c r="BD187" s="64" t="s">
        <v>516</v>
      </c>
      <c r="BE187" s="64" t="s">
        <v>483</v>
      </c>
      <c r="BF187" s="64" t="s">
        <v>517</v>
      </c>
      <c r="BG187" s="64"/>
      <c r="BH187" s="72" t="s">
        <v>364</v>
      </c>
      <c r="BI187" s="64">
        <f>IF(SUM(BI185:BI186)&lt;6,0,IF(SUM(BI185:BI186)&gt;7,SUM(BI185:BI186)-5,0))</f>
        <v>0</v>
      </c>
      <c r="BJ187" s="64">
        <f>IF(SUM(BJ185:BJ186)&lt;6,0,IF(SUM(BJ185:BJ186)&gt;7,SUM(BJ185:BJ186)-5,0))</f>
        <v>0</v>
      </c>
      <c r="BK187" s="64">
        <f t="shared" ref="BK187:BU187" si="433">IF(SUM(BK185:BK186)&lt;6,0,IF(SUM(BK185:BK186)&gt;7,SUM(BK185:BK186)-5,0))</f>
        <v>5</v>
      </c>
      <c r="BL187" s="64">
        <f t="shared" si="433"/>
        <v>5</v>
      </c>
      <c r="BM187" s="64">
        <f t="shared" si="433"/>
        <v>5</v>
      </c>
      <c r="BN187" s="64">
        <f t="shared" si="433"/>
        <v>10</v>
      </c>
      <c r="BO187" s="64">
        <f t="shared" si="433"/>
        <v>10</v>
      </c>
      <c r="BP187" s="64">
        <f t="shared" si="433"/>
        <v>15</v>
      </c>
      <c r="BQ187" s="64">
        <f t="shared" si="433"/>
        <v>15</v>
      </c>
      <c r="BR187" s="64">
        <f t="shared" si="433"/>
        <v>15</v>
      </c>
      <c r="BS187" s="64">
        <f t="shared" si="433"/>
        <v>20</v>
      </c>
      <c r="BT187" s="64">
        <f t="shared" si="433"/>
        <v>20</v>
      </c>
      <c r="BU187" s="64">
        <f t="shared" si="433"/>
        <v>25</v>
      </c>
      <c r="BV187" s="64"/>
      <c r="BW187" s="72" t="s">
        <v>364</v>
      </c>
      <c r="BX187" s="64">
        <f>IF(SUM(BX185:BX186)&lt;6,0,IF(SUM(BX185:BX186)&gt;7,SUM(BX185:BX186)-5,0))</f>
        <v>0</v>
      </c>
      <c r="BY187" s="64">
        <f t="shared" ref="BY187:CJ187" si="434">IF(SUM(BY185:BY186)&lt;6,0,IF(SUM(BY185:BY186)&gt;7,SUM(BY185:BY186)-5,0))</f>
        <v>0</v>
      </c>
      <c r="BZ187" s="64">
        <f t="shared" si="434"/>
        <v>5</v>
      </c>
      <c r="CA187" s="64">
        <f t="shared" si="434"/>
        <v>5</v>
      </c>
      <c r="CB187" s="64">
        <f t="shared" si="434"/>
        <v>10</v>
      </c>
      <c r="CC187" s="64">
        <f t="shared" si="434"/>
        <v>10</v>
      </c>
      <c r="CD187" s="64">
        <f t="shared" si="434"/>
        <v>10</v>
      </c>
      <c r="CE187" s="64">
        <f t="shared" si="434"/>
        <v>15</v>
      </c>
      <c r="CF187" s="64">
        <f t="shared" si="434"/>
        <v>20</v>
      </c>
      <c r="CG187" s="64">
        <f t="shared" si="434"/>
        <v>20</v>
      </c>
      <c r="CH187" s="64">
        <f t="shared" si="434"/>
        <v>20</v>
      </c>
      <c r="CI187" s="64">
        <f t="shared" si="434"/>
        <v>20</v>
      </c>
      <c r="CJ187" s="64">
        <f t="shared" si="434"/>
        <v>30</v>
      </c>
      <c r="CK187" s="64"/>
      <c r="CL187" s="64"/>
      <c r="CM187" s="64"/>
      <c r="CN187" s="72" t="s">
        <v>364</v>
      </c>
      <c r="CO187" s="64">
        <f>IF(SUM(CO185:CO186)&lt;6,0,IF(SUM(CO185:CO186)&gt;7,SUM(CO185:CO186)-5,0))</f>
        <v>0</v>
      </c>
      <c r="CP187" s="64">
        <f t="shared" ref="CP187:DA187" si="435">IF(SUM(CP185:CP186)&lt;6,0,IF(SUM(CP185:CP186)&gt;7,SUM(CP185:CP186)-5,0))</f>
        <v>0</v>
      </c>
      <c r="CQ187" s="64">
        <f t="shared" si="435"/>
        <v>5</v>
      </c>
      <c r="CR187" s="64">
        <f t="shared" si="435"/>
        <v>5</v>
      </c>
      <c r="CS187" s="64">
        <f t="shared" si="435"/>
        <v>10</v>
      </c>
      <c r="CT187" s="64">
        <f t="shared" si="435"/>
        <v>10</v>
      </c>
      <c r="CU187" s="64">
        <f t="shared" si="435"/>
        <v>15</v>
      </c>
      <c r="CV187" s="64">
        <f t="shared" si="435"/>
        <v>15</v>
      </c>
      <c r="CW187" s="64">
        <f t="shared" si="435"/>
        <v>20</v>
      </c>
      <c r="CX187" s="64">
        <f t="shared" si="435"/>
        <v>25</v>
      </c>
      <c r="CY187" s="64">
        <f t="shared" si="435"/>
        <v>20</v>
      </c>
      <c r="CZ187" s="64">
        <f t="shared" si="435"/>
        <v>30</v>
      </c>
      <c r="DA187" s="64">
        <f t="shared" si="435"/>
        <v>25</v>
      </c>
      <c r="DB187" s="64"/>
      <c r="DC187" s="72" t="s">
        <v>364</v>
      </c>
      <c r="DD187" s="64">
        <f>IF(SUM(DD185:DD186)&lt;6,0,IF(SUM(DD185:DD186)&gt;7,SUM(DD185:DD186)-5,0))</f>
        <v>0</v>
      </c>
      <c r="DE187" s="64">
        <f t="shared" ref="DE187:DP187" si="436">IF(SUM(DE185:DE186)&lt;6,0,IF(SUM(DE185:DE186)&gt;7,SUM(DE185:DE186)-5,0))</f>
        <v>0</v>
      </c>
      <c r="DF187" s="64">
        <f t="shared" si="436"/>
        <v>5</v>
      </c>
      <c r="DG187" s="64">
        <f t="shared" si="436"/>
        <v>5</v>
      </c>
      <c r="DH187" s="64">
        <f t="shared" si="436"/>
        <v>10</v>
      </c>
      <c r="DI187" s="64">
        <f t="shared" si="436"/>
        <v>10</v>
      </c>
      <c r="DJ187" s="64">
        <f t="shared" si="436"/>
        <v>15</v>
      </c>
      <c r="DK187" s="64">
        <f t="shared" si="436"/>
        <v>15</v>
      </c>
      <c r="DL187" s="64">
        <f t="shared" si="436"/>
        <v>20</v>
      </c>
      <c r="DM187" s="64">
        <f t="shared" si="436"/>
        <v>25</v>
      </c>
      <c r="DN187" s="64">
        <f t="shared" si="436"/>
        <v>25</v>
      </c>
      <c r="DO187" s="64">
        <f t="shared" si="436"/>
        <v>25</v>
      </c>
      <c r="DP187" s="64">
        <f t="shared" si="436"/>
        <v>35</v>
      </c>
      <c r="DQ187" s="80"/>
      <c r="DR187" s="80">
        <v>18</v>
      </c>
      <c r="DS187" s="80"/>
      <c r="DT187" s="72" t="s">
        <v>364</v>
      </c>
      <c r="DU187" s="64">
        <f>IF(SUM(DU185:DU186)&lt;6,0,IF(SUM(DU185:DU186)&gt;7,SUM(DU185:DU186)-5,0))</f>
        <v>0</v>
      </c>
      <c r="DV187" s="64">
        <f t="shared" ref="DV187:EG187" si="437">IF(SUM(DV185:DV186)&lt;6,0,IF(SUM(DV185:DV186)&gt;7,SUM(DV185:DV186)-5,0))</f>
        <v>5</v>
      </c>
      <c r="DW187" s="64">
        <f t="shared" si="437"/>
        <v>5</v>
      </c>
      <c r="DX187" s="64">
        <f t="shared" si="437"/>
        <v>10</v>
      </c>
      <c r="DY187" s="64">
        <f t="shared" si="437"/>
        <v>10</v>
      </c>
      <c r="DZ187" s="64">
        <f t="shared" si="437"/>
        <v>15</v>
      </c>
      <c r="EA187" s="64">
        <f t="shared" si="437"/>
        <v>15</v>
      </c>
      <c r="EB187" s="64">
        <f t="shared" si="437"/>
        <v>20</v>
      </c>
      <c r="EC187" s="64">
        <f t="shared" si="437"/>
        <v>20</v>
      </c>
      <c r="ED187" s="64">
        <f t="shared" si="437"/>
        <v>25</v>
      </c>
      <c r="EE187" s="64">
        <f t="shared" si="437"/>
        <v>25</v>
      </c>
      <c r="EF187" s="64">
        <f t="shared" si="437"/>
        <v>30</v>
      </c>
      <c r="EG187" s="64">
        <f t="shared" si="437"/>
        <v>30</v>
      </c>
      <c r="EH187" s="70"/>
      <c r="EI187" s="64"/>
      <c r="EJ187" s="69"/>
      <c r="EK187" s="64" t="s">
        <v>59</v>
      </c>
      <c r="EL187" s="64">
        <v>0</v>
      </c>
      <c r="EM187" s="64">
        <v>6</v>
      </c>
      <c r="EN187" s="64">
        <v>8</v>
      </c>
      <c r="EO187" s="64">
        <v>10</v>
      </c>
      <c r="EP187" s="64">
        <v>12</v>
      </c>
      <c r="EQ187" s="64">
        <v>14</v>
      </c>
      <c r="ER187" s="64">
        <v>16</v>
      </c>
      <c r="ES187" s="64">
        <v>18</v>
      </c>
      <c r="ET187" s="64">
        <v>20</v>
      </c>
      <c r="EU187" s="64">
        <v>22</v>
      </c>
      <c r="EV187" s="64">
        <v>24</v>
      </c>
      <c r="EW187" s="64">
        <v>26</v>
      </c>
      <c r="EX187" s="64">
        <v>28</v>
      </c>
      <c r="EY187" s="64">
        <v>30</v>
      </c>
      <c r="EZ187" s="64">
        <v>32</v>
      </c>
      <c r="FA187" s="64">
        <v>34</v>
      </c>
      <c r="FB187" s="64">
        <v>36</v>
      </c>
      <c r="FC187" s="64">
        <v>38</v>
      </c>
      <c r="FD187" s="64">
        <v>40</v>
      </c>
      <c r="FE187" s="64">
        <v>42</v>
      </c>
      <c r="FF187" s="64">
        <v>44</v>
      </c>
      <c r="FG187" s="64">
        <v>46</v>
      </c>
      <c r="FH187" s="64">
        <v>48</v>
      </c>
      <c r="FI187" s="64">
        <v>50</v>
      </c>
      <c r="FJ187" s="64"/>
      <c r="FK187" s="64" t="s">
        <v>199</v>
      </c>
      <c r="FL187" s="64">
        <v>0</v>
      </c>
      <c r="FM187" s="64">
        <v>6</v>
      </c>
      <c r="FN187" s="64">
        <v>8</v>
      </c>
      <c r="FO187" s="64">
        <v>10</v>
      </c>
      <c r="FP187" s="64">
        <v>12</v>
      </c>
      <c r="FQ187" s="64">
        <v>14</v>
      </c>
      <c r="FR187" s="64">
        <v>16</v>
      </c>
      <c r="FS187" s="64">
        <v>18</v>
      </c>
      <c r="FT187" s="64">
        <v>20</v>
      </c>
      <c r="FU187" s="64">
        <v>22</v>
      </c>
      <c r="FV187" s="64">
        <v>24</v>
      </c>
      <c r="FW187" s="64">
        <v>26</v>
      </c>
      <c r="FX187" s="64">
        <v>28</v>
      </c>
      <c r="FY187" s="64">
        <v>30</v>
      </c>
      <c r="FZ187" s="64">
        <v>32</v>
      </c>
      <c r="GA187" s="64">
        <v>34</v>
      </c>
      <c r="GB187" s="64">
        <v>36</v>
      </c>
      <c r="GC187" s="64">
        <v>38</v>
      </c>
      <c r="GD187" s="64">
        <v>40</v>
      </c>
      <c r="GE187" s="64">
        <v>42</v>
      </c>
      <c r="GF187" s="64">
        <v>44</v>
      </c>
      <c r="GG187" s="64">
        <v>46</v>
      </c>
      <c r="GH187" s="64">
        <v>48</v>
      </c>
      <c r="GI187" s="64">
        <v>50</v>
      </c>
      <c r="GJ187" s="64"/>
      <c r="GK187" s="64"/>
      <c r="GL187" s="64"/>
      <c r="GM187" s="64"/>
      <c r="GN187" s="64"/>
      <c r="GO187" s="64"/>
      <c r="GP187" s="64"/>
      <c r="GQ187" s="64"/>
      <c r="GR187" s="64" t="s">
        <v>329</v>
      </c>
      <c r="GS187" s="64">
        <v>0</v>
      </c>
      <c r="GT187" s="64">
        <v>6</v>
      </c>
      <c r="GU187" s="64">
        <v>8</v>
      </c>
      <c r="GV187" s="64">
        <v>10</v>
      </c>
      <c r="GW187" s="64">
        <v>12</v>
      </c>
      <c r="GX187" s="64">
        <v>14</v>
      </c>
      <c r="GY187" s="64">
        <v>16</v>
      </c>
      <c r="GZ187" s="64">
        <v>18</v>
      </c>
      <c r="HA187" s="64">
        <v>20</v>
      </c>
      <c r="HB187" s="64">
        <v>22</v>
      </c>
      <c r="HC187" s="64">
        <v>24</v>
      </c>
      <c r="HD187" s="64">
        <v>26</v>
      </c>
      <c r="HE187" s="64">
        <v>28</v>
      </c>
      <c r="HF187" s="64">
        <v>30</v>
      </c>
      <c r="HG187" s="64">
        <v>32</v>
      </c>
      <c r="HH187" s="64">
        <v>34</v>
      </c>
      <c r="HI187" s="68">
        <v>36</v>
      </c>
      <c r="HJ187" s="68">
        <v>38</v>
      </c>
      <c r="HK187" s="68">
        <v>40</v>
      </c>
      <c r="HL187" s="68">
        <v>42</v>
      </c>
      <c r="HM187" s="68">
        <v>44</v>
      </c>
      <c r="HN187" s="68">
        <v>46</v>
      </c>
      <c r="HO187" s="68">
        <v>48</v>
      </c>
      <c r="HP187" s="68">
        <v>50</v>
      </c>
      <c r="HS187" s="68" t="s">
        <v>331</v>
      </c>
      <c r="HT187" s="68">
        <v>0</v>
      </c>
      <c r="HU187" s="68">
        <v>6</v>
      </c>
      <c r="HV187" s="68">
        <v>8</v>
      </c>
      <c r="HW187" s="68">
        <v>10</v>
      </c>
      <c r="HX187" s="68">
        <v>12</v>
      </c>
      <c r="HY187" s="68">
        <v>14</v>
      </c>
      <c r="HZ187" s="68">
        <v>16</v>
      </c>
      <c r="IA187" s="68">
        <v>18</v>
      </c>
      <c r="IB187" s="68">
        <v>20</v>
      </c>
      <c r="IC187" s="68">
        <v>22</v>
      </c>
      <c r="ID187" s="68">
        <v>24</v>
      </c>
      <c r="IE187" s="68">
        <v>26</v>
      </c>
      <c r="IF187" s="68">
        <v>28</v>
      </c>
      <c r="IG187" s="68">
        <v>30</v>
      </c>
      <c r="IH187" s="68">
        <v>32</v>
      </c>
      <c r="II187" s="68">
        <v>34</v>
      </c>
      <c r="IJ187" s="68">
        <v>36</v>
      </c>
      <c r="IK187" s="68">
        <v>38</v>
      </c>
      <c r="IL187" s="68">
        <v>40</v>
      </c>
      <c r="IM187" s="68">
        <v>42</v>
      </c>
      <c r="IN187" s="68">
        <v>44</v>
      </c>
      <c r="IO187" s="68">
        <v>46</v>
      </c>
      <c r="IP187" s="68">
        <v>48</v>
      </c>
      <c r="IQ187" s="68">
        <v>50</v>
      </c>
      <c r="IT187" s="71"/>
    </row>
    <row r="188" spans="1:254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>
        <f>INDEX(cenník!$C$2:$I$568,MATCH($L188,cenník!$B$2:$B$557,0),MATCH(M$2,cenník!$C$1:$I$1,0))</f>
        <v>867824</v>
      </c>
      <c r="N188" s="11" t="str">
        <f>INDEX(cenník!$C$2:$I$568,MATCH($L188,cenník!$B$2:$B$557,0),MATCH(N$2,cenník!$C$1:$I$1,0))</f>
        <v>ks</v>
      </c>
      <c r="O188" s="11">
        <f>E166*2</f>
        <v>2</v>
      </c>
      <c r="P188" s="36">
        <f>INDEX(cenník!$C$2:$I$568,MATCH($L188,cenník!$B$2:$B$557,0),MATCH(P$2,cenník!$C$1:$I$1,0))</f>
        <v>41.99</v>
      </c>
      <c r="Q188" s="36">
        <f>O188*P188</f>
        <v>83.98</v>
      </c>
      <c r="R188" s="37">
        <f>$E$167</f>
        <v>0</v>
      </c>
      <c r="S188" s="36">
        <f>P188*((100-$E$167)/100)</f>
        <v>41.99</v>
      </c>
      <c r="T188" s="36">
        <f>O188*S188</f>
        <v>83.98</v>
      </c>
      <c r="U188" s="36">
        <f>INDEX(cenník!$C$2:$I$568,MATCH($L188,cenník!$B$2:$B$557,0),MATCH(U$2,cenník!$C$1:$I$1,0))*O188</f>
        <v>17.62</v>
      </c>
      <c r="V188" s="85"/>
      <c r="W188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64">
        <v>0</v>
      </c>
      <c r="Y188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64">
        <f t="shared" si="426"/>
        <v>0</v>
      </c>
      <c r="AB188" s="64">
        <f t="shared" si="427"/>
        <v>0</v>
      </c>
      <c r="AC188" s="64"/>
      <c r="AD188" s="64"/>
      <c r="AE188" s="64"/>
      <c r="AF188" s="64"/>
      <c r="AG188" s="64"/>
      <c r="AH188" s="64"/>
      <c r="AI188" s="64"/>
      <c r="AJ188" s="64"/>
      <c r="AK188" s="64"/>
      <c r="AL188" s="64"/>
      <c r="AM188" s="64"/>
      <c r="AN188" s="64"/>
      <c r="AO188" s="64"/>
      <c r="AP188" s="64"/>
      <c r="AQ188" s="64"/>
      <c r="AR188" s="85" t="s">
        <v>59</v>
      </c>
      <c r="AS188" s="85" t="s">
        <v>295</v>
      </c>
      <c r="AT188" s="85" t="s">
        <v>294</v>
      </c>
      <c r="AU188" s="85" t="s">
        <v>292</v>
      </c>
      <c r="AV188" s="64" t="s">
        <v>292</v>
      </c>
      <c r="AW188" s="64"/>
      <c r="AX188" s="64"/>
      <c r="AY188" s="72"/>
      <c r="AZ188" s="72"/>
      <c r="BA188" s="64"/>
      <c r="BB188" s="68" t="s">
        <v>59</v>
      </c>
      <c r="BC188" s="68" t="s">
        <v>84</v>
      </c>
      <c r="BD188" s="68" t="s">
        <v>84</v>
      </c>
      <c r="BE188" s="68" t="s">
        <v>84</v>
      </c>
      <c r="BF188" s="68" t="s">
        <v>84</v>
      </c>
      <c r="BG188" s="64"/>
      <c r="BH188" s="69"/>
      <c r="BI188" s="64"/>
      <c r="BJ188" s="64"/>
      <c r="BK188" s="64"/>
      <c r="BL188" s="64"/>
      <c r="BM188" s="64"/>
      <c r="BN188" s="64"/>
      <c r="BO188" s="64"/>
      <c r="BP188" s="64"/>
      <c r="BQ188" s="64"/>
      <c r="BR188" s="64"/>
      <c r="BS188" s="64"/>
      <c r="BT188" s="64"/>
      <c r="BU188" s="64"/>
      <c r="BV188" s="64"/>
      <c r="BW188" s="64"/>
      <c r="BX188" s="64"/>
      <c r="BY188" s="64"/>
      <c r="BZ188" s="64"/>
      <c r="CA188" s="64"/>
      <c r="CB188" s="64"/>
      <c r="CC188" s="64"/>
      <c r="CD188" s="64"/>
      <c r="CE188" s="64"/>
      <c r="CF188" s="64"/>
      <c r="CG188" s="64"/>
      <c r="CH188" s="64"/>
      <c r="CI188" s="64"/>
      <c r="CJ188" s="64"/>
      <c r="CK188" s="64"/>
      <c r="CL188" s="64"/>
      <c r="CM188" s="64"/>
      <c r="CN188" s="64"/>
      <c r="CO188" s="64"/>
      <c r="CP188" s="64"/>
      <c r="CQ188" s="64"/>
      <c r="CR188" s="64"/>
      <c r="CS188" s="64"/>
      <c r="CT188" s="64"/>
      <c r="CU188" s="64"/>
      <c r="CV188" s="64"/>
      <c r="CW188" s="64"/>
      <c r="CX188" s="64"/>
      <c r="CY188" s="64"/>
      <c r="CZ188" s="64"/>
      <c r="DA188" s="64"/>
      <c r="DB188" s="64"/>
      <c r="DC188" s="64"/>
      <c r="DD188" s="64"/>
      <c r="DE188" s="64"/>
      <c r="DF188" s="64"/>
      <c r="DG188" s="64"/>
      <c r="DH188" s="64"/>
      <c r="DI188" s="64"/>
      <c r="DJ188" s="64"/>
      <c r="DK188" s="64"/>
      <c r="DL188" s="64"/>
      <c r="DM188" s="64"/>
      <c r="DN188" s="64"/>
      <c r="DO188" s="64"/>
      <c r="DP188" s="64"/>
      <c r="DQ188" s="80"/>
      <c r="DR188" s="80">
        <v>21</v>
      </c>
      <c r="DS188" s="80"/>
      <c r="DT188" s="64"/>
      <c r="DU188" s="64"/>
      <c r="DV188" s="64"/>
      <c r="DW188" s="64"/>
      <c r="DX188" s="64"/>
      <c r="DY188" s="64"/>
      <c r="DZ188" s="64"/>
      <c r="EA188" s="64"/>
      <c r="EB188" s="64"/>
      <c r="EC188" s="64"/>
      <c r="ED188" s="64"/>
      <c r="EE188" s="64"/>
      <c r="EF188" s="64"/>
      <c r="EG188" s="64"/>
      <c r="EH188" s="70"/>
      <c r="EI188" s="64"/>
      <c r="EJ188" s="69"/>
      <c r="EK188" s="68" t="s">
        <v>375</v>
      </c>
      <c r="EL188" s="64">
        <f>EL85</f>
        <v>0</v>
      </c>
      <c r="EM188" s="64">
        <f t="shared" ref="EM188:FI188" si="438">EM85</f>
        <v>0</v>
      </c>
      <c r="EN188" s="64">
        <f t="shared" si="438"/>
        <v>0</v>
      </c>
      <c r="EO188" s="64">
        <f t="shared" si="438"/>
        <v>4</v>
      </c>
      <c r="EP188" s="64">
        <f t="shared" si="438"/>
        <v>0</v>
      </c>
      <c r="EQ188" s="64">
        <f t="shared" si="438"/>
        <v>0</v>
      </c>
      <c r="ER188" s="64">
        <f t="shared" si="438"/>
        <v>0</v>
      </c>
      <c r="ES188" s="64">
        <f t="shared" si="438"/>
        <v>0</v>
      </c>
      <c r="ET188" s="64">
        <f t="shared" si="438"/>
        <v>0</v>
      </c>
      <c r="EU188" s="64">
        <f t="shared" si="438"/>
        <v>0</v>
      </c>
      <c r="EV188" s="64">
        <f t="shared" si="438"/>
        <v>0</v>
      </c>
      <c r="EW188" s="64">
        <f t="shared" si="438"/>
        <v>0</v>
      </c>
      <c r="EX188" s="64">
        <f t="shared" si="438"/>
        <v>0</v>
      </c>
      <c r="EY188" s="64">
        <f t="shared" si="438"/>
        <v>0</v>
      </c>
      <c r="EZ188" s="64">
        <f t="shared" si="438"/>
        <v>0</v>
      </c>
      <c r="FA188" s="64">
        <f t="shared" si="438"/>
        <v>0</v>
      </c>
      <c r="FB188" s="64">
        <f t="shared" si="438"/>
        <v>0</v>
      </c>
      <c r="FC188" s="64">
        <f t="shared" si="438"/>
        <v>0</v>
      </c>
      <c r="FD188" s="64">
        <f t="shared" si="438"/>
        <v>0</v>
      </c>
      <c r="FE188" s="64">
        <f t="shared" si="438"/>
        <v>0</v>
      </c>
      <c r="FF188" s="64">
        <f t="shared" si="438"/>
        <v>0</v>
      </c>
      <c r="FG188" s="64">
        <f t="shared" si="438"/>
        <v>0</v>
      </c>
      <c r="FH188" s="64">
        <f t="shared" si="438"/>
        <v>0</v>
      </c>
      <c r="FI188" s="64">
        <f t="shared" si="438"/>
        <v>0</v>
      </c>
      <c r="FK188" s="68" t="s">
        <v>375</v>
      </c>
      <c r="FL188" s="64">
        <f>FL85</f>
        <v>0</v>
      </c>
      <c r="FM188" s="64">
        <f t="shared" ref="FM188:GI188" si="439">FM85</f>
        <v>0</v>
      </c>
      <c r="FN188" s="64">
        <f t="shared" si="439"/>
        <v>4</v>
      </c>
      <c r="FO188" s="64">
        <f t="shared" si="439"/>
        <v>4</v>
      </c>
      <c r="FP188" s="64">
        <f t="shared" si="439"/>
        <v>0</v>
      </c>
      <c r="FQ188" s="64">
        <f t="shared" si="439"/>
        <v>0</v>
      </c>
      <c r="FR188" s="64">
        <f t="shared" si="439"/>
        <v>0</v>
      </c>
      <c r="FS188" s="64">
        <f t="shared" si="439"/>
        <v>0</v>
      </c>
      <c r="FT188" s="64">
        <f t="shared" si="439"/>
        <v>0</v>
      </c>
      <c r="FU188" s="64">
        <f t="shared" si="439"/>
        <v>0</v>
      </c>
      <c r="FV188" s="64">
        <f t="shared" si="439"/>
        <v>0</v>
      </c>
      <c r="FW188" s="64">
        <f t="shared" si="439"/>
        <v>0</v>
      </c>
      <c r="FX188" s="64">
        <f t="shared" si="439"/>
        <v>0</v>
      </c>
      <c r="FY188" s="64">
        <f t="shared" si="439"/>
        <v>0</v>
      </c>
      <c r="FZ188" s="64">
        <f t="shared" si="439"/>
        <v>0</v>
      </c>
      <c r="GA188" s="64">
        <f t="shared" si="439"/>
        <v>0</v>
      </c>
      <c r="GB188" s="64">
        <f t="shared" si="439"/>
        <v>0</v>
      </c>
      <c r="GC188" s="64">
        <f t="shared" si="439"/>
        <v>0</v>
      </c>
      <c r="GD188" s="64">
        <f t="shared" si="439"/>
        <v>0</v>
      </c>
      <c r="GE188" s="64">
        <f t="shared" si="439"/>
        <v>0</v>
      </c>
      <c r="GF188" s="64">
        <f t="shared" si="439"/>
        <v>0</v>
      </c>
      <c r="GG188" s="64">
        <f t="shared" si="439"/>
        <v>0</v>
      </c>
      <c r="GH188" s="64">
        <f t="shared" si="439"/>
        <v>0</v>
      </c>
      <c r="GI188" s="64">
        <f t="shared" si="439"/>
        <v>0</v>
      </c>
      <c r="GJ188" s="64"/>
      <c r="GK188" s="64"/>
      <c r="GL188" s="64"/>
      <c r="GM188" s="64"/>
      <c r="GN188" s="64"/>
      <c r="GO188" s="64"/>
      <c r="GP188" s="64"/>
      <c r="GQ188" s="64"/>
      <c r="GR188" s="68" t="s">
        <v>375</v>
      </c>
      <c r="GS188" s="64">
        <f>GS85</f>
        <v>0</v>
      </c>
      <c r="GT188" s="64">
        <f t="shared" ref="GT188:HP188" si="440">GT85</f>
        <v>0</v>
      </c>
      <c r="GU188" s="64">
        <f t="shared" si="440"/>
        <v>4</v>
      </c>
      <c r="GV188" s="64">
        <f t="shared" si="440"/>
        <v>4</v>
      </c>
      <c r="GW188" s="64">
        <f t="shared" si="440"/>
        <v>0</v>
      </c>
      <c r="GX188" s="64">
        <f t="shared" si="440"/>
        <v>0</v>
      </c>
      <c r="GY188" s="64">
        <f t="shared" si="440"/>
        <v>0</v>
      </c>
      <c r="GZ188" s="64">
        <f t="shared" si="440"/>
        <v>0</v>
      </c>
      <c r="HA188" s="64">
        <f t="shared" si="440"/>
        <v>0</v>
      </c>
      <c r="HB188" s="64">
        <f t="shared" si="440"/>
        <v>0</v>
      </c>
      <c r="HC188" s="64">
        <f t="shared" si="440"/>
        <v>0</v>
      </c>
      <c r="HD188" s="64">
        <f t="shared" si="440"/>
        <v>0</v>
      </c>
      <c r="HE188" s="64">
        <f t="shared" si="440"/>
        <v>0</v>
      </c>
      <c r="HF188" s="64">
        <f t="shared" si="440"/>
        <v>0</v>
      </c>
      <c r="HG188" s="64">
        <f t="shared" si="440"/>
        <v>0</v>
      </c>
      <c r="HH188" s="64">
        <f t="shared" si="440"/>
        <v>0</v>
      </c>
      <c r="HI188" s="64">
        <f t="shared" si="440"/>
        <v>0</v>
      </c>
      <c r="HJ188" s="64">
        <f t="shared" si="440"/>
        <v>0</v>
      </c>
      <c r="HK188" s="64">
        <f t="shared" si="440"/>
        <v>0</v>
      </c>
      <c r="HL188" s="64">
        <f t="shared" si="440"/>
        <v>0</v>
      </c>
      <c r="HM188" s="64">
        <f t="shared" si="440"/>
        <v>0</v>
      </c>
      <c r="HN188" s="64">
        <f t="shared" si="440"/>
        <v>0</v>
      </c>
      <c r="HO188" s="64">
        <f t="shared" si="440"/>
        <v>0</v>
      </c>
      <c r="HP188" s="64">
        <f t="shared" si="440"/>
        <v>0</v>
      </c>
      <c r="HS188" s="68" t="s">
        <v>375</v>
      </c>
      <c r="HT188" s="64">
        <f>HT85</f>
        <v>0</v>
      </c>
      <c r="HU188" s="64">
        <f t="shared" ref="HU188:IQ188" si="441">HU85</f>
        <v>0</v>
      </c>
      <c r="HV188" s="64">
        <f t="shared" si="441"/>
        <v>4</v>
      </c>
      <c r="HW188" s="64">
        <f t="shared" si="441"/>
        <v>0</v>
      </c>
      <c r="HX188" s="64">
        <f t="shared" si="441"/>
        <v>0</v>
      </c>
      <c r="HY188" s="64">
        <f t="shared" si="441"/>
        <v>0</v>
      </c>
      <c r="HZ188" s="64">
        <f t="shared" si="441"/>
        <v>0</v>
      </c>
      <c r="IA188" s="64">
        <f t="shared" si="441"/>
        <v>0</v>
      </c>
      <c r="IB188" s="64">
        <f t="shared" si="441"/>
        <v>0</v>
      </c>
      <c r="IC188" s="64">
        <f t="shared" si="441"/>
        <v>0</v>
      </c>
      <c r="ID188" s="64">
        <f t="shared" si="441"/>
        <v>0</v>
      </c>
      <c r="IE188" s="64">
        <f t="shared" si="441"/>
        <v>0</v>
      </c>
      <c r="IF188" s="64">
        <f t="shared" si="441"/>
        <v>0</v>
      </c>
      <c r="IG188" s="64">
        <f t="shared" si="441"/>
        <v>0</v>
      </c>
      <c r="IH188" s="64">
        <f t="shared" si="441"/>
        <v>0</v>
      </c>
      <c r="II188" s="64">
        <f t="shared" si="441"/>
        <v>0</v>
      </c>
      <c r="IJ188" s="64">
        <f t="shared" si="441"/>
        <v>0</v>
      </c>
      <c r="IK188" s="64">
        <f t="shared" si="441"/>
        <v>0</v>
      </c>
      <c r="IL188" s="64">
        <f t="shared" si="441"/>
        <v>0</v>
      </c>
      <c r="IM188" s="64">
        <f t="shared" si="441"/>
        <v>0</v>
      </c>
      <c r="IN188" s="64">
        <f t="shared" si="441"/>
        <v>0</v>
      </c>
      <c r="IO188" s="64">
        <f t="shared" si="441"/>
        <v>0</v>
      </c>
      <c r="IP188" s="64">
        <f t="shared" si="441"/>
        <v>0</v>
      </c>
      <c r="IQ188" s="64">
        <f t="shared" si="441"/>
        <v>0</v>
      </c>
      <c r="IT188" s="71"/>
    </row>
    <row r="189" spans="1:254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290</v>
      </c>
      <c r="M189" s="11">
        <f>INDEX(cenník!$C$2:$I$568,MATCH($L189,cenník!$B$2:$B$557,0),MATCH(M$2,cenník!$C$1:$I$1,0))</f>
        <v>867810</v>
      </c>
      <c r="N189" s="11" t="str">
        <f>INDEX(cenník!$C$2:$I$568,MATCH($L189,cenník!$B$2:$B$557,0),MATCH(N$2,cenník!$C$1:$I$1,0))</f>
        <v>ks</v>
      </c>
      <c r="O189" s="11">
        <f>E166*4</f>
        <v>4</v>
      </c>
      <c r="P189" s="36">
        <f>INDEX(cenník!$C$2:$I$568,MATCH($L189,cenník!$B$2:$B$557,0),MATCH(P$2,cenník!$C$1:$I$1,0))</f>
        <v>17.5</v>
      </c>
      <c r="Q189" s="36">
        <f>O189*P189</f>
        <v>70</v>
      </c>
      <c r="R189" s="37">
        <f>$E$167</f>
        <v>0</v>
      </c>
      <c r="S189" s="36">
        <f>P189*((100-$E$167)/100)</f>
        <v>17.5</v>
      </c>
      <c r="T189" s="36">
        <f>O189*S189</f>
        <v>70</v>
      </c>
      <c r="U189" s="36">
        <f>INDEX(cenník!$C$2:$I$568,MATCH($L189,cenník!$B$2:$B$557,0),MATCH(U$2,cenník!$C$1:$I$1,0))*O189</f>
        <v>14.68</v>
      </c>
      <c r="V189" s="85"/>
      <c r="W189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64">
        <v>0</v>
      </c>
      <c r="Y189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64">
        <f t="shared" si="426"/>
        <v>0</v>
      </c>
      <c r="AB189" s="64">
        <f t="shared" si="427"/>
        <v>0</v>
      </c>
      <c r="AC189" s="64"/>
      <c r="AD189" s="64"/>
      <c r="AE189" s="64"/>
      <c r="AF189" s="64"/>
      <c r="AG189" s="64"/>
      <c r="AH189" s="64"/>
      <c r="AI189" s="64"/>
      <c r="AJ189" s="64"/>
      <c r="AR189" s="85" t="s">
        <v>60</v>
      </c>
      <c r="AS189" s="85" t="s">
        <v>295</v>
      </c>
      <c r="AT189" s="85" t="s">
        <v>294</v>
      </c>
      <c r="AU189" s="85" t="s">
        <v>293</v>
      </c>
      <c r="AV189" s="64" t="s">
        <v>293</v>
      </c>
      <c r="AW189" s="64"/>
      <c r="AX189" s="64"/>
      <c r="AY189" s="64"/>
      <c r="AZ189" s="64"/>
      <c r="BA189" s="64"/>
      <c r="BB189" s="68" t="s">
        <v>60</v>
      </c>
      <c r="BC189" s="68" t="s">
        <v>84</v>
      </c>
      <c r="BD189" s="68" t="s">
        <v>84</v>
      </c>
      <c r="BE189" s="68" t="s">
        <v>84</v>
      </c>
      <c r="BF189" s="68" t="s">
        <v>84</v>
      </c>
      <c r="BH189" s="69" t="s">
        <v>57</v>
      </c>
      <c r="BI189" s="64">
        <v>0</v>
      </c>
      <c r="BJ189" s="64">
        <v>8</v>
      </c>
      <c r="BK189" s="64">
        <v>12</v>
      </c>
      <c r="BL189" s="64">
        <v>16</v>
      </c>
      <c r="BM189" s="64">
        <v>20</v>
      </c>
      <c r="BN189" s="64">
        <v>24</v>
      </c>
      <c r="BO189" s="64">
        <v>28</v>
      </c>
      <c r="BP189" s="64">
        <v>32</v>
      </c>
      <c r="BQ189" s="64">
        <v>36</v>
      </c>
      <c r="BR189" s="64">
        <v>40</v>
      </c>
      <c r="BS189" s="64">
        <v>44</v>
      </c>
      <c r="BT189" s="64">
        <v>48</v>
      </c>
      <c r="BU189" s="64">
        <v>52</v>
      </c>
      <c r="BV189" s="64"/>
      <c r="BW189" s="64" t="s">
        <v>197</v>
      </c>
      <c r="BX189" s="64">
        <v>0</v>
      </c>
      <c r="BY189" s="64">
        <v>8</v>
      </c>
      <c r="BZ189" s="64">
        <v>12</v>
      </c>
      <c r="CA189" s="64">
        <v>16</v>
      </c>
      <c r="CB189" s="64">
        <v>20</v>
      </c>
      <c r="CC189" s="64">
        <v>24</v>
      </c>
      <c r="CD189" s="64">
        <v>28</v>
      </c>
      <c r="CE189" s="64">
        <v>32</v>
      </c>
      <c r="CF189" s="64">
        <v>36</v>
      </c>
      <c r="CG189" s="64">
        <v>40</v>
      </c>
      <c r="CH189" s="64">
        <v>44</v>
      </c>
      <c r="CI189" s="64">
        <v>48</v>
      </c>
      <c r="CJ189" s="64">
        <v>52</v>
      </c>
      <c r="CK189" s="64"/>
      <c r="CL189" s="64"/>
      <c r="CM189" s="64"/>
      <c r="CN189" s="64" t="s">
        <v>58</v>
      </c>
      <c r="CO189" s="64">
        <v>0</v>
      </c>
      <c r="CP189" s="64">
        <v>8</v>
      </c>
      <c r="CQ189" s="64">
        <v>12</v>
      </c>
      <c r="CR189" s="64">
        <v>16</v>
      </c>
      <c r="CS189" s="64">
        <v>20</v>
      </c>
      <c r="CT189" s="64">
        <v>24</v>
      </c>
      <c r="CU189" s="64">
        <v>28</v>
      </c>
      <c r="CV189" s="64">
        <v>32</v>
      </c>
      <c r="CW189" s="64">
        <v>36</v>
      </c>
      <c r="CX189" s="64">
        <v>40</v>
      </c>
      <c r="CY189" s="64">
        <v>44</v>
      </c>
      <c r="CZ189" s="64">
        <v>48</v>
      </c>
      <c r="DA189" s="64">
        <v>52</v>
      </c>
      <c r="DB189" s="64"/>
      <c r="DC189" s="64" t="s">
        <v>203</v>
      </c>
      <c r="DD189" s="64">
        <v>0</v>
      </c>
      <c r="DE189" s="64">
        <v>8</v>
      </c>
      <c r="DF189" s="64">
        <v>12</v>
      </c>
      <c r="DG189" s="64">
        <v>16</v>
      </c>
      <c r="DH189" s="64">
        <v>20</v>
      </c>
      <c r="DI189" s="64">
        <v>24</v>
      </c>
      <c r="DJ189" s="64">
        <v>28</v>
      </c>
      <c r="DK189" s="64">
        <v>32</v>
      </c>
      <c r="DL189" s="64">
        <v>36</v>
      </c>
      <c r="DM189" s="64">
        <v>40</v>
      </c>
      <c r="DN189" s="64">
        <v>44</v>
      </c>
      <c r="DO189" s="64">
        <v>48</v>
      </c>
      <c r="DP189" s="64">
        <v>52</v>
      </c>
      <c r="DQ189" s="80"/>
      <c r="DR189" s="80">
        <v>24</v>
      </c>
      <c r="DS189" s="80"/>
      <c r="DT189" s="64" t="s">
        <v>231</v>
      </c>
      <c r="DU189" s="64">
        <v>0</v>
      </c>
      <c r="DV189" s="64">
        <v>8</v>
      </c>
      <c r="DW189" s="64">
        <v>12</v>
      </c>
      <c r="DX189" s="64">
        <v>16</v>
      </c>
      <c r="DY189" s="64">
        <v>20</v>
      </c>
      <c r="DZ189" s="64">
        <v>24</v>
      </c>
      <c r="EA189" s="64">
        <v>28</v>
      </c>
      <c r="EB189" s="64">
        <v>32</v>
      </c>
      <c r="EC189" s="64">
        <v>36</v>
      </c>
      <c r="ED189" s="64">
        <v>40</v>
      </c>
      <c r="EE189" s="64">
        <v>44</v>
      </c>
      <c r="EF189" s="64">
        <v>48</v>
      </c>
      <c r="EG189" s="64">
        <v>52</v>
      </c>
      <c r="EH189" s="70"/>
      <c r="EI189" s="64"/>
      <c r="EJ189" s="69"/>
      <c r="EK189" s="64" t="s">
        <v>374</v>
      </c>
      <c r="EL189" s="64">
        <f t="shared" ref="EL189:FI189" si="442">EL86</f>
        <v>0</v>
      </c>
      <c r="EM189" s="64">
        <f t="shared" si="442"/>
        <v>0</v>
      </c>
      <c r="EN189" s="64">
        <f t="shared" si="442"/>
        <v>4</v>
      </c>
      <c r="EO189" s="64">
        <f t="shared" si="442"/>
        <v>0</v>
      </c>
      <c r="EP189" s="64">
        <f t="shared" si="442"/>
        <v>0</v>
      </c>
      <c r="EQ189" s="64">
        <f t="shared" si="442"/>
        <v>4</v>
      </c>
      <c r="ER189" s="64">
        <f t="shared" si="442"/>
        <v>8</v>
      </c>
      <c r="ES189" s="64">
        <f t="shared" si="442"/>
        <v>0</v>
      </c>
      <c r="ET189" s="64">
        <f t="shared" si="442"/>
        <v>4</v>
      </c>
      <c r="EU189" s="64">
        <f t="shared" si="442"/>
        <v>8</v>
      </c>
      <c r="EV189" s="64">
        <f t="shared" si="442"/>
        <v>0</v>
      </c>
      <c r="EW189" s="64">
        <f t="shared" si="442"/>
        <v>4</v>
      </c>
      <c r="EX189" s="64">
        <f t="shared" si="442"/>
        <v>8</v>
      </c>
      <c r="EY189" s="64">
        <f t="shared" si="442"/>
        <v>8</v>
      </c>
      <c r="EZ189" s="64">
        <f t="shared" si="442"/>
        <v>0</v>
      </c>
      <c r="FA189" s="64">
        <f t="shared" si="442"/>
        <v>4</v>
      </c>
      <c r="FB189" s="64">
        <f t="shared" si="442"/>
        <v>8</v>
      </c>
      <c r="FC189" s="64">
        <f t="shared" si="442"/>
        <v>0</v>
      </c>
      <c r="FD189" s="64">
        <f t="shared" si="442"/>
        <v>4</v>
      </c>
      <c r="FE189" s="64">
        <f t="shared" si="442"/>
        <v>8</v>
      </c>
      <c r="FF189" s="64">
        <f t="shared" si="442"/>
        <v>0</v>
      </c>
      <c r="FG189" s="64">
        <f t="shared" si="442"/>
        <v>4</v>
      </c>
      <c r="FH189" s="64">
        <f t="shared" si="442"/>
        <v>8</v>
      </c>
      <c r="FI189" s="64">
        <f t="shared" si="442"/>
        <v>0</v>
      </c>
      <c r="FJ189" s="64"/>
      <c r="FK189" s="64" t="s">
        <v>374</v>
      </c>
      <c r="FL189" s="64">
        <f t="shared" ref="FL189:GI189" si="443">FL86</f>
        <v>0</v>
      </c>
      <c r="FM189" s="64">
        <f t="shared" si="443"/>
        <v>4</v>
      </c>
      <c r="FN189" s="64">
        <f t="shared" si="443"/>
        <v>0</v>
      </c>
      <c r="FO189" s="64">
        <f t="shared" si="443"/>
        <v>0</v>
      </c>
      <c r="FP189" s="64">
        <f t="shared" si="443"/>
        <v>4</v>
      </c>
      <c r="FQ189" s="64">
        <f t="shared" si="443"/>
        <v>8</v>
      </c>
      <c r="FR189" s="64">
        <f t="shared" si="443"/>
        <v>0</v>
      </c>
      <c r="FS189" s="64">
        <f t="shared" si="443"/>
        <v>4</v>
      </c>
      <c r="FT189" s="64">
        <f t="shared" si="443"/>
        <v>8</v>
      </c>
      <c r="FU189" s="64">
        <f t="shared" si="443"/>
        <v>0</v>
      </c>
      <c r="FV189" s="64">
        <f t="shared" si="443"/>
        <v>4</v>
      </c>
      <c r="FW189" s="64">
        <f t="shared" si="443"/>
        <v>8</v>
      </c>
      <c r="FX189" s="64">
        <f t="shared" si="443"/>
        <v>0</v>
      </c>
      <c r="FY189" s="64">
        <f t="shared" si="443"/>
        <v>4</v>
      </c>
      <c r="FZ189" s="64">
        <f t="shared" si="443"/>
        <v>8</v>
      </c>
      <c r="GA189" s="64">
        <f t="shared" si="443"/>
        <v>0</v>
      </c>
      <c r="GB189" s="64">
        <f t="shared" si="443"/>
        <v>4</v>
      </c>
      <c r="GC189" s="64">
        <f t="shared" si="443"/>
        <v>8</v>
      </c>
      <c r="GD189" s="64">
        <f t="shared" si="443"/>
        <v>0</v>
      </c>
      <c r="GE189" s="64">
        <f t="shared" si="443"/>
        <v>4</v>
      </c>
      <c r="GF189" s="64">
        <f t="shared" si="443"/>
        <v>8</v>
      </c>
      <c r="GG189" s="64">
        <f t="shared" si="443"/>
        <v>0</v>
      </c>
      <c r="GH189" s="64">
        <f t="shared" si="443"/>
        <v>4</v>
      </c>
      <c r="GI189" s="64">
        <f t="shared" si="443"/>
        <v>8</v>
      </c>
      <c r="GJ189" s="64"/>
      <c r="GK189" s="64"/>
      <c r="GL189" s="64"/>
      <c r="GM189" s="64"/>
      <c r="GN189" s="64"/>
      <c r="GO189" s="64"/>
      <c r="GP189" s="64"/>
      <c r="GQ189" s="64"/>
      <c r="GR189" s="64" t="s">
        <v>374</v>
      </c>
      <c r="GS189" s="64">
        <f t="shared" ref="GS189:HP189" si="444">GS86</f>
        <v>0</v>
      </c>
      <c r="GT189" s="64">
        <f t="shared" si="444"/>
        <v>4</v>
      </c>
      <c r="GU189" s="64">
        <f t="shared" si="444"/>
        <v>0</v>
      </c>
      <c r="GV189" s="64">
        <f t="shared" si="444"/>
        <v>0</v>
      </c>
      <c r="GW189" s="64">
        <f t="shared" si="444"/>
        <v>4</v>
      </c>
      <c r="GX189" s="64">
        <f t="shared" si="444"/>
        <v>8</v>
      </c>
      <c r="GY189" s="64">
        <f t="shared" si="444"/>
        <v>0</v>
      </c>
      <c r="GZ189" s="64">
        <f t="shared" si="444"/>
        <v>8</v>
      </c>
      <c r="HA189" s="64">
        <f t="shared" si="444"/>
        <v>12</v>
      </c>
      <c r="HB189" s="64">
        <f t="shared" si="444"/>
        <v>4</v>
      </c>
      <c r="HC189" s="64">
        <f t="shared" si="444"/>
        <v>8</v>
      </c>
      <c r="HD189" s="64">
        <f t="shared" si="444"/>
        <v>12</v>
      </c>
      <c r="HE189" s="64">
        <f t="shared" si="444"/>
        <v>16</v>
      </c>
      <c r="HF189" s="64">
        <f t="shared" si="444"/>
        <v>8</v>
      </c>
      <c r="HG189" s="64">
        <f t="shared" si="444"/>
        <v>12</v>
      </c>
      <c r="HH189" s="64">
        <f t="shared" si="444"/>
        <v>16</v>
      </c>
      <c r="HI189" s="64">
        <f t="shared" si="444"/>
        <v>12</v>
      </c>
      <c r="HJ189" s="64">
        <f t="shared" si="444"/>
        <v>16</v>
      </c>
      <c r="HK189" s="64">
        <f t="shared" si="444"/>
        <v>20</v>
      </c>
      <c r="HL189" s="64">
        <f t="shared" si="444"/>
        <v>24</v>
      </c>
      <c r="HM189" s="64">
        <f t="shared" si="444"/>
        <v>16</v>
      </c>
      <c r="HN189" s="64">
        <f t="shared" si="444"/>
        <v>20</v>
      </c>
      <c r="HO189" s="64">
        <f t="shared" si="444"/>
        <v>24</v>
      </c>
      <c r="HP189" s="64">
        <f t="shared" si="444"/>
        <v>28</v>
      </c>
      <c r="HS189" s="64" t="s">
        <v>374</v>
      </c>
      <c r="HT189" s="64">
        <f t="shared" ref="HT189:IQ189" si="445">HT86</f>
        <v>0</v>
      </c>
      <c r="HU189" s="64">
        <f t="shared" si="445"/>
        <v>4</v>
      </c>
      <c r="HV189" s="64">
        <f t="shared" si="445"/>
        <v>0</v>
      </c>
      <c r="HW189" s="64">
        <f t="shared" si="445"/>
        <v>4</v>
      </c>
      <c r="HX189" s="64">
        <f t="shared" si="445"/>
        <v>8</v>
      </c>
      <c r="HY189" s="64">
        <f t="shared" si="445"/>
        <v>0</v>
      </c>
      <c r="HZ189" s="64">
        <f t="shared" si="445"/>
        <v>4</v>
      </c>
      <c r="IA189" s="64">
        <f t="shared" si="445"/>
        <v>8</v>
      </c>
      <c r="IB189" s="64">
        <f t="shared" si="445"/>
        <v>4</v>
      </c>
      <c r="IC189" s="64">
        <f t="shared" si="445"/>
        <v>8</v>
      </c>
      <c r="ID189" s="64">
        <f t="shared" si="445"/>
        <v>12</v>
      </c>
      <c r="IE189" s="64">
        <f t="shared" si="445"/>
        <v>16</v>
      </c>
      <c r="IF189" s="64">
        <f t="shared" si="445"/>
        <v>8</v>
      </c>
      <c r="IG189" s="64">
        <f t="shared" si="445"/>
        <v>16</v>
      </c>
      <c r="IH189" s="64">
        <f t="shared" si="445"/>
        <v>20</v>
      </c>
      <c r="II189" s="64">
        <f t="shared" si="445"/>
        <v>12</v>
      </c>
      <c r="IJ189" s="64">
        <f t="shared" si="445"/>
        <v>16</v>
      </c>
      <c r="IK189" s="64">
        <f t="shared" si="445"/>
        <v>20</v>
      </c>
      <c r="IL189" s="64">
        <f t="shared" si="445"/>
        <v>16</v>
      </c>
      <c r="IM189" s="64">
        <f t="shared" si="445"/>
        <v>20</v>
      </c>
      <c r="IN189" s="64">
        <f t="shared" si="445"/>
        <v>24</v>
      </c>
      <c r="IO189" s="64">
        <f t="shared" si="445"/>
        <v>28</v>
      </c>
      <c r="IP189" s="64">
        <f t="shared" si="445"/>
        <v>20</v>
      </c>
      <c r="IQ189" s="64">
        <f t="shared" si="445"/>
        <v>28</v>
      </c>
      <c r="IT189" s="71"/>
    </row>
    <row r="190" spans="1:254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6"/>
      <c r="Q190" s="36"/>
      <c r="R190" s="36"/>
      <c r="S190" s="36"/>
      <c r="T190" s="36">
        <f>SUM(T163:T189)</f>
        <v>3919.4099999999994</v>
      </c>
      <c r="U190" s="36">
        <f>SUM(U163:U189)</f>
        <v>765.91000000000008</v>
      </c>
      <c r="V190" s="85"/>
      <c r="W190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64">
        <v>0</v>
      </c>
      <c r="Y190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64">
        <f t="shared" si="426"/>
        <v>0</v>
      </c>
      <c r="AB190" s="64">
        <f t="shared" si="427"/>
        <v>0</v>
      </c>
      <c r="AC190" s="64"/>
      <c r="AD190" s="64"/>
      <c r="AE190" s="64"/>
      <c r="AF190" s="64"/>
      <c r="AG190" s="64"/>
      <c r="AH190" s="64"/>
      <c r="AI190" s="64"/>
      <c r="AJ190" s="64"/>
      <c r="AR190" s="85" t="s">
        <v>199</v>
      </c>
      <c r="AS190" s="64" t="s">
        <v>295</v>
      </c>
      <c r="AT190" s="85" t="s">
        <v>294</v>
      </c>
      <c r="AU190" s="64" t="s">
        <v>293</v>
      </c>
      <c r="AV190" s="64" t="s">
        <v>293</v>
      </c>
      <c r="AW190" s="64"/>
      <c r="AX190" s="64"/>
      <c r="AY190" s="64"/>
      <c r="AZ190" s="64"/>
      <c r="BA190" s="64"/>
      <c r="BB190" s="68" t="s">
        <v>199</v>
      </c>
      <c r="BC190" s="68" t="s">
        <v>84</v>
      </c>
      <c r="BD190" s="68" t="s">
        <v>84</v>
      </c>
      <c r="BE190" s="68" t="s">
        <v>84</v>
      </c>
      <c r="BF190" s="68" t="s">
        <v>84</v>
      </c>
      <c r="BH190" s="69" t="s">
        <v>240</v>
      </c>
      <c r="BI190" s="64">
        <v>0</v>
      </c>
      <c r="BJ190" s="64">
        <v>5</v>
      </c>
      <c r="BK190" s="64">
        <v>0</v>
      </c>
      <c r="BL190" s="64">
        <v>5</v>
      </c>
      <c r="BM190" s="64">
        <v>10</v>
      </c>
      <c r="BN190" s="64">
        <v>5</v>
      </c>
      <c r="BO190" s="64">
        <v>10</v>
      </c>
      <c r="BP190" s="64">
        <v>5</v>
      </c>
      <c r="BQ190" s="64">
        <v>15</v>
      </c>
      <c r="BR190" s="64">
        <v>5</v>
      </c>
      <c r="BS190" s="64">
        <v>15</v>
      </c>
      <c r="BT190" s="64">
        <v>20</v>
      </c>
      <c r="BU190" s="64">
        <v>0</v>
      </c>
      <c r="BV190" s="64"/>
      <c r="BW190" s="64" t="s">
        <v>240</v>
      </c>
      <c r="BX190" s="64">
        <v>0</v>
      </c>
      <c r="BY190" s="64">
        <v>5</v>
      </c>
      <c r="BZ190" s="64">
        <v>0</v>
      </c>
      <c r="CA190" s="64">
        <v>5</v>
      </c>
      <c r="CB190" s="64">
        <v>0</v>
      </c>
      <c r="CC190" s="64">
        <v>10</v>
      </c>
      <c r="CD190" s="64">
        <v>15</v>
      </c>
      <c r="CE190" s="64">
        <v>10</v>
      </c>
      <c r="CF190" s="64">
        <v>20</v>
      </c>
      <c r="CG190" s="64">
        <v>10</v>
      </c>
      <c r="CH190" s="64">
        <v>20</v>
      </c>
      <c r="CI190" s="64">
        <v>0</v>
      </c>
      <c r="CJ190" s="64">
        <v>25</v>
      </c>
      <c r="CK190" s="64"/>
      <c r="CL190" s="64"/>
      <c r="CM190" s="64"/>
      <c r="CN190" s="64" t="s">
        <v>240</v>
      </c>
      <c r="CO190" s="64">
        <f>CO28/5*4</f>
        <v>0</v>
      </c>
      <c r="CP190" s="64">
        <v>5</v>
      </c>
      <c r="CQ190" s="64">
        <v>0</v>
      </c>
      <c r="CR190" s="64">
        <v>10</v>
      </c>
      <c r="CS190" s="64">
        <v>5</v>
      </c>
      <c r="CT190" s="64">
        <v>10</v>
      </c>
      <c r="CU190" s="64">
        <v>5</v>
      </c>
      <c r="CV190" s="64">
        <v>15</v>
      </c>
      <c r="CW190" s="64">
        <v>10</v>
      </c>
      <c r="CX190" s="64">
        <v>20</v>
      </c>
      <c r="CY190" s="64">
        <v>0</v>
      </c>
      <c r="CZ190" s="64">
        <v>25</v>
      </c>
      <c r="DA190" s="64">
        <v>30</v>
      </c>
      <c r="DB190" s="64"/>
      <c r="DC190" s="64" t="s">
        <v>240</v>
      </c>
      <c r="DD190" s="64">
        <v>0</v>
      </c>
      <c r="DE190" s="68">
        <v>5</v>
      </c>
      <c r="DF190" s="64">
        <v>0</v>
      </c>
      <c r="DG190" s="64">
        <v>10</v>
      </c>
      <c r="DH190" s="64">
        <v>5</v>
      </c>
      <c r="DI190" s="64">
        <v>15</v>
      </c>
      <c r="DJ190" s="64">
        <v>10</v>
      </c>
      <c r="DK190" s="64">
        <v>20</v>
      </c>
      <c r="DL190" s="64">
        <v>0</v>
      </c>
      <c r="DM190" s="64">
        <v>25</v>
      </c>
      <c r="DN190" s="64">
        <v>5</v>
      </c>
      <c r="DO190" s="64">
        <v>30</v>
      </c>
      <c r="DP190" s="64">
        <v>10</v>
      </c>
      <c r="DQ190" s="80"/>
      <c r="DR190" s="80">
        <v>30</v>
      </c>
      <c r="DS190" s="80"/>
      <c r="DT190" s="64" t="s">
        <v>240</v>
      </c>
      <c r="DU190" s="64">
        <v>0</v>
      </c>
      <c r="DV190" s="64">
        <v>0</v>
      </c>
      <c r="DW190" s="64">
        <v>5</v>
      </c>
      <c r="DX190" s="64">
        <v>0</v>
      </c>
      <c r="DY190" s="64">
        <v>10</v>
      </c>
      <c r="DZ190" s="64">
        <v>5</v>
      </c>
      <c r="EA190" s="64">
        <v>15</v>
      </c>
      <c r="EB190" s="64">
        <v>10</v>
      </c>
      <c r="EC190" s="64">
        <v>20</v>
      </c>
      <c r="ED190" s="64">
        <v>20</v>
      </c>
      <c r="EE190" s="64">
        <v>30</v>
      </c>
      <c r="EF190" s="64">
        <v>25</v>
      </c>
      <c r="EG190" s="64">
        <v>35</v>
      </c>
      <c r="EH190" s="70"/>
      <c r="EI190" s="64"/>
      <c r="EJ190" s="69"/>
      <c r="EK190" s="64" t="s">
        <v>373</v>
      </c>
      <c r="EL190" s="64">
        <f t="shared" ref="EL190:FI190" si="446">EL87</f>
        <v>0</v>
      </c>
      <c r="EM190" s="64">
        <f t="shared" si="446"/>
        <v>4</v>
      </c>
      <c r="EN190" s="64">
        <f t="shared" si="446"/>
        <v>0</v>
      </c>
      <c r="EO190" s="64">
        <f t="shared" si="446"/>
        <v>0</v>
      </c>
      <c r="EP190" s="64">
        <f t="shared" si="446"/>
        <v>8</v>
      </c>
      <c r="EQ190" s="64">
        <f t="shared" si="446"/>
        <v>4</v>
      </c>
      <c r="ER190" s="64">
        <f t="shared" si="446"/>
        <v>0</v>
      </c>
      <c r="ES190" s="64">
        <f t="shared" si="446"/>
        <v>12</v>
      </c>
      <c r="ET190" s="64">
        <f t="shared" si="446"/>
        <v>8</v>
      </c>
      <c r="EU190" s="64">
        <f t="shared" si="446"/>
        <v>4</v>
      </c>
      <c r="EV190" s="64">
        <f t="shared" si="446"/>
        <v>16</v>
      </c>
      <c r="EW190" s="64">
        <f t="shared" si="446"/>
        <v>12</v>
      </c>
      <c r="EX190" s="64">
        <f t="shared" si="446"/>
        <v>8</v>
      </c>
      <c r="EY190" s="64">
        <f t="shared" si="446"/>
        <v>8</v>
      </c>
      <c r="EZ190" s="64">
        <f t="shared" si="446"/>
        <v>20</v>
      </c>
      <c r="FA190" s="64">
        <f t="shared" si="446"/>
        <v>16</v>
      </c>
      <c r="FB190" s="64">
        <f t="shared" si="446"/>
        <v>12</v>
      </c>
      <c r="FC190" s="64">
        <f t="shared" si="446"/>
        <v>24</v>
      </c>
      <c r="FD190" s="64">
        <f t="shared" si="446"/>
        <v>20</v>
      </c>
      <c r="FE190" s="64">
        <f t="shared" si="446"/>
        <v>16</v>
      </c>
      <c r="FF190" s="64">
        <f t="shared" si="446"/>
        <v>28</v>
      </c>
      <c r="FG190" s="64">
        <f t="shared" si="446"/>
        <v>24</v>
      </c>
      <c r="FH190" s="64">
        <f t="shared" si="446"/>
        <v>20</v>
      </c>
      <c r="FI190" s="64">
        <f t="shared" si="446"/>
        <v>32</v>
      </c>
      <c r="FJ190" s="64"/>
      <c r="FK190" s="64" t="s">
        <v>373</v>
      </c>
      <c r="FL190" s="64">
        <f t="shared" ref="FL190:GI190" si="447">FL87</f>
        <v>0</v>
      </c>
      <c r="FM190" s="64">
        <f t="shared" si="447"/>
        <v>0</v>
      </c>
      <c r="FN190" s="64">
        <f t="shared" si="447"/>
        <v>0</v>
      </c>
      <c r="FO190" s="64">
        <f t="shared" si="447"/>
        <v>0</v>
      </c>
      <c r="FP190" s="64">
        <f t="shared" si="447"/>
        <v>4</v>
      </c>
      <c r="FQ190" s="64">
        <f t="shared" si="447"/>
        <v>0</v>
      </c>
      <c r="FR190" s="64">
        <f t="shared" si="447"/>
        <v>12</v>
      </c>
      <c r="FS190" s="64">
        <f t="shared" si="447"/>
        <v>8</v>
      </c>
      <c r="FT190" s="64">
        <f t="shared" si="447"/>
        <v>4</v>
      </c>
      <c r="FU190" s="64">
        <f t="shared" si="447"/>
        <v>16</v>
      </c>
      <c r="FV190" s="64">
        <f t="shared" si="447"/>
        <v>12</v>
      </c>
      <c r="FW190" s="64">
        <f t="shared" si="447"/>
        <v>8</v>
      </c>
      <c r="FX190" s="64">
        <f t="shared" si="447"/>
        <v>20</v>
      </c>
      <c r="FY190" s="64">
        <f t="shared" si="447"/>
        <v>16</v>
      </c>
      <c r="FZ190" s="64">
        <f t="shared" si="447"/>
        <v>12</v>
      </c>
      <c r="GA190" s="64">
        <f t="shared" si="447"/>
        <v>24</v>
      </c>
      <c r="GB190" s="64">
        <f t="shared" si="447"/>
        <v>20</v>
      </c>
      <c r="GC190" s="64">
        <f t="shared" si="447"/>
        <v>16</v>
      </c>
      <c r="GD190" s="64">
        <f t="shared" si="447"/>
        <v>28</v>
      </c>
      <c r="GE190" s="64">
        <f t="shared" si="447"/>
        <v>24</v>
      </c>
      <c r="GF190" s="64">
        <f t="shared" si="447"/>
        <v>20</v>
      </c>
      <c r="GG190" s="64">
        <f t="shared" si="447"/>
        <v>32</v>
      </c>
      <c r="GH190" s="64">
        <f t="shared" si="447"/>
        <v>28</v>
      </c>
      <c r="GI190" s="64">
        <f t="shared" si="447"/>
        <v>24</v>
      </c>
      <c r="GJ190" s="64"/>
      <c r="GK190" s="64"/>
      <c r="GL190" s="64"/>
      <c r="GM190" s="64"/>
      <c r="GN190" s="64"/>
      <c r="GO190" s="64"/>
      <c r="GP190" s="64"/>
      <c r="GQ190" s="64"/>
      <c r="GR190" s="64" t="s">
        <v>373</v>
      </c>
      <c r="GS190" s="64">
        <f t="shared" ref="GS190:HP190" si="448">GS87</f>
        <v>0</v>
      </c>
      <c r="GT190" s="64">
        <f t="shared" si="448"/>
        <v>0</v>
      </c>
      <c r="GU190" s="64">
        <f t="shared" si="448"/>
        <v>0</v>
      </c>
      <c r="GV190" s="64">
        <f t="shared" si="448"/>
        <v>0</v>
      </c>
      <c r="GW190" s="64">
        <f t="shared" si="448"/>
        <v>4</v>
      </c>
      <c r="GX190" s="64">
        <f t="shared" si="448"/>
        <v>0</v>
      </c>
      <c r="GY190" s="64">
        <f t="shared" si="448"/>
        <v>12</v>
      </c>
      <c r="GZ190" s="64">
        <f t="shared" si="448"/>
        <v>4</v>
      </c>
      <c r="HA190" s="64">
        <f t="shared" si="448"/>
        <v>0</v>
      </c>
      <c r="HB190" s="64">
        <f t="shared" si="448"/>
        <v>12</v>
      </c>
      <c r="HC190" s="64">
        <f t="shared" si="448"/>
        <v>8</v>
      </c>
      <c r="HD190" s="64">
        <f t="shared" si="448"/>
        <v>4</v>
      </c>
      <c r="HE190" s="64">
        <f t="shared" si="448"/>
        <v>0</v>
      </c>
      <c r="HF190" s="64">
        <f t="shared" si="448"/>
        <v>12</v>
      </c>
      <c r="HG190" s="64">
        <f t="shared" si="448"/>
        <v>8</v>
      </c>
      <c r="HH190" s="64">
        <f t="shared" si="448"/>
        <v>4</v>
      </c>
      <c r="HI190" s="64">
        <f t="shared" si="448"/>
        <v>12</v>
      </c>
      <c r="HJ190" s="64">
        <f t="shared" si="448"/>
        <v>8</v>
      </c>
      <c r="HK190" s="64">
        <f t="shared" si="448"/>
        <v>4</v>
      </c>
      <c r="HL190" s="64">
        <f t="shared" si="448"/>
        <v>0</v>
      </c>
      <c r="HM190" s="64">
        <f t="shared" si="448"/>
        <v>12</v>
      </c>
      <c r="HN190" s="64">
        <f t="shared" si="448"/>
        <v>8</v>
      </c>
      <c r="HO190" s="64">
        <f t="shared" si="448"/>
        <v>4</v>
      </c>
      <c r="HP190" s="64">
        <f t="shared" si="448"/>
        <v>0</v>
      </c>
      <c r="HS190" s="64" t="s">
        <v>373</v>
      </c>
      <c r="HT190" s="64">
        <f t="shared" ref="HT190:IQ190" si="449">HT87</f>
        <v>0</v>
      </c>
      <c r="HU190" s="64">
        <f t="shared" si="449"/>
        <v>0</v>
      </c>
      <c r="HV190" s="64">
        <f t="shared" si="449"/>
        <v>0</v>
      </c>
      <c r="HW190" s="64">
        <f t="shared" si="449"/>
        <v>4</v>
      </c>
      <c r="HX190" s="64">
        <f t="shared" si="449"/>
        <v>0</v>
      </c>
      <c r="HY190" s="64">
        <f t="shared" si="449"/>
        <v>12</v>
      </c>
      <c r="HZ190" s="64">
        <f t="shared" si="449"/>
        <v>8</v>
      </c>
      <c r="IA190" s="64">
        <f t="shared" si="449"/>
        <v>4</v>
      </c>
      <c r="IB190" s="64">
        <f t="shared" si="449"/>
        <v>12</v>
      </c>
      <c r="IC190" s="64">
        <f t="shared" si="449"/>
        <v>8</v>
      </c>
      <c r="ID190" s="64">
        <f t="shared" si="449"/>
        <v>4</v>
      </c>
      <c r="IE190" s="64">
        <f t="shared" si="449"/>
        <v>0</v>
      </c>
      <c r="IF190" s="64">
        <f t="shared" si="449"/>
        <v>12</v>
      </c>
      <c r="IG190" s="64">
        <f t="shared" si="449"/>
        <v>4</v>
      </c>
      <c r="IH190" s="64">
        <f t="shared" si="449"/>
        <v>0</v>
      </c>
      <c r="II190" s="64">
        <f t="shared" si="449"/>
        <v>12</v>
      </c>
      <c r="IJ190" s="64">
        <f t="shared" si="449"/>
        <v>8</v>
      </c>
      <c r="IK190" s="64">
        <f t="shared" si="449"/>
        <v>4</v>
      </c>
      <c r="IL190" s="64">
        <f t="shared" si="449"/>
        <v>12</v>
      </c>
      <c r="IM190" s="64">
        <f t="shared" si="449"/>
        <v>8</v>
      </c>
      <c r="IN190" s="64">
        <f t="shared" si="449"/>
        <v>4</v>
      </c>
      <c r="IO190" s="64">
        <f t="shared" si="449"/>
        <v>0</v>
      </c>
      <c r="IP190" s="64">
        <f t="shared" si="449"/>
        <v>12</v>
      </c>
      <c r="IQ190" s="64">
        <f t="shared" si="449"/>
        <v>4</v>
      </c>
      <c r="IT190" s="71"/>
    </row>
    <row r="191" spans="1:254" ht="39" x14ac:dyDescent="0.25">
      <c r="A191" s="3" t="s">
        <v>554</v>
      </c>
      <c r="B191" s="3"/>
      <c r="C191" s="3" t="s">
        <v>555</v>
      </c>
      <c r="D191" s="9"/>
      <c r="E191" s="9"/>
      <c r="F191" s="9"/>
      <c r="G191" s="9"/>
      <c r="H191" s="9"/>
      <c r="I191" s="9"/>
      <c r="J191" s="9"/>
      <c r="K191" s="9"/>
      <c r="L191" s="221" t="str">
        <f>IF(E195="zatĺkaná","KONŠTRUKCIA W-H3G1-25°/30°",IF(E195="betónovaná","KONŠTRUKCIA W-H3B1-25°/30°",IF(E195="kotvená","KONŠTRUKCIA W-H3K1-25°/30°",IF(E195="na zemných skrutkach","KONŠTRUKCIA W-H3S1-25°/30°"))))</f>
        <v>KONŠTRUKCIA W-H3G1-25°/30°</v>
      </c>
      <c r="M191" s="221"/>
      <c r="N191" s="221"/>
      <c r="O191" s="221"/>
      <c r="P191" s="221"/>
      <c r="Q191" s="221"/>
      <c r="R191" s="221"/>
      <c r="S191" s="221"/>
      <c r="T191" s="221"/>
      <c r="U191" s="221"/>
      <c r="V191" s="64"/>
      <c r="W191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64">
        <v>0</v>
      </c>
      <c r="Y191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64">
        <f t="shared" si="426"/>
        <v>0</v>
      </c>
      <c r="AB191" s="64">
        <f t="shared" si="427"/>
        <v>0</v>
      </c>
      <c r="AC191" s="64"/>
      <c r="AD191" s="64"/>
      <c r="AE191" s="64"/>
      <c r="AF191" s="64"/>
      <c r="AG191" s="64"/>
      <c r="AH191" s="64"/>
      <c r="AI191" s="64"/>
      <c r="AJ191" s="64"/>
      <c r="AK191" s="64" t="s">
        <v>85</v>
      </c>
      <c r="AL191" s="64" t="s">
        <v>86</v>
      </c>
      <c r="AM191" s="64"/>
      <c r="AN191" s="64"/>
      <c r="AO191" s="64"/>
      <c r="AP191" s="64"/>
      <c r="AQ191" s="64"/>
      <c r="AR191" s="85" t="s">
        <v>205</v>
      </c>
      <c r="AS191" s="85" t="s">
        <v>293</v>
      </c>
      <c r="AT191" s="85" t="s">
        <v>295</v>
      </c>
      <c r="AU191" s="64" t="s">
        <v>293</v>
      </c>
      <c r="AV191" s="64" t="s">
        <v>293</v>
      </c>
      <c r="AW191" s="64"/>
      <c r="AX191" s="64"/>
      <c r="AY191" s="64"/>
      <c r="AZ191" s="64"/>
      <c r="BA191" s="64"/>
      <c r="BB191" s="68" t="s">
        <v>205</v>
      </c>
      <c r="BC191" s="68" t="s">
        <v>291</v>
      </c>
      <c r="BD191" s="68" t="s">
        <v>84</v>
      </c>
      <c r="BE191" s="68" t="s">
        <v>84</v>
      </c>
      <c r="BF191" s="68" t="s">
        <v>84</v>
      </c>
      <c r="BH191" s="69" t="s">
        <v>241</v>
      </c>
      <c r="BI191" s="64">
        <v>0</v>
      </c>
      <c r="BJ191" s="64">
        <v>0</v>
      </c>
      <c r="BK191" s="64">
        <v>10</v>
      </c>
      <c r="BL191" s="64">
        <v>5</v>
      </c>
      <c r="BM191" s="64">
        <v>0</v>
      </c>
      <c r="BN191" s="64">
        <v>10</v>
      </c>
      <c r="BO191" s="64">
        <v>5</v>
      </c>
      <c r="BP191" s="64">
        <v>15</v>
      </c>
      <c r="BQ191" s="64">
        <v>5</v>
      </c>
      <c r="BR191" s="64">
        <v>20</v>
      </c>
      <c r="BS191" s="64">
        <v>10</v>
      </c>
      <c r="BT191" s="64">
        <v>5</v>
      </c>
      <c r="BU191" s="64">
        <v>35</v>
      </c>
      <c r="BV191" s="64"/>
      <c r="BW191" s="64" t="s">
        <v>241</v>
      </c>
      <c r="BX191" s="64">
        <v>0</v>
      </c>
      <c r="BY191" s="64">
        <v>0</v>
      </c>
      <c r="BZ191" s="64">
        <v>10</v>
      </c>
      <c r="CA191" s="64">
        <v>5</v>
      </c>
      <c r="CB191" s="64">
        <v>15</v>
      </c>
      <c r="CC191" s="64">
        <v>5</v>
      </c>
      <c r="CD191" s="64">
        <v>0</v>
      </c>
      <c r="CE191" s="64">
        <v>10</v>
      </c>
      <c r="CF191" s="64">
        <v>0</v>
      </c>
      <c r="CG191" s="64">
        <v>15</v>
      </c>
      <c r="CH191" s="64">
        <v>5</v>
      </c>
      <c r="CI191" s="64">
        <v>35</v>
      </c>
      <c r="CJ191" s="64">
        <v>5</v>
      </c>
      <c r="CK191" s="64"/>
      <c r="CL191" s="64"/>
      <c r="CM191" s="64"/>
      <c r="CN191" s="64" t="s">
        <v>241</v>
      </c>
      <c r="CO191" s="64">
        <f>CO29/5*4</f>
        <v>0</v>
      </c>
      <c r="CP191" s="64">
        <v>0</v>
      </c>
      <c r="CQ191" s="64">
        <v>10</v>
      </c>
      <c r="CR191" s="64">
        <v>0</v>
      </c>
      <c r="CS191" s="64">
        <v>10</v>
      </c>
      <c r="CT191" s="64">
        <v>5</v>
      </c>
      <c r="CU191" s="64">
        <v>15</v>
      </c>
      <c r="CV191" s="64">
        <v>5</v>
      </c>
      <c r="CW191" s="64">
        <v>15</v>
      </c>
      <c r="CX191" s="64">
        <v>5</v>
      </c>
      <c r="CY191" s="64">
        <v>35</v>
      </c>
      <c r="CZ191" s="64">
        <v>5</v>
      </c>
      <c r="DA191" s="64">
        <v>0</v>
      </c>
      <c r="DB191" s="64"/>
      <c r="DC191" s="64" t="s">
        <v>241</v>
      </c>
      <c r="DD191" s="64">
        <v>0</v>
      </c>
      <c r="DE191" s="64">
        <v>0</v>
      </c>
      <c r="DF191" s="64">
        <v>10</v>
      </c>
      <c r="DG191" s="64">
        <v>0</v>
      </c>
      <c r="DH191" s="64">
        <v>10</v>
      </c>
      <c r="DI191" s="64">
        <v>0</v>
      </c>
      <c r="DJ191" s="64">
        <v>10</v>
      </c>
      <c r="DK191" s="64">
        <v>0</v>
      </c>
      <c r="DL191" s="64">
        <v>30</v>
      </c>
      <c r="DM191" s="64">
        <v>0</v>
      </c>
      <c r="DN191" s="64">
        <v>30</v>
      </c>
      <c r="DO191" s="64">
        <v>0</v>
      </c>
      <c r="DP191" s="64">
        <v>30</v>
      </c>
      <c r="DQ191" s="80"/>
      <c r="DR191" s="80">
        <v>33</v>
      </c>
      <c r="DS191" s="80"/>
      <c r="DT191" s="64" t="s">
        <v>241</v>
      </c>
      <c r="DU191" s="64">
        <v>0</v>
      </c>
      <c r="DV191" s="64">
        <v>10</v>
      </c>
      <c r="DW191" s="64">
        <v>5</v>
      </c>
      <c r="DX191" s="64">
        <v>15</v>
      </c>
      <c r="DY191" s="64">
        <v>5</v>
      </c>
      <c r="DZ191" s="64">
        <v>15</v>
      </c>
      <c r="EA191" s="64">
        <v>5</v>
      </c>
      <c r="EB191" s="64">
        <v>15</v>
      </c>
      <c r="EC191" s="64">
        <v>5</v>
      </c>
      <c r="ED191" s="64">
        <v>10</v>
      </c>
      <c r="EE191" s="64">
        <v>0</v>
      </c>
      <c r="EF191" s="64">
        <v>10</v>
      </c>
      <c r="EG191" s="64">
        <v>0</v>
      </c>
      <c r="EH191" s="70"/>
      <c r="EI191" s="64"/>
      <c r="EJ191" s="69"/>
      <c r="EK191" s="72" t="s">
        <v>376</v>
      </c>
      <c r="EL191" s="64">
        <f t="shared" ref="EL191:FI191" si="450">EL88</f>
        <v>0</v>
      </c>
      <c r="EM191" s="64">
        <f t="shared" si="450"/>
        <v>0</v>
      </c>
      <c r="EN191" s="64">
        <f t="shared" si="450"/>
        <v>0</v>
      </c>
      <c r="EO191" s="64">
        <f t="shared" si="450"/>
        <v>0</v>
      </c>
      <c r="EP191" s="64">
        <f t="shared" si="450"/>
        <v>4</v>
      </c>
      <c r="EQ191" s="64">
        <f t="shared" si="450"/>
        <v>4</v>
      </c>
      <c r="ER191" s="64">
        <f t="shared" si="450"/>
        <v>4</v>
      </c>
      <c r="ES191" s="64">
        <f t="shared" si="450"/>
        <v>8</v>
      </c>
      <c r="ET191" s="64">
        <f t="shared" si="450"/>
        <v>8</v>
      </c>
      <c r="EU191" s="64">
        <f t="shared" si="450"/>
        <v>8</v>
      </c>
      <c r="EV191" s="64">
        <f t="shared" si="450"/>
        <v>12</v>
      </c>
      <c r="EW191" s="64">
        <f t="shared" si="450"/>
        <v>12</v>
      </c>
      <c r="EX191" s="64">
        <f t="shared" si="450"/>
        <v>12</v>
      </c>
      <c r="EY191" s="64">
        <f t="shared" si="450"/>
        <v>12</v>
      </c>
      <c r="EZ191" s="64">
        <f t="shared" si="450"/>
        <v>16</v>
      </c>
      <c r="FA191" s="64">
        <f t="shared" si="450"/>
        <v>16</v>
      </c>
      <c r="FB191" s="64">
        <f t="shared" si="450"/>
        <v>16</v>
      </c>
      <c r="FC191" s="64">
        <f t="shared" si="450"/>
        <v>20</v>
      </c>
      <c r="FD191" s="64">
        <f t="shared" si="450"/>
        <v>20</v>
      </c>
      <c r="FE191" s="64">
        <f t="shared" si="450"/>
        <v>20</v>
      </c>
      <c r="FF191" s="64">
        <f t="shared" si="450"/>
        <v>24</v>
      </c>
      <c r="FG191" s="64">
        <f t="shared" si="450"/>
        <v>24</v>
      </c>
      <c r="FH191" s="64">
        <f t="shared" si="450"/>
        <v>24</v>
      </c>
      <c r="FI191" s="64">
        <f t="shared" si="450"/>
        <v>28</v>
      </c>
      <c r="FJ191" s="64"/>
      <c r="FK191" s="72" t="s">
        <v>376</v>
      </c>
      <c r="FL191" s="64">
        <f t="shared" ref="FL191:GI191" si="451">FL88</f>
        <v>0</v>
      </c>
      <c r="FM191" s="64">
        <f t="shared" si="451"/>
        <v>0</v>
      </c>
      <c r="FN191" s="64">
        <f t="shared" si="451"/>
        <v>0</v>
      </c>
      <c r="FO191" s="64">
        <f t="shared" si="451"/>
        <v>0</v>
      </c>
      <c r="FP191" s="64">
        <f t="shared" si="451"/>
        <v>4</v>
      </c>
      <c r="FQ191" s="64">
        <f t="shared" si="451"/>
        <v>4</v>
      </c>
      <c r="FR191" s="64">
        <f t="shared" si="451"/>
        <v>8</v>
      </c>
      <c r="FS191" s="64">
        <f t="shared" si="451"/>
        <v>8</v>
      </c>
      <c r="FT191" s="64">
        <f t="shared" si="451"/>
        <v>8</v>
      </c>
      <c r="FU191" s="64">
        <f t="shared" si="451"/>
        <v>12</v>
      </c>
      <c r="FV191" s="64">
        <f t="shared" si="451"/>
        <v>12</v>
      </c>
      <c r="FW191" s="64">
        <f t="shared" si="451"/>
        <v>12</v>
      </c>
      <c r="FX191" s="64">
        <f t="shared" si="451"/>
        <v>16</v>
      </c>
      <c r="FY191" s="64">
        <f t="shared" si="451"/>
        <v>16</v>
      </c>
      <c r="FZ191" s="64">
        <f t="shared" si="451"/>
        <v>16</v>
      </c>
      <c r="GA191" s="64">
        <f t="shared" si="451"/>
        <v>20</v>
      </c>
      <c r="GB191" s="64">
        <f t="shared" si="451"/>
        <v>20</v>
      </c>
      <c r="GC191" s="64">
        <f t="shared" si="451"/>
        <v>20</v>
      </c>
      <c r="GD191" s="64">
        <f t="shared" si="451"/>
        <v>24</v>
      </c>
      <c r="GE191" s="64">
        <f t="shared" si="451"/>
        <v>24</v>
      </c>
      <c r="GF191" s="64">
        <f t="shared" si="451"/>
        <v>24</v>
      </c>
      <c r="GG191" s="64">
        <f t="shared" si="451"/>
        <v>28</v>
      </c>
      <c r="GH191" s="64">
        <f t="shared" si="451"/>
        <v>28</v>
      </c>
      <c r="GI191" s="64">
        <f t="shared" si="451"/>
        <v>28</v>
      </c>
      <c r="GJ191" s="64"/>
      <c r="GK191" s="64"/>
      <c r="GL191" s="64"/>
      <c r="GM191" s="64"/>
      <c r="GN191" s="64"/>
      <c r="GO191" s="64"/>
      <c r="GP191" s="64"/>
      <c r="GQ191" s="64"/>
      <c r="GR191" s="72" t="s">
        <v>376</v>
      </c>
      <c r="GS191" s="64">
        <f t="shared" ref="GS191:HP191" si="452">GS88</f>
        <v>0</v>
      </c>
      <c r="GT191" s="64">
        <f t="shared" si="452"/>
        <v>0</v>
      </c>
      <c r="GU191" s="64">
        <f t="shared" si="452"/>
        <v>0</v>
      </c>
      <c r="GV191" s="64">
        <f t="shared" si="452"/>
        <v>0</v>
      </c>
      <c r="GW191" s="64">
        <f t="shared" si="452"/>
        <v>4</v>
      </c>
      <c r="GX191" s="64">
        <f t="shared" si="452"/>
        <v>4</v>
      </c>
      <c r="GY191" s="64">
        <f t="shared" si="452"/>
        <v>8</v>
      </c>
      <c r="GZ191" s="64">
        <f t="shared" si="452"/>
        <v>8</v>
      </c>
      <c r="HA191" s="64">
        <f t="shared" si="452"/>
        <v>8</v>
      </c>
      <c r="HB191" s="64">
        <f t="shared" si="452"/>
        <v>12</v>
      </c>
      <c r="HC191" s="64">
        <f t="shared" si="452"/>
        <v>12</v>
      </c>
      <c r="HD191" s="64">
        <f t="shared" si="452"/>
        <v>12</v>
      </c>
      <c r="HE191" s="64">
        <f t="shared" si="452"/>
        <v>12</v>
      </c>
      <c r="HF191" s="64">
        <f t="shared" si="452"/>
        <v>16</v>
      </c>
      <c r="HG191" s="64">
        <f t="shared" si="452"/>
        <v>16</v>
      </c>
      <c r="HH191" s="64">
        <f t="shared" si="452"/>
        <v>16</v>
      </c>
      <c r="HI191" s="64">
        <f t="shared" si="452"/>
        <v>20</v>
      </c>
      <c r="HJ191" s="64">
        <f t="shared" si="452"/>
        <v>20</v>
      </c>
      <c r="HK191" s="64">
        <f t="shared" si="452"/>
        <v>20</v>
      </c>
      <c r="HL191" s="64">
        <f t="shared" si="452"/>
        <v>20</v>
      </c>
      <c r="HM191" s="64">
        <f t="shared" si="452"/>
        <v>24</v>
      </c>
      <c r="HN191" s="64">
        <f t="shared" si="452"/>
        <v>24</v>
      </c>
      <c r="HO191" s="64">
        <f t="shared" si="452"/>
        <v>24</v>
      </c>
      <c r="HP191" s="64">
        <f t="shared" si="452"/>
        <v>24</v>
      </c>
      <c r="HS191" s="72" t="s">
        <v>376</v>
      </c>
      <c r="HT191" s="64">
        <f t="shared" ref="HT191:IQ191" si="453">HT88</f>
        <v>0</v>
      </c>
      <c r="HU191" s="64">
        <f t="shared" si="453"/>
        <v>0</v>
      </c>
      <c r="HV191" s="64">
        <f t="shared" si="453"/>
        <v>0</v>
      </c>
      <c r="HW191" s="64">
        <f t="shared" si="453"/>
        <v>4</v>
      </c>
      <c r="HX191" s="64">
        <f t="shared" si="453"/>
        <v>4</v>
      </c>
      <c r="HY191" s="64">
        <f t="shared" si="453"/>
        <v>8</v>
      </c>
      <c r="HZ191" s="64">
        <f t="shared" si="453"/>
        <v>8</v>
      </c>
      <c r="IA191" s="64">
        <f t="shared" si="453"/>
        <v>8</v>
      </c>
      <c r="IB191" s="64">
        <f t="shared" si="453"/>
        <v>12</v>
      </c>
      <c r="IC191" s="64">
        <f t="shared" si="453"/>
        <v>12</v>
      </c>
      <c r="ID191" s="64">
        <f t="shared" si="453"/>
        <v>12</v>
      </c>
      <c r="IE191" s="64">
        <f t="shared" si="453"/>
        <v>12</v>
      </c>
      <c r="IF191" s="64">
        <f t="shared" si="453"/>
        <v>16</v>
      </c>
      <c r="IG191" s="64">
        <f t="shared" si="453"/>
        <v>16</v>
      </c>
      <c r="IH191" s="64">
        <f t="shared" si="453"/>
        <v>16</v>
      </c>
      <c r="II191" s="64">
        <f t="shared" si="453"/>
        <v>20</v>
      </c>
      <c r="IJ191" s="64">
        <f t="shared" si="453"/>
        <v>20</v>
      </c>
      <c r="IK191" s="64">
        <f t="shared" si="453"/>
        <v>20</v>
      </c>
      <c r="IL191" s="64">
        <f t="shared" si="453"/>
        <v>24</v>
      </c>
      <c r="IM191" s="64">
        <f t="shared" si="453"/>
        <v>24</v>
      </c>
      <c r="IN191" s="64">
        <f t="shared" si="453"/>
        <v>24</v>
      </c>
      <c r="IO191" s="64">
        <f t="shared" si="453"/>
        <v>24</v>
      </c>
      <c r="IP191" s="64">
        <f t="shared" si="453"/>
        <v>28</v>
      </c>
      <c r="IQ191" s="64">
        <f t="shared" si="453"/>
        <v>28</v>
      </c>
      <c r="IT191" s="71"/>
    </row>
    <row r="192" spans="1:254" x14ac:dyDescent="0.25">
      <c r="A192" s="35"/>
      <c r="B192" s="5" t="s">
        <v>61</v>
      </c>
      <c r="C192" s="35"/>
      <c r="D192" s="9"/>
      <c r="E192" s="1"/>
      <c r="F192" s="9"/>
      <c r="G192" s="9"/>
      <c r="H192" s="9"/>
      <c r="I192" s="9"/>
      <c r="J192" s="9"/>
      <c r="K192" s="9"/>
      <c r="L192" s="5" t="s">
        <v>53</v>
      </c>
      <c r="M192" s="5" t="s">
        <v>559</v>
      </c>
      <c r="N192" s="5" t="s">
        <v>436</v>
      </c>
      <c r="O192" s="5" t="s">
        <v>442</v>
      </c>
      <c r="P192" s="5" t="s">
        <v>443</v>
      </c>
      <c r="Q192" s="5" t="s">
        <v>444</v>
      </c>
      <c r="R192" s="5" t="s">
        <v>445</v>
      </c>
      <c r="S192" s="5" t="s">
        <v>446</v>
      </c>
      <c r="T192" s="5" t="s">
        <v>447</v>
      </c>
      <c r="U192" s="5" t="s">
        <v>438</v>
      </c>
      <c r="V192" s="64"/>
      <c r="W192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64">
        <v>0</v>
      </c>
      <c r="Y192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64">
        <f t="shared" si="426"/>
        <v>0</v>
      </c>
      <c r="AB192" s="64">
        <f t="shared" si="427"/>
        <v>0</v>
      </c>
      <c r="AC192" s="64"/>
      <c r="AD192" s="64"/>
      <c r="AE192" s="64"/>
      <c r="AF192" s="64"/>
      <c r="AG192" s="64"/>
      <c r="AH192" s="64"/>
      <c r="AI192" s="64"/>
      <c r="AJ192" s="64"/>
      <c r="AK192" s="64">
        <v>52</v>
      </c>
      <c r="AL192" s="64">
        <v>2300</v>
      </c>
      <c r="AM192" s="64"/>
      <c r="AN192" s="64"/>
      <c r="AO192" s="64"/>
      <c r="AP192" s="64"/>
      <c r="AQ192" s="64"/>
      <c r="AR192" s="85" t="s">
        <v>329</v>
      </c>
      <c r="AS192" s="85" t="s">
        <v>293</v>
      </c>
      <c r="AT192" s="85" t="s">
        <v>295</v>
      </c>
      <c r="AU192" s="64" t="s">
        <v>293</v>
      </c>
      <c r="AV192" s="64" t="s">
        <v>293</v>
      </c>
      <c r="AW192" s="64"/>
      <c r="AX192" s="64"/>
      <c r="AY192" s="64"/>
      <c r="AZ192" s="64"/>
      <c r="BA192" s="64"/>
      <c r="BB192" s="68" t="s">
        <v>329</v>
      </c>
      <c r="BC192" s="68" t="s">
        <v>291</v>
      </c>
      <c r="BD192" s="68" t="s">
        <v>84</v>
      </c>
      <c r="BE192" s="68" t="s">
        <v>84</v>
      </c>
      <c r="BF192" s="68" t="s">
        <v>84</v>
      </c>
      <c r="BH192" s="72" t="s">
        <v>364</v>
      </c>
      <c r="BI192" s="64">
        <v>0</v>
      </c>
      <c r="BJ192" s="64">
        <v>8</v>
      </c>
      <c r="BK192" s="64">
        <v>12</v>
      </c>
      <c r="BL192" s="64">
        <v>16</v>
      </c>
      <c r="BM192" s="64">
        <v>20</v>
      </c>
      <c r="BN192" s="64">
        <v>24</v>
      </c>
      <c r="BO192" s="64">
        <v>28</v>
      </c>
      <c r="BP192" s="64">
        <v>32</v>
      </c>
      <c r="BQ192" s="64">
        <v>36</v>
      </c>
      <c r="BR192" s="64">
        <v>40</v>
      </c>
      <c r="BS192" s="64">
        <v>44</v>
      </c>
      <c r="BT192" s="64">
        <v>48</v>
      </c>
      <c r="BU192" s="64">
        <v>52</v>
      </c>
      <c r="BV192" s="64"/>
      <c r="BW192" s="72" t="s">
        <v>364</v>
      </c>
      <c r="BX192" s="64">
        <v>0</v>
      </c>
      <c r="BY192" s="64">
        <v>8</v>
      </c>
      <c r="BZ192" s="64">
        <v>12</v>
      </c>
      <c r="CA192" s="64">
        <v>16</v>
      </c>
      <c r="CB192" s="64">
        <v>20</v>
      </c>
      <c r="CC192" s="64">
        <v>24</v>
      </c>
      <c r="CD192" s="64">
        <v>28</v>
      </c>
      <c r="CE192" s="64">
        <v>32</v>
      </c>
      <c r="CF192" s="64">
        <v>36</v>
      </c>
      <c r="CG192" s="64">
        <v>40</v>
      </c>
      <c r="CH192" s="64">
        <v>44</v>
      </c>
      <c r="CI192" s="64">
        <v>48</v>
      </c>
      <c r="CJ192" s="64">
        <v>52</v>
      </c>
      <c r="CK192" s="64"/>
      <c r="CL192" s="64"/>
      <c r="CM192" s="64"/>
      <c r="CN192" s="72" t="s">
        <v>364</v>
      </c>
      <c r="CO192" s="64">
        <f>IF(SUM(CO190:CO191)&lt;6,0,IF(SUM(CO190:CO191)&gt;7,SUM(CO190:CO191)-5,0))</f>
        <v>0</v>
      </c>
      <c r="CP192" s="64">
        <f t="shared" ref="CP192:DA192" si="454">IF(SUM(CP190:CP191)&lt;6,0,IF(SUM(CP190:CP191)&gt;7,SUM(CP190:CP191)-5,0))</f>
        <v>0</v>
      </c>
      <c r="CQ192" s="64">
        <f t="shared" si="454"/>
        <v>5</v>
      </c>
      <c r="CR192" s="64">
        <f t="shared" si="454"/>
        <v>5</v>
      </c>
      <c r="CS192" s="64">
        <f t="shared" si="454"/>
        <v>10</v>
      </c>
      <c r="CT192" s="64">
        <f t="shared" si="454"/>
        <v>10</v>
      </c>
      <c r="CU192" s="64">
        <f t="shared" si="454"/>
        <v>15</v>
      </c>
      <c r="CV192" s="64">
        <f t="shared" si="454"/>
        <v>15</v>
      </c>
      <c r="CW192" s="64">
        <f t="shared" si="454"/>
        <v>20</v>
      </c>
      <c r="CX192" s="64">
        <f t="shared" si="454"/>
        <v>20</v>
      </c>
      <c r="CY192" s="64">
        <f t="shared" si="454"/>
        <v>30</v>
      </c>
      <c r="CZ192" s="64">
        <f t="shared" si="454"/>
        <v>25</v>
      </c>
      <c r="DA192" s="64">
        <f t="shared" si="454"/>
        <v>25</v>
      </c>
      <c r="DB192" s="64"/>
      <c r="DC192" s="72" t="s">
        <v>364</v>
      </c>
      <c r="DD192" s="64">
        <f>IF(SUM(DD190:DD191)&lt;6,0,IF(SUM(DD190:DD191)&gt;7,SUM(DD190:DD191)-5,0))</f>
        <v>0</v>
      </c>
      <c r="DE192" s="64">
        <f t="shared" ref="DE192:DP192" si="455">IF(SUM(DE190:DE191)&lt;6,0,IF(SUM(DE190:DE191)&gt;7,SUM(DE190:DE191)-5,0))</f>
        <v>0</v>
      </c>
      <c r="DF192" s="64">
        <f t="shared" si="455"/>
        <v>5</v>
      </c>
      <c r="DG192" s="64">
        <f t="shared" si="455"/>
        <v>5</v>
      </c>
      <c r="DH192" s="64">
        <f t="shared" si="455"/>
        <v>10</v>
      </c>
      <c r="DI192" s="64">
        <f t="shared" si="455"/>
        <v>10</v>
      </c>
      <c r="DJ192" s="64">
        <f t="shared" si="455"/>
        <v>15</v>
      </c>
      <c r="DK192" s="64">
        <f t="shared" si="455"/>
        <v>15</v>
      </c>
      <c r="DL192" s="64">
        <f t="shared" si="455"/>
        <v>25</v>
      </c>
      <c r="DM192" s="64">
        <f t="shared" si="455"/>
        <v>20</v>
      </c>
      <c r="DN192" s="64">
        <f t="shared" si="455"/>
        <v>30</v>
      </c>
      <c r="DO192" s="64">
        <f t="shared" si="455"/>
        <v>25</v>
      </c>
      <c r="DP192" s="64">
        <f t="shared" si="455"/>
        <v>35</v>
      </c>
      <c r="DQ192" s="80"/>
      <c r="DR192" s="80">
        <v>36</v>
      </c>
      <c r="DS192" s="80"/>
      <c r="DT192" s="72" t="s">
        <v>364</v>
      </c>
      <c r="DU192" s="64">
        <f>IF(SUM(DU190:DU191)&lt;6,0,IF(SUM(DU190:DU191)&gt;7,SUM(DU190:DU191)-5,0))</f>
        <v>0</v>
      </c>
      <c r="DV192" s="64">
        <f t="shared" ref="DV192:EG192" si="456">IF(SUM(DV190:DV191)&lt;6,0,IF(SUM(DV190:DV191)&gt;7,SUM(DV190:DV191)-5,0))</f>
        <v>5</v>
      </c>
      <c r="DW192" s="64">
        <f t="shared" si="456"/>
        <v>5</v>
      </c>
      <c r="DX192" s="64">
        <f t="shared" si="456"/>
        <v>10</v>
      </c>
      <c r="DY192" s="64">
        <f t="shared" si="456"/>
        <v>10</v>
      </c>
      <c r="DZ192" s="64">
        <f t="shared" si="456"/>
        <v>15</v>
      </c>
      <c r="EA192" s="64">
        <f t="shared" si="456"/>
        <v>15</v>
      </c>
      <c r="EB192" s="64">
        <f t="shared" si="456"/>
        <v>20</v>
      </c>
      <c r="EC192" s="64">
        <f t="shared" si="456"/>
        <v>20</v>
      </c>
      <c r="ED192" s="64">
        <f t="shared" si="456"/>
        <v>25</v>
      </c>
      <c r="EE192" s="64">
        <f t="shared" si="456"/>
        <v>25</v>
      </c>
      <c r="EF192" s="64">
        <f t="shared" si="456"/>
        <v>30</v>
      </c>
      <c r="EG192" s="64">
        <f t="shared" si="456"/>
        <v>30</v>
      </c>
      <c r="EH192" s="70"/>
      <c r="EI192" s="64"/>
      <c r="EJ192" s="69"/>
      <c r="EK192" s="64" t="s">
        <v>324</v>
      </c>
      <c r="EL192" s="64">
        <f t="shared" ref="EL192:FI192" si="457">EL89</f>
        <v>0</v>
      </c>
      <c r="EM192" s="64">
        <f t="shared" si="457"/>
        <v>0</v>
      </c>
      <c r="EN192" s="64">
        <f t="shared" si="457"/>
        <v>0</v>
      </c>
      <c r="EO192" s="64">
        <f t="shared" si="457"/>
        <v>0</v>
      </c>
      <c r="EP192" s="64">
        <f t="shared" si="457"/>
        <v>4</v>
      </c>
      <c r="EQ192" s="64">
        <f t="shared" si="457"/>
        <v>4</v>
      </c>
      <c r="ER192" s="64">
        <f t="shared" si="457"/>
        <v>4</v>
      </c>
      <c r="ES192" s="64">
        <f t="shared" si="457"/>
        <v>8</v>
      </c>
      <c r="ET192" s="64">
        <f t="shared" si="457"/>
        <v>8</v>
      </c>
      <c r="EU192" s="64">
        <f t="shared" si="457"/>
        <v>8</v>
      </c>
      <c r="EV192" s="64">
        <f t="shared" si="457"/>
        <v>12</v>
      </c>
      <c r="EW192" s="64">
        <f t="shared" si="457"/>
        <v>12</v>
      </c>
      <c r="EX192" s="64">
        <f t="shared" si="457"/>
        <v>12</v>
      </c>
      <c r="EY192" s="64">
        <f t="shared" si="457"/>
        <v>12</v>
      </c>
      <c r="EZ192" s="64">
        <f t="shared" si="457"/>
        <v>16</v>
      </c>
      <c r="FA192" s="64">
        <f t="shared" si="457"/>
        <v>16</v>
      </c>
      <c r="FB192" s="64">
        <f t="shared" si="457"/>
        <v>16</v>
      </c>
      <c r="FC192" s="64">
        <f t="shared" si="457"/>
        <v>20</v>
      </c>
      <c r="FD192" s="64">
        <f t="shared" si="457"/>
        <v>20</v>
      </c>
      <c r="FE192" s="64">
        <f t="shared" si="457"/>
        <v>20</v>
      </c>
      <c r="FF192" s="64">
        <f t="shared" si="457"/>
        <v>24</v>
      </c>
      <c r="FG192" s="64">
        <f t="shared" si="457"/>
        <v>24</v>
      </c>
      <c r="FH192" s="64">
        <f t="shared" si="457"/>
        <v>24</v>
      </c>
      <c r="FI192" s="64">
        <f t="shared" si="457"/>
        <v>28</v>
      </c>
      <c r="FJ192" s="64"/>
      <c r="FK192" s="64" t="s">
        <v>324</v>
      </c>
      <c r="FL192" s="64">
        <f t="shared" ref="FL192:GI192" si="458">FL89</f>
        <v>0</v>
      </c>
      <c r="FM192" s="64">
        <f t="shared" si="458"/>
        <v>0</v>
      </c>
      <c r="FN192" s="64">
        <f t="shared" si="458"/>
        <v>0</v>
      </c>
      <c r="FO192" s="64">
        <f t="shared" si="458"/>
        <v>0</v>
      </c>
      <c r="FP192" s="64">
        <f t="shared" si="458"/>
        <v>4</v>
      </c>
      <c r="FQ192" s="64">
        <f t="shared" si="458"/>
        <v>4</v>
      </c>
      <c r="FR192" s="64">
        <f t="shared" si="458"/>
        <v>8</v>
      </c>
      <c r="FS192" s="64">
        <f t="shared" si="458"/>
        <v>8</v>
      </c>
      <c r="FT192" s="64">
        <f t="shared" si="458"/>
        <v>8</v>
      </c>
      <c r="FU192" s="64">
        <f t="shared" si="458"/>
        <v>12</v>
      </c>
      <c r="FV192" s="64">
        <f t="shared" si="458"/>
        <v>12</v>
      </c>
      <c r="FW192" s="64">
        <f t="shared" si="458"/>
        <v>12</v>
      </c>
      <c r="FX192" s="64">
        <f t="shared" si="458"/>
        <v>16</v>
      </c>
      <c r="FY192" s="64">
        <f t="shared" si="458"/>
        <v>16</v>
      </c>
      <c r="FZ192" s="64">
        <f t="shared" si="458"/>
        <v>16</v>
      </c>
      <c r="GA192" s="64">
        <f t="shared" si="458"/>
        <v>20</v>
      </c>
      <c r="GB192" s="64">
        <f t="shared" si="458"/>
        <v>20</v>
      </c>
      <c r="GC192" s="64">
        <f t="shared" si="458"/>
        <v>20</v>
      </c>
      <c r="GD192" s="64">
        <f t="shared" si="458"/>
        <v>24</v>
      </c>
      <c r="GE192" s="64">
        <f t="shared" si="458"/>
        <v>24</v>
      </c>
      <c r="GF192" s="64">
        <f t="shared" si="458"/>
        <v>24</v>
      </c>
      <c r="GG192" s="64">
        <f t="shared" si="458"/>
        <v>28</v>
      </c>
      <c r="GH192" s="64">
        <f t="shared" si="458"/>
        <v>28</v>
      </c>
      <c r="GI192" s="64">
        <f t="shared" si="458"/>
        <v>28</v>
      </c>
      <c r="GJ192" s="64"/>
      <c r="GK192" s="64"/>
      <c r="GL192" s="64"/>
      <c r="GM192" s="64"/>
      <c r="GN192" s="64"/>
      <c r="GO192" s="64"/>
      <c r="GP192" s="64"/>
      <c r="GQ192" s="64"/>
      <c r="GR192" s="64" t="s">
        <v>324</v>
      </c>
      <c r="GS192" s="64">
        <f t="shared" ref="GS192:HP192" si="459">GS89</f>
        <v>0</v>
      </c>
      <c r="GT192" s="64">
        <f t="shared" si="459"/>
        <v>0</v>
      </c>
      <c r="GU192" s="64">
        <f t="shared" si="459"/>
        <v>0</v>
      </c>
      <c r="GV192" s="64">
        <f t="shared" si="459"/>
        <v>0</v>
      </c>
      <c r="GW192" s="64">
        <f t="shared" si="459"/>
        <v>4</v>
      </c>
      <c r="GX192" s="64">
        <f t="shared" si="459"/>
        <v>4</v>
      </c>
      <c r="GY192" s="64">
        <f t="shared" si="459"/>
        <v>8</v>
      </c>
      <c r="GZ192" s="64">
        <f t="shared" si="459"/>
        <v>8</v>
      </c>
      <c r="HA192" s="64">
        <f t="shared" si="459"/>
        <v>8</v>
      </c>
      <c r="HB192" s="64">
        <f t="shared" si="459"/>
        <v>12</v>
      </c>
      <c r="HC192" s="64">
        <f t="shared" si="459"/>
        <v>12</v>
      </c>
      <c r="HD192" s="64">
        <f t="shared" si="459"/>
        <v>12</v>
      </c>
      <c r="HE192" s="64">
        <f t="shared" si="459"/>
        <v>12</v>
      </c>
      <c r="HF192" s="64">
        <f t="shared" si="459"/>
        <v>16</v>
      </c>
      <c r="HG192" s="64">
        <f t="shared" si="459"/>
        <v>16</v>
      </c>
      <c r="HH192" s="64">
        <f t="shared" si="459"/>
        <v>16</v>
      </c>
      <c r="HI192" s="64">
        <f t="shared" si="459"/>
        <v>20</v>
      </c>
      <c r="HJ192" s="64">
        <f t="shared" si="459"/>
        <v>20</v>
      </c>
      <c r="HK192" s="64">
        <f t="shared" si="459"/>
        <v>20</v>
      </c>
      <c r="HL192" s="64">
        <f t="shared" si="459"/>
        <v>20</v>
      </c>
      <c r="HM192" s="64">
        <f t="shared" si="459"/>
        <v>24</v>
      </c>
      <c r="HN192" s="64">
        <f t="shared" si="459"/>
        <v>24</v>
      </c>
      <c r="HO192" s="64">
        <f t="shared" si="459"/>
        <v>24</v>
      </c>
      <c r="HP192" s="64">
        <f t="shared" si="459"/>
        <v>24</v>
      </c>
      <c r="HS192" s="64" t="s">
        <v>324</v>
      </c>
      <c r="HT192" s="64">
        <f t="shared" ref="HT192:IQ192" si="460">HT89</f>
        <v>0</v>
      </c>
      <c r="HU192" s="64">
        <f t="shared" si="460"/>
        <v>0</v>
      </c>
      <c r="HV192" s="64">
        <f t="shared" si="460"/>
        <v>0</v>
      </c>
      <c r="HW192" s="64">
        <f t="shared" si="460"/>
        <v>4</v>
      </c>
      <c r="HX192" s="64">
        <f t="shared" si="460"/>
        <v>4</v>
      </c>
      <c r="HY192" s="64">
        <f t="shared" si="460"/>
        <v>8</v>
      </c>
      <c r="HZ192" s="64">
        <f t="shared" si="460"/>
        <v>8</v>
      </c>
      <c r="IA192" s="64">
        <f t="shared" si="460"/>
        <v>8</v>
      </c>
      <c r="IB192" s="64">
        <f t="shared" si="460"/>
        <v>12</v>
      </c>
      <c r="IC192" s="64">
        <f t="shared" si="460"/>
        <v>12</v>
      </c>
      <c r="ID192" s="64">
        <f t="shared" si="460"/>
        <v>12</v>
      </c>
      <c r="IE192" s="64">
        <f t="shared" si="460"/>
        <v>12</v>
      </c>
      <c r="IF192" s="64">
        <f t="shared" si="460"/>
        <v>16</v>
      </c>
      <c r="IG192" s="64">
        <f t="shared" si="460"/>
        <v>16</v>
      </c>
      <c r="IH192" s="64">
        <f t="shared" si="460"/>
        <v>16</v>
      </c>
      <c r="II192" s="64">
        <f t="shared" si="460"/>
        <v>20</v>
      </c>
      <c r="IJ192" s="64">
        <f t="shared" si="460"/>
        <v>20</v>
      </c>
      <c r="IK192" s="64">
        <f t="shared" si="460"/>
        <v>20</v>
      </c>
      <c r="IL192" s="64">
        <f t="shared" si="460"/>
        <v>24</v>
      </c>
      <c r="IM192" s="64">
        <f t="shared" si="460"/>
        <v>24</v>
      </c>
      <c r="IN192" s="64">
        <f t="shared" si="460"/>
        <v>24</v>
      </c>
      <c r="IO192" s="64">
        <f t="shared" si="460"/>
        <v>24</v>
      </c>
      <c r="IP192" s="64">
        <f t="shared" si="460"/>
        <v>28</v>
      </c>
      <c r="IQ192" s="64">
        <f t="shared" si="460"/>
        <v>28</v>
      </c>
      <c r="IT192" s="71"/>
    </row>
    <row r="193" spans="1:254" x14ac:dyDescent="0.25">
      <c r="A193" s="35"/>
      <c r="B193" s="5" t="s">
        <v>61</v>
      </c>
      <c r="C193" s="35"/>
      <c r="D193" s="6" t="s">
        <v>452</v>
      </c>
      <c r="E193" s="35" t="s">
        <v>204</v>
      </c>
      <c r="F193" s="5" t="s">
        <v>61</v>
      </c>
      <c r="G193" s="35" t="s">
        <v>59</v>
      </c>
      <c r="H193" s="5" t="s">
        <v>61</v>
      </c>
      <c r="I193" s="35">
        <v>35</v>
      </c>
      <c r="J193" s="5" t="s">
        <v>62</v>
      </c>
      <c r="K193" s="9"/>
      <c r="L193" s="7" t="str">
        <f>IF(E195=$AC$5,"-------",IF(E195=$AC$6,"-------",IF(E195=$AC$7,"-------",IF(E195=$AC$8,"GSW76X2200N",0))))</f>
        <v>-------</v>
      </c>
      <c r="M193" s="11" t="str">
        <f>INDEX(cenník!$C$2:$I$568,MATCH($L193,cenník!$B$2:$B$557,0),MATCH(M$2,cenník!$C$1:$I$1,0))</f>
        <v>-------</v>
      </c>
      <c r="N193" s="11">
        <f>INDEX(cenník!$C$2:$I$568,MATCH($L193,cenník!$B$2:$B$557,0),MATCH(N$2,cenník!$C$1:$I$1,0))</f>
        <v>0</v>
      </c>
      <c r="O193" s="11">
        <f>IF(L193="GSW76X2200N",SUM(O195),IF(L193="-------",0,0))</f>
        <v>0</v>
      </c>
      <c r="P193" s="36">
        <f>INDEX(cenník!$C$2:$I$568,MATCH($L193,cenník!$B$2:$B$557,0),MATCH(P$2,cenník!$C$1:$I$1,0))</f>
        <v>0</v>
      </c>
      <c r="Q193" s="36">
        <f>O193*P193</f>
        <v>0</v>
      </c>
      <c r="R193" s="37">
        <f>$E$167</f>
        <v>0</v>
      </c>
      <c r="S193" s="36">
        <f>P193*((100-$E$167)/100)</f>
        <v>0</v>
      </c>
      <c r="T193" s="36">
        <f>O193*S193</f>
        <v>0</v>
      </c>
      <c r="U193" s="36">
        <f>INDEX(cenník!$C$2:$I$568,MATCH($L193,cenník!$B$2:$B$557,0),MATCH(U$2,cenník!$C$1:$I$1,0))*O193</f>
        <v>0</v>
      </c>
      <c r="V193" s="64"/>
      <c r="W193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64">
        <v>0</v>
      </c>
      <c r="Y193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64">
        <f t="shared" si="426"/>
        <v>0</v>
      </c>
      <c r="AB193" s="64">
        <f t="shared" si="427"/>
        <v>0</v>
      </c>
      <c r="AC193" s="64"/>
      <c r="AD193" s="64"/>
      <c r="AE193" s="64"/>
      <c r="AF193" s="64"/>
      <c r="AG193" s="64"/>
      <c r="AH193" s="64"/>
      <c r="AI193" s="64"/>
      <c r="AJ193" s="64"/>
      <c r="AK193" s="64">
        <f>((AK192/4)*AL192)+(((AK192/4)-1)*20)</f>
        <v>30140</v>
      </c>
      <c r="AL193" s="64" t="s">
        <v>91</v>
      </c>
      <c r="AM193" s="64" t="s">
        <v>89</v>
      </c>
      <c r="AN193" s="64" t="s">
        <v>88</v>
      </c>
      <c r="AO193" s="64"/>
      <c r="AP193" s="64" t="s">
        <v>90</v>
      </c>
      <c r="AQ193" s="64"/>
      <c r="AR193" s="64" t="s">
        <v>330</v>
      </c>
      <c r="AS193" s="85" t="s">
        <v>293</v>
      </c>
      <c r="AT193" s="85" t="s">
        <v>295</v>
      </c>
      <c r="AU193" s="64" t="s">
        <v>293</v>
      </c>
      <c r="AV193" s="64" t="s">
        <v>293</v>
      </c>
      <c r="AW193" s="64"/>
      <c r="AX193" s="64"/>
      <c r="AY193" s="64"/>
      <c r="AZ193" s="64"/>
      <c r="BA193" s="64"/>
      <c r="BB193" s="68" t="s">
        <v>330</v>
      </c>
      <c r="BC193" s="68" t="s">
        <v>291</v>
      </c>
      <c r="BD193" s="68" t="s">
        <v>84</v>
      </c>
      <c r="BE193" s="68" t="s">
        <v>84</v>
      </c>
      <c r="BF193" s="68" t="s">
        <v>84</v>
      </c>
      <c r="BH193" s="69"/>
      <c r="BI193" s="64"/>
      <c r="BJ193" s="64"/>
      <c r="BK193" s="64"/>
      <c r="BL193" s="64"/>
      <c r="BM193" s="64"/>
      <c r="BN193" s="64"/>
      <c r="BO193" s="64"/>
      <c r="BP193" s="64"/>
      <c r="BQ193" s="64"/>
      <c r="BR193" s="64"/>
      <c r="BS193" s="64"/>
      <c r="BT193" s="64"/>
      <c r="BU193" s="64"/>
      <c r="BV193" s="64"/>
      <c r="BW193" s="64"/>
      <c r="BX193" s="64"/>
      <c r="BY193" s="64"/>
      <c r="BZ193" s="64"/>
      <c r="CA193" s="64"/>
      <c r="CB193" s="64"/>
      <c r="CC193" s="64"/>
      <c r="CD193" s="64"/>
      <c r="CE193" s="64"/>
      <c r="CF193" s="64"/>
      <c r="CG193" s="64"/>
      <c r="CH193" s="64"/>
      <c r="CI193" s="64"/>
      <c r="CJ193" s="64"/>
      <c r="CK193" s="64"/>
      <c r="CL193" s="64"/>
      <c r="CM193" s="64"/>
      <c r="CN193" s="64"/>
      <c r="CO193" s="64"/>
      <c r="CP193" s="64"/>
      <c r="CQ193" s="64"/>
      <c r="CR193" s="64"/>
      <c r="CS193" s="64"/>
      <c r="CT193" s="64"/>
      <c r="CU193" s="64"/>
      <c r="CV193" s="64"/>
      <c r="CW193" s="64"/>
      <c r="CX193" s="64"/>
      <c r="CY193" s="64"/>
      <c r="CZ193" s="64"/>
      <c r="DA193" s="64"/>
      <c r="DB193" s="64"/>
      <c r="DC193" s="64"/>
      <c r="DD193" s="64"/>
      <c r="DE193" s="64"/>
      <c r="DF193" s="64"/>
      <c r="DG193" s="64"/>
      <c r="DH193" s="64"/>
      <c r="DI193" s="64"/>
      <c r="DJ193" s="64"/>
      <c r="DK193" s="64"/>
      <c r="DL193" s="64"/>
      <c r="DM193" s="64"/>
      <c r="DN193" s="64"/>
      <c r="DO193" s="64"/>
      <c r="DP193" s="64"/>
      <c r="DQ193" s="80"/>
      <c r="DR193" s="80">
        <v>39</v>
      </c>
      <c r="DS193" s="80"/>
      <c r="DT193" s="64"/>
      <c r="DU193" s="64"/>
      <c r="DV193" s="64"/>
      <c r="DW193" s="64"/>
      <c r="DX193" s="64"/>
      <c r="DY193" s="64"/>
      <c r="DZ193" s="64"/>
      <c r="EA193" s="64"/>
      <c r="EB193" s="64"/>
      <c r="EC193" s="64"/>
      <c r="ED193" s="64"/>
      <c r="EE193" s="64"/>
      <c r="EF193" s="64"/>
      <c r="EG193" s="64"/>
      <c r="EH193" s="70"/>
      <c r="EI193" s="64"/>
      <c r="EJ193" s="69"/>
      <c r="GJ193" s="64"/>
      <c r="GK193" s="64"/>
      <c r="GL193" s="64"/>
      <c r="GM193" s="64"/>
      <c r="GN193" s="64"/>
      <c r="GO193" s="64"/>
      <c r="GP193" s="64"/>
      <c r="GQ193" s="64"/>
      <c r="GR193" s="64"/>
      <c r="GS193" s="64"/>
      <c r="GT193" s="64"/>
      <c r="GU193" s="64"/>
      <c r="GV193" s="64"/>
      <c r="GW193" s="64"/>
      <c r="GX193" s="64"/>
      <c r="GY193" s="64"/>
      <c r="GZ193" s="64"/>
      <c r="HA193" s="64"/>
      <c r="HB193" s="64"/>
      <c r="HC193" s="64"/>
      <c r="HD193" s="64"/>
      <c r="HE193" s="64"/>
      <c r="HF193" s="64"/>
      <c r="HG193" s="64"/>
      <c r="HH193" s="64"/>
      <c r="IT193" s="71"/>
    </row>
    <row r="194" spans="1:254" x14ac:dyDescent="0.25">
      <c r="A194" s="35"/>
      <c r="B194" s="5" t="s">
        <v>61</v>
      </c>
      <c r="C194" s="35"/>
      <c r="D194" s="6" t="s">
        <v>456</v>
      </c>
      <c r="E194" s="35" t="s">
        <v>466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str">
        <f>INDEX(cenník!$C$2:$I$568,MATCH($L194,cenník!$B$2:$B$557,0),MATCH(M$2,cenník!$C$1:$I$1,0))</f>
        <v>-------</v>
      </c>
      <c r="N194" s="11">
        <f>INDEX(cenník!$C$2:$I$568,MATCH($L194,cenník!$B$2:$B$557,0),MATCH(N$2,cenník!$C$1:$I$1,0))</f>
        <v>0</v>
      </c>
      <c r="O194" s="11">
        <f>IF(E195=AC5,0,IF(E195=AC6,0,IF(E195=AC7,O195,IF(E195=AC8,O195,0))))</f>
        <v>0</v>
      </c>
      <c r="P194" s="36">
        <f>INDEX(cenník!$C$2:$I$568,MATCH($L194,cenník!$B$2:$B$557,0),MATCH(P$2,cenník!$C$1:$I$1,0))</f>
        <v>0</v>
      </c>
      <c r="Q194" s="36">
        <f>O194*P194</f>
        <v>0</v>
      </c>
      <c r="R194" s="37">
        <f>$E$167</f>
        <v>0</v>
      </c>
      <c r="S194" s="36">
        <f>P194*((100-$E$167)/100)</f>
        <v>0</v>
      </c>
      <c r="T194" s="36">
        <f>O194*S194</f>
        <v>0</v>
      </c>
      <c r="U194" s="36">
        <f>INDEX(cenník!$C$2:$I$568,MATCH($L194,cenník!$B$2:$B$557,0),MATCH(U$2,cenník!$C$1:$I$1,0))*O194</f>
        <v>0</v>
      </c>
      <c r="V194" s="64"/>
      <c r="W194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64">
        <v>0</v>
      </c>
      <c r="Y194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64">
        <f t="shared" si="426"/>
        <v>0</v>
      </c>
      <c r="AB194" s="64">
        <f t="shared" si="427"/>
        <v>0</v>
      </c>
      <c r="AC194" s="64"/>
      <c r="AD194" s="64"/>
      <c r="AE194" s="64"/>
      <c r="AF194" s="64"/>
      <c r="AG194" s="64"/>
      <c r="AH194" s="64"/>
      <c r="AI194" s="64"/>
      <c r="AJ194" s="64" t="s">
        <v>103</v>
      </c>
      <c r="AK194" s="64">
        <v>4400</v>
      </c>
      <c r="AL194" s="64">
        <v>7</v>
      </c>
      <c r="AM194" s="64">
        <f>AK194*AL194</f>
        <v>30800</v>
      </c>
      <c r="AN194" s="64">
        <v>164.41</v>
      </c>
      <c r="AO194" s="64">
        <f>AL194*AN194</f>
        <v>1150.8699999999999</v>
      </c>
      <c r="AP194" s="64">
        <f>AL194*5</f>
        <v>35</v>
      </c>
      <c r="AQ194" s="64"/>
      <c r="AR194" s="64" t="s">
        <v>331</v>
      </c>
      <c r="AS194" s="85" t="s">
        <v>293</v>
      </c>
      <c r="AT194" s="85" t="s">
        <v>295</v>
      </c>
      <c r="AU194" s="64" t="s">
        <v>293</v>
      </c>
      <c r="AV194" s="64" t="s">
        <v>293</v>
      </c>
      <c r="AW194" s="64"/>
      <c r="AX194" s="64"/>
      <c r="AY194" s="64"/>
      <c r="AZ194" s="64"/>
      <c r="BA194" s="64"/>
      <c r="BB194" s="68" t="s">
        <v>331</v>
      </c>
      <c r="BC194" s="68" t="s">
        <v>291</v>
      </c>
      <c r="BD194" s="68" t="s">
        <v>84</v>
      </c>
      <c r="BE194" s="68" t="s">
        <v>84</v>
      </c>
      <c r="BF194" s="68" t="s">
        <v>84</v>
      </c>
      <c r="BH194" s="69" t="s">
        <v>67</v>
      </c>
      <c r="BI194" s="64">
        <v>0</v>
      </c>
      <c r="BJ194" s="64">
        <v>8</v>
      </c>
      <c r="BK194" s="64">
        <v>12</v>
      </c>
      <c r="BL194" s="64">
        <v>16</v>
      </c>
      <c r="BM194" s="64">
        <v>20</v>
      </c>
      <c r="BN194" s="64">
        <v>24</v>
      </c>
      <c r="BO194" s="64">
        <v>28</v>
      </c>
      <c r="BP194" s="64">
        <v>32</v>
      </c>
      <c r="BQ194" s="64">
        <v>36</v>
      </c>
      <c r="BR194" s="64">
        <v>40</v>
      </c>
      <c r="BS194" s="64">
        <v>44</v>
      </c>
      <c r="BT194" s="64">
        <v>48</v>
      </c>
      <c r="BU194" s="64">
        <v>52</v>
      </c>
      <c r="BV194" s="64"/>
      <c r="BW194" s="64" t="s">
        <v>196</v>
      </c>
      <c r="BX194" s="64">
        <v>0</v>
      </c>
      <c r="BY194" s="64">
        <v>8</v>
      </c>
      <c r="BZ194" s="64">
        <v>12</v>
      </c>
      <c r="CA194" s="64">
        <v>16</v>
      </c>
      <c r="CB194" s="64">
        <v>20</v>
      </c>
      <c r="CC194" s="64">
        <v>24</v>
      </c>
      <c r="CD194" s="64">
        <v>28</v>
      </c>
      <c r="CE194" s="64">
        <v>32</v>
      </c>
      <c r="CF194" s="64">
        <v>36</v>
      </c>
      <c r="CG194" s="64">
        <v>40</v>
      </c>
      <c r="CH194" s="64">
        <v>44</v>
      </c>
      <c r="CI194" s="64">
        <v>48</v>
      </c>
      <c r="CJ194" s="64">
        <v>52</v>
      </c>
      <c r="CK194" s="64"/>
      <c r="CL194" s="64"/>
      <c r="CM194" s="64"/>
      <c r="CN194" s="64" t="s">
        <v>71</v>
      </c>
      <c r="CO194" s="64">
        <v>0</v>
      </c>
      <c r="CP194" s="64">
        <v>8</v>
      </c>
      <c r="CQ194" s="64">
        <v>12</v>
      </c>
      <c r="CR194" s="64">
        <v>16</v>
      </c>
      <c r="CS194" s="64">
        <v>20</v>
      </c>
      <c r="CT194" s="64">
        <v>24</v>
      </c>
      <c r="CU194" s="64">
        <v>28</v>
      </c>
      <c r="CV194" s="64">
        <v>32</v>
      </c>
      <c r="CW194" s="64">
        <v>36</v>
      </c>
      <c r="CX194" s="64">
        <v>40</v>
      </c>
      <c r="CY194" s="64">
        <v>44</v>
      </c>
      <c r="CZ194" s="64">
        <v>48</v>
      </c>
      <c r="DA194" s="64">
        <v>52</v>
      </c>
      <c r="DB194" s="64"/>
      <c r="DC194" s="64" t="s">
        <v>204</v>
      </c>
      <c r="DD194" s="64">
        <v>0</v>
      </c>
      <c r="DE194" s="64">
        <v>8</v>
      </c>
      <c r="DF194" s="64">
        <v>12</v>
      </c>
      <c r="DG194" s="64">
        <v>16</v>
      </c>
      <c r="DH194" s="64">
        <v>20</v>
      </c>
      <c r="DI194" s="64">
        <v>24</v>
      </c>
      <c r="DJ194" s="64">
        <v>28</v>
      </c>
      <c r="DK194" s="64">
        <v>32</v>
      </c>
      <c r="DL194" s="64">
        <v>36</v>
      </c>
      <c r="DM194" s="64">
        <v>40</v>
      </c>
      <c r="DN194" s="64">
        <v>44</v>
      </c>
      <c r="DO194" s="64">
        <v>48</v>
      </c>
      <c r="DP194" s="64">
        <v>52</v>
      </c>
      <c r="DQ194" s="80"/>
      <c r="DR194" s="80"/>
      <c r="DS194" s="80"/>
      <c r="DT194" s="64"/>
      <c r="DU194" s="64"/>
      <c r="DV194" s="64"/>
      <c r="DW194" s="64"/>
      <c r="DX194" s="64"/>
      <c r="DY194" s="64"/>
      <c r="DZ194" s="64"/>
      <c r="EA194" s="64"/>
      <c r="EB194" s="64"/>
      <c r="EC194" s="64"/>
      <c r="ED194" s="64"/>
      <c r="EE194" s="64"/>
      <c r="EF194" s="64"/>
      <c r="EG194" s="64"/>
      <c r="EH194" s="70"/>
      <c r="EI194" s="64"/>
      <c r="EJ194" s="69"/>
      <c r="GJ194" s="64"/>
      <c r="GK194" s="64"/>
      <c r="GL194" s="64"/>
      <c r="GM194" s="64"/>
      <c r="GN194" s="64"/>
      <c r="GO194" s="64"/>
      <c r="GP194" s="64"/>
      <c r="GQ194" s="64"/>
      <c r="GR194" s="64" t="s">
        <v>330</v>
      </c>
      <c r="GS194" s="64">
        <v>0</v>
      </c>
      <c r="GT194" s="64">
        <v>6</v>
      </c>
      <c r="GU194" s="64">
        <v>8</v>
      </c>
      <c r="GV194" s="64">
        <v>10</v>
      </c>
      <c r="GW194" s="64">
        <v>12</v>
      </c>
      <c r="GX194" s="64">
        <v>14</v>
      </c>
      <c r="GY194" s="64">
        <v>16</v>
      </c>
      <c r="GZ194" s="64">
        <v>18</v>
      </c>
      <c r="HA194" s="64">
        <v>20</v>
      </c>
      <c r="HB194" s="64">
        <v>22</v>
      </c>
      <c r="HC194" s="64">
        <v>24</v>
      </c>
      <c r="HD194" s="64">
        <v>26</v>
      </c>
      <c r="HE194" s="64">
        <v>28</v>
      </c>
      <c r="HF194" s="64">
        <v>30</v>
      </c>
      <c r="HG194" s="64">
        <v>32</v>
      </c>
      <c r="HH194" s="64">
        <v>34</v>
      </c>
      <c r="HI194" s="68">
        <v>36</v>
      </c>
      <c r="HJ194" s="68">
        <v>38</v>
      </c>
      <c r="HK194" s="68">
        <v>40</v>
      </c>
      <c r="HL194" s="68">
        <v>42</v>
      </c>
      <c r="HM194" s="68">
        <v>44</v>
      </c>
      <c r="HN194" s="68">
        <v>46</v>
      </c>
      <c r="HO194" s="68">
        <v>48</v>
      </c>
      <c r="HP194" s="68">
        <v>50</v>
      </c>
      <c r="HS194" s="68" t="s">
        <v>350</v>
      </c>
      <c r="HT194" s="68">
        <v>0</v>
      </c>
      <c r="HU194" s="68">
        <v>6</v>
      </c>
      <c r="HV194" s="68">
        <v>8</v>
      </c>
      <c r="HW194" s="68">
        <v>10</v>
      </c>
      <c r="HX194" s="68">
        <v>12</v>
      </c>
      <c r="HY194" s="68">
        <v>14</v>
      </c>
      <c r="HZ194" s="68">
        <v>16</v>
      </c>
      <c r="IA194" s="68">
        <v>18</v>
      </c>
      <c r="IB194" s="68">
        <v>20</v>
      </c>
      <c r="IC194" s="68">
        <v>22</v>
      </c>
      <c r="ID194" s="68">
        <v>24</v>
      </c>
      <c r="IE194" s="68">
        <v>26</v>
      </c>
      <c r="IF194" s="68">
        <v>28</v>
      </c>
      <c r="IG194" s="68">
        <v>30</v>
      </c>
      <c r="IH194" s="68">
        <v>32</v>
      </c>
      <c r="II194" s="68">
        <v>34</v>
      </c>
      <c r="IJ194" s="68">
        <v>36</v>
      </c>
      <c r="IK194" s="68">
        <v>38</v>
      </c>
      <c r="IL194" s="68">
        <v>40</v>
      </c>
      <c r="IM194" s="68">
        <v>42</v>
      </c>
      <c r="IN194" s="68">
        <v>44</v>
      </c>
      <c r="IO194" s="68">
        <v>46</v>
      </c>
      <c r="IP194" s="68">
        <v>48</v>
      </c>
      <c r="IQ194" s="68">
        <v>50</v>
      </c>
      <c r="IT194" s="71"/>
    </row>
    <row r="195" spans="1:254" x14ac:dyDescent="0.25">
      <c r="A195" s="35"/>
      <c r="B195" s="5" t="s">
        <v>61</v>
      </c>
      <c r="C195" s="35"/>
      <c r="D195" s="6" t="s">
        <v>475</v>
      </c>
      <c r="E195" s="35" t="s">
        <v>515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 t="e">
        <f>INDEX(cenník!$C$2:$I$568,MATCH($L195,cenník!$B$2:$B$557,0),MATCH(M$2,cenník!$C$1:$I$1,0))</f>
        <v>#N/A</v>
      </c>
      <c r="N195" s="11" t="e">
        <f>INDEX(cenník!$C$2:$I$568,MATCH($L195,cenník!$B$2:$B$557,0),MATCH(N$2,cenník!$C$1:$I$1,0))</f>
        <v>#N/A</v>
      </c>
      <c r="O195" s="11">
        <f>SUM(AB180:AB195)</f>
        <v>0</v>
      </c>
      <c r="P195" s="36" t="e">
        <f>INDEX(cenník!$C$2:$I$568,MATCH($L195,cenník!$B$2:$B$557,0),MATCH(P$2,cenník!$C$1:$I$1,0))</f>
        <v>#N/A</v>
      </c>
      <c r="Q195" s="36" t="e">
        <f t="shared" ref="Q195:Q200" si="461">O195*P195</f>
        <v>#N/A</v>
      </c>
      <c r="R195" s="37">
        <f t="shared" ref="R195:R212" si="462">$E$197</f>
        <v>0</v>
      </c>
      <c r="S195" s="36" t="e">
        <f t="shared" ref="S195:S212" si="463">P195*((100-$E$197)/100)</f>
        <v>#N/A</v>
      </c>
      <c r="T195" s="36" t="e">
        <f t="shared" ref="T195:T212" si="464">O195*S195</f>
        <v>#N/A</v>
      </c>
      <c r="U195" s="36" t="e">
        <f>INDEX(cenník!$C$2:$I$568,MATCH($L195,cenník!$B$2:$B$557,0),MATCH(U$2,cenník!$C$1:$I$1,0))*O195</f>
        <v>#N/A</v>
      </c>
      <c r="V195" s="64"/>
      <c r="W195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64">
        <v>0</v>
      </c>
      <c r="Y195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64">
        <f t="shared" si="426"/>
        <v>0</v>
      </c>
      <c r="AB195" s="64">
        <f t="shared" si="427"/>
        <v>0</v>
      </c>
      <c r="AC195" s="64"/>
      <c r="AD195" s="64"/>
      <c r="AE195" s="64"/>
      <c r="AF195" s="64"/>
      <c r="AG195" s="64"/>
      <c r="AH195" s="64"/>
      <c r="AI195" s="64"/>
      <c r="AJ195" s="64" t="s">
        <v>16</v>
      </c>
      <c r="AK195" s="64">
        <v>3300</v>
      </c>
      <c r="AL195" s="64">
        <v>0</v>
      </c>
      <c r="AM195" s="64">
        <f>AK195*AL195</f>
        <v>0</v>
      </c>
      <c r="AN195" s="64">
        <v>123.46</v>
      </c>
      <c r="AO195" s="64">
        <f>AL195*AN195</f>
        <v>0</v>
      </c>
      <c r="AP195" s="64">
        <f>AL195*5</f>
        <v>0</v>
      </c>
      <c r="AQ195" s="64"/>
      <c r="AR195" s="64"/>
      <c r="AS195" s="64"/>
      <c r="AT195" s="64"/>
      <c r="AU195" s="64"/>
      <c r="AV195" s="64"/>
      <c r="AW195" s="64"/>
      <c r="AX195" s="64"/>
      <c r="AY195" s="64"/>
      <c r="AZ195" s="64"/>
      <c r="BA195" s="64"/>
      <c r="BB195" s="64"/>
      <c r="BC195" s="64"/>
      <c r="BD195" s="64"/>
      <c r="BE195" s="64"/>
      <c r="BF195" s="64"/>
      <c r="BH195" s="69" t="s">
        <v>240</v>
      </c>
      <c r="BI195" s="64">
        <f>BI34/5*4</f>
        <v>0</v>
      </c>
      <c r="BJ195" s="64">
        <v>5</v>
      </c>
      <c r="BK195" s="64">
        <v>0</v>
      </c>
      <c r="BL195" s="64">
        <v>5</v>
      </c>
      <c r="BM195" s="64">
        <v>0</v>
      </c>
      <c r="BN195" s="64">
        <v>5</v>
      </c>
      <c r="BO195" s="64">
        <v>15</v>
      </c>
      <c r="BP195" s="64">
        <v>5</v>
      </c>
      <c r="BQ195" s="64">
        <v>15</v>
      </c>
      <c r="BR195" s="64">
        <v>10</v>
      </c>
      <c r="BS195" s="64">
        <v>15</v>
      </c>
      <c r="BT195" s="64">
        <v>25</v>
      </c>
      <c r="BU195" s="64">
        <v>15</v>
      </c>
      <c r="BV195" s="64"/>
      <c r="BW195" s="64" t="s">
        <v>240</v>
      </c>
      <c r="BX195" s="64">
        <v>0</v>
      </c>
      <c r="BY195" s="68">
        <v>5</v>
      </c>
      <c r="BZ195" s="68">
        <v>0</v>
      </c>
      <c r="CA195" s="68">
        <v>5</v>
      </c>
      <c r="CB195" s="68">
        <v>0</v>
      </c>
      <c r="CC195" s="68">
        <v>10</v>
      </c>
      <c r="CD195" s="68">
        <v>5</v>
      </c>
      <c r="CE195" s="68">
        <v>10</v>
      </c>
      <c r="CF195" s="68">
        <v>20</v>
      </c>
      <c r="CG195" s="68">
        <v>0</v>
      </c>
      <c r="CH195" s="68">
        <v>25</v>
      </c>
      <c r="CI195" s="68">
        <v>15</v>
      </c>
      <c r="CJ195" s="68">
        <v>25</v>
      </c>
      <c r="CK195" s="64"/>
      <c r="CL195" s="64"/>
      <c r="CM195" s="64"/>
      <c r="CN195" s="64" t="s">
        <v>240</v>
      </c>
      <c r="CO195" s="64">
        <f>CO34/5*4</f>
        <v>0</v>
      </c>
      <c r="CP195" s="64">
        <v>5</v>
      </c>
      <c r="CQ195" s="64">
        <v>0</v>
      </c>
      <c r="CR195" s="64">
        <v>10</v>
      </c>
      <c r="CS195" s="64">
        <v>5</v>
      </c>
      <c r="CT195" s="64">
        <v>15</v>
      </c>
      <c r="CU195" s="64">
        <v>10</v>
      </c>
      <c r="CV195" s="64">
        <v>20</v>
      </c>
      <c r="CW195" s="64">
        <v>10</v>
      </c>
      <c r="CX195" s="64">
        <v>20</v>
      </c>
      <c r="CY195" s="64">
        <v>0</v>
      </c>
      <c r="CZ195" s="64">
        <v>25</v>
      </c>
      <c r="DA195" s="64">
        <v>5</v>
      </c>
      <c r="DB195" s="64"/>
      <c r="DC195" s="64" t="s">
        <v>240</v>
      </c>
      <c r="DD195" s="64">
        <v>0</v>
      </c>
      <c r="DE195" s="64">
        <v>0</v>
      </c>
      <c r="DF195" s="64">
        <v>5</v>
      </c>
      <c r="DG195" s="64">
        <v>0</v>
      </c>
      <c r="DH195" s="64">
        <v>10</v>
      </c>
      <c r="DI195" s="64">
        <v>5</v>
      </c>
      <c r="DJ195" s="64">
        <v>15</v>
      </c>
      <c r="DK195" s="64">
        <v>10</v>
      </c>
      <c r="DL195" s="64">
        <v>20</v>
      </c>
      <c r="DM195" s="64">
        <v>0</v>
      </c>
      <c r="DN195" s="64">
        <v>25</v>
      </c>
      <c r="DO195" s="64">
        <v>5</v>
      </c>
      <c r="DP195" s="64">
        <v>30</v>
      </c>
      <c r="DQ195" s="80"/>
      <c r="DR195" s="80"/>
      <c r="DS195" s="80"/>
      <c r="DT195" s="64" t="s">
        <v>353</v>
      </c>
      <c r="DU195" s="64"/>
      <c r="DV195" s="64"/>
      <c r="DW195" s="64"/>
      <c r="DX195" s="64"/>
      <c r="DY195" s="64"/>
      <c r="DZ195" s="64"/>
      <c r="EA195" s="64"/>
      <c r="EB195" s="64"/>
      <c r="EC195" s="64"/>
      <c r="ED195" s="64"/>
      <c r="EE195" s="64"/>
      <c r="EF195" s="64"/>
      <c r="EG195" s="64"/>
      <c r="EH195" s="70"/>
      <c r="EI195" s="64"/>
      <c r="EJ195" s="69"/>
      <c r="EK195" s="64" t="s">
        <v>60</v>
      </c>
      <c r="EL195" s="64">
        <v>0</v>
      </c>
      <c r="EM195" s="64">
        <v>6</v>
      </c>
      <c r="EN195" s="64">
        <v>8</v>
      </c>
      <c r="EO195" s="64">
        <v>10</v>
      </c>
      <c r="EP195" s="64">
        <v>12</v>
      </c>
      <c r="EQ195" s="64">
        <v>14</v>
      </c>
      <c r="ER195" s="64">
        <v>16</v>
      </c>
      <c r="ES195" s="64">
        <v>18</v>
      </c>
      <c r="ET195" s="64">
        <v>20</v>
      </c>
      <c r="EU195" s="64">
        <v>22</v>
      </c>
      <c r="EV195" s="64">
        <v>24</v>
      </c>
      <c r="EW195" s="64">
        <v>26</v>
      </c>
      <c r="EX195" s="64">
        <v>28</v>
      </c>
      <c r="EY195" s="64">
        <v>30</v>
      </c>
      <c r="EZ195" s="64">
        <v>32</v>
      </c>
      <c r="FA195" s="64">
        <v>34</v>
      </c>
      <c r="FB195" s="64">
        <v>36</v>
      </c>
      <c r="FC195" s="64">
        <v>38</v>
      </c>
      <c r="FD195" s="64">
        <v>40</v>
      </c>
      <c r="FE195" s="64">
        <v>42</v>
      </c>
      <c r="FF195" s="64">
        <v>44</v>
      </c>
      <c r="FG195" s="64">
        <v>46</v>
      </c>
      <c r="FH195" s="64">
        <v>48</v>
      </c>
      <c r="FI195" s="64">
        <v>50</v>
      </c>
      <c r="FJ195" s="64"/>
      <c r="FK195" s="64" t="s">
        <v>205</v>
      </c>
      <c r="FL195" s="64">
        <v>0</v>
      </c>
      <c r="FM195" s="64">
        <v>6</v>
      </c>
      <c r="FN195" s="64">
        <v>8</v>
      </c>
      <c r="FO195" s="64">
        <v>10</v>
      </c>
      <c r="FP195" s="64">
        <v>12</v>
      </c>
      <c r="FQ195" s="64">
        <v>14</v>
      </c>
      <c r="FR195" s="64">
        <v>16</v>
      </c>
      <c r="FS195" s="64">
        <v>18</v>
      </c>
      <c r="FT195" s="64">
        <v>20</v>
      </c>
      <c r="FU195" s="64">
        <v>22</v>
      </c>
      <c r="FV195" s="64">
        <v>24</v>
      </c>
      <c r="FW195" s="64">
        <v>26</v>
      </c>
      <c r="FX195" s="64">
        <v>28</v>
      </c>
      <c r="FY195" s="64">
        <v>30</v>
      </c>
      <c r="FZ195" s="64">
        <v>32</v>
      </c>
      <c r="GA195" s="64">
        <v>34</v>
      </c>
      <c r="GB195" s="64">
        <v>36</v>
      </c>
      <c r="GC195" s="64">
        <v>38</v>
      </c>
      <c r="GD195" s="64">
        <v>40</v>
      </c>
      <c r="GE195" s="64">
        <v>42</v>
      </c>
      <c r="GF195" s="64">
        <v>44</v>
      </c>
      <c r="GG195" s="64">
        <v>46</v>
      </c>
      <c r="GH195" s="64">
        <v>48</v>
      </c>
      <c r="GI195" s="64">
        <v>50</v>
      </c>
      <c r="GJ195" s="64"/>
      <c r="GK195" s="64"/>
      <c r="GL195" s="64"/>
      <c r="GM195" s="64"/>
      <c r="GN195" s="64"/>
      <c r="GO195" s="64"/>
      <c r="GP195" s="64"/>
      <c r="GQ195" s="64"/>
      <c r="GR195" s="68" t="s">
        <v>375</v>
      </c>
      <c r="GS195" s="64">
        <f>GS92</f>
        <v>0</v>
      </c>
      <c r="GT195" s="64">
        <f t="shared" ref="GT195:HP195" si="465">GT92</f>
        <v>0</v>
      </c>
      <c r="GU195" s="64">
        <f t="shared" si="465"/>
        <v>4</v>
      </c>
      <c r="GV195" s="64">
        <f t="shared" si="465"/>
        <v>4</v>
      </c>
      <c r="GW195" s="64">
        <f t="shared" si="465"/>
        <v>0</v>
      </c>
      <c r="GX195" s="64">
        <f t="shared" si="465"/>
        <v>0</v>
      </c>
      <c r="GY195" s="64">
        <f t="shared" si="465"/>
        <v>0</v>
      </c>
      <c r="GZ195" s="64">
        <f t="shared" si="465"/>
        <v>0</v>
      </c>
      <c r="HA195" s="64">
        <f t="shared" si="465"/>
        <v>0</v>
      </c>
      <c r="HB195" s="64">
        <f t="shared" si="465"/>
        <v>0</v>
      </c>
      <c r="HC195" s="64">
        <f t="shared" si="465"/>
        <v>0</v>
      </c>
      <c r="HD195" s="64">
        <f t="shared" si="465"/>
        <v>0</v>
      </c>
      <c r="HE195" s="64">
        <f t="shared" si="465"/>
        <v>0</v>
      </c>
      <c r="HF195" s="64">
        <f t="shared" si="465"/>
        <v>0</v>
      </c>
      <c r="HG195" s="64">
        <f t="shared" si="465"/>
        <v>0</v>
      </c>
      <c r="HH195" s="64">
        <f t="shared" si="465"/>
        <v>0</v>
      </c>
      <c r="HI195" s="64">
        <f t="shared" si="465"/>
        <v>0</v>
      </c>
      <c r="HJ195" s="64">
        <f t="shared" si="465"/>
        <v>0</v>
      </c>
      <c r="HK195" s="64">
        <f t="shared" si="465"/>
        <v>0</v>
      </c>
      <c r="HL195" s="64">
        <f t="shared" si="465"/>
        <v>0</v>
      </c>
      <c r="HM195" s="64">
        <f t="shared" si="465"/>
        <v>0</v>
      </c>
      <c r="HN195" s="64">
        <f t="shared" si="465"/>
        <v>0</v>
      </c>
      <c r="HO195" s="64">
        <f t="shared" si="465"/>
        <v>0</v>
      </c>
      <c r="HP195" s="64">
        <f t="shared" si="465"/>
        <v>0</v>
      </c>
      <c r="HS195" s="68" t="s">
        <v>375</v>
      </c>
      <c r="HT195" s="64">
        <f>HT92</f>
        <v>0</v>
      </c>
      <c r="HU195" s="64">
        <f t="shared" ref="HU195:IQ195" si="466">HU92</f>
        <v>0</v>
      </c>
      <c r="HV195" s="64">
        <f t="shared" si="466"/>
        <v>4</v>
      </c>
      <c r="HW195" s="64">
        <f t="shared" si="466"/>
        <v>0</v>
      </c>
      <c r="HX195" s="64">
        <f t="shared" si="466"/>
        <v>0</v>
      </c>
      <c r="HY195" s="64">
        <f t="shared" si="466"/>
        <v>0</v>
      </c>
      <c r="HZ195" s="64">
        <f t="shared" si="466"/>
        <v>0</v>
      </c>
      <c r="IA195" s="64">
        <f t="shared" si="466"/>
        <v>0</v>
      </c>
      <c r="IB195" s="64">
        <f t="shared" si="466"/>
        <v>0</v>
      </c>
      <c r="IC195" s="64">
        <f t="shared" si="466"/>
        <v>0</v>
      </c>
      <c r="ID195" s="64">
        <f t="shared" si="466"/>
        <v>0</v>
      </c>
      <c r="IE195" s="64">
        <f t="shared" si="466"/>
        <v>0</v>
      </c>
      <c r="IF195" s="64">
        <f t="shared" si="466"/>
        <v>0</v>
      </c>
      <c r="IG195" s="64">
        <f t="shared" si="466"/>
        <v>0</v>
      </c>
      <c r="IH195" s="64">
        <f t="shared" si="466"/>
        <v>0</v>
      </c>
      <c r="II195" s="64">
        <f t="shared" si="466"/>
        <v>0</v>
      </c>
      <c r="IJ195" s="64">
        <f t="shared" si="466"/>
        <v>0</v>
      </c>
      <c r="IK195" s="64">
        <f t="shared" si="466"/>
        <v>0</v>
      </c>
      <c r="IL195" s="64">
        <f t="shared" si="466"/>
        <v>0</v>
      </c>
      <c r="IM195" s="64">
        <f t="shared" si="466"/>
        <v>0</v>
      </c>
      <c r="IN195" s="64">
        <f t="shared" si="466"/>
        <v>0</v>
      </c>
      <c r="IO195" s="64">
        <f t="shared" si="466"/>
        <v>0</v>
      </c>
      <c r="IP195" s="64">
        <f t="shared" si="466"/>
        <v>0</v>
      </c>
      <c r="IQ195" s="64">
        <f t="shared" si="466"/>
        <v>0</v>
      </c>
      <c r="IT195" s="71"/>
    </row>
    <row r="196" spans="1:254" x14ac:dyDescent="0.25">
      <c r="A196" s="35"/>
      <c r="B196" s="5" t="s">
        <v>61</v>
      </c>
      <c r="C196" s="35"/>
      <c r="D196" s="6" t="s">
        <v>488</v>
      </c>
      <c r="E196" s="35">
        <v>0</v>
      </c>
      <c r="F196" s="5"/>
      <c r="G196" s="5"/>
      <c r="H196" s="5"/>
      <c r="I196" s="5"/>
      <c r="J196" s="5" t="s">
        <v>461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>
        <f>INDEX(cenník!$C$2:$I$568,MATCH($L196,cenník!$B$2:$B$557,0),MATCH(M$2,cenník!$C$1:$I$1,0))</f>
        <v>863132</v>
      </c>
      <c r="N196" s="11" t="str">
        <f>INDEX(cenník!$C$2:$I$568,MATCH($L196,cenník!$B$2:$B$557,0),MATCH(N$2,cenník!$C$1:$I$1,0))</f>
        <v>ks</v>
      </c>
      <c r="O196" s="11">
        <f>O195</f>
        <v>0</v>
      </c>
      <c r="P196" s="36">
        <f>INDEX(cenník!$C$2:$I$568,MATCH($L196,cenník!$B$2:$B$557,0),MATCH(P$2,cenník!$C$1:$I$1,0))</f>
        <v>36.06</v>
      </c>
      <c r="Q196" s="36">
        <f t="shared" si="461"/>
        <v>0</v>
      </c>
      <c r="R196" s="37">
        <f t="shared" si="462"/>
        <v>0</v>
      </c>
      <c r="S196" s="36">
        <f t="shared" si="463"/>
        <v>36.06</v>
      </c>
      <c r="T196" s="36">
        <f t="shared" si="464"/>
        <v>0</v>
      </c>
      <c r="U196" s="36">
        <f>INDEX(cenník!$C$2:$I$568,MATCH($L196,cenník!$B$2:$B$557,0),MATCH(U$2,cenník!$C$1:$I$1,0))*O196</f>
        <v>0</v>
      </c>
      <c r="V196" s="64"/>
      <c r="W196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64">
        <v>0</v>
      </c>
      <c r="Y196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64"/>
      <c r="AB196" s="64"/>
      <c r="AC196" s="64"/>
      <c r="AD196" s="64"/>
      <c r="AE196" s="64"/>
      <c r="AF196" s="64"/>
      <c r="AG196" s="64"/>
      <c r="AH196" s="64"/>
      <c r="AI196" s="64"/>
      <c r="AJ196" s="64"/>
      <c r="AK196" s="64" t="s">
        <v>125</v>
      </c>
      <c r="AL196" s="64">
        <f>IF(SUM(AL194:AL195)=0,0,IF(SUM(AL194:AL195)=1,0,IF(SUM(AL194:AL195)&gt;1,(SUM(AL194:AL195)-1),0)))</f>
        <v>6</v>
      </c>
      <c r="AM196" s="64"/>
      <c r="AN196" s="64">
        <v>8.1</v>
      </c>
      <c r="AO196" s="64">
        <f>AL196*AN196</f>
        <v>48.599999999999994</v>
      </c>
      <c r="AP196" s="64">
        <f>AL196*5</f>
        <v>30</v>
      </c>
      <c r="AQ196" s="64"/>
      <c r="AR196" s="64"/>
      <c r="AS196" s="64"/>
      <c r="AT196" s="64"/>
      <c r="AU196" s="64"/>
      <c r="AV196" s="64"/>
      <c r="AW196" s="64"/>
      <c r="AX196" s="64"/>
      <c r="AY196" s="64"/>
      <c r="AZ196" s="64"/>
      <c r="BA196" s="64"/>
      <c r="BB196" s="64"/>
      <c r="BC196" s="64"/>
      <c r="BD196" s="64"/>
      <c r="BE196" s="64"/>
      <c r="BF196" s="64"/>
      <c r="BH196" s="69" t="s">
        <v>241</v>
      </c>
      <c r="BI196" s="64">
        <f>BI35/5*4</f>
        <v>0</v>
      </c>
      <c r="BJ196" s="64">
        <v>0</v>
      </c>
      <c r="BK196" s="64">
        <v>10</v>
      </c>
      <c r="BL196" s="64">
        <v>5</v>
      </c>
      <c r="BM196" s="64">
        <v>15</v>
      </c>
      <c r="BN196" s="64">
        <v>10</v>
      </c>
      <c r="BO196" s="64">
        <v>0</v>
      </c>
      <c r="BP196" s="64">
        <v>15</v>
      </c>
      <c r="BQ196" s="64">
        <v>5</v>
      </c>
      <c r="BR196" s="64">
        <v>15</v>
      </c>
      <c r="BS196" s="64">
        <v>10</v>
      </c>
      <c r="BT196" s="64">
        <v>0</v>
      </c>
      <c r="BU196" s="64">
        <v>15</v>
      </c>
      <c r="BV196" s="64"/>
      <c r="BW196" s="64" t="s">
        <v>241</v>
      </c>
      <c r="BX196" s="64">
        <v>0</v>
      </c>
      <c r="BY196" s="68">
        <v>0</v>
      </c>
      <c r="BZ196" s="68">
        <v>10</v>
      </c>
      <c r="CA196" s="68">
        <v>5</v>
      </c>
      <c r="CB196" s="68">
        <v>15</v>
      </c>
      <c r="CC196" s="68">
        <v>5</v>
      </c>
      <c r="CD196" s="68">
        <v>15</v>
      </c>
      <c r="CE196" s="68">
        <v>10</v>
      </c>
      <c r="CF196" s="68">
        <v>0</v>
      </c>
      <c r="CG196" s="68">
        <v>30</v>
      </c>
      <c r="CH196" s="68">
        <v>0</v>
      </c>
      <c r="CI196" s="68">
        <v>15</v>
      </c>
      <c r="CJ196" s="68">
        <v>5</v>
      </c>
      <c r="CK196" s="64"/>
      <c r="CL196" s="64"/>
      <c r="CM196" s="64"/>
      <c r="CN196" s="64" t="s">
        <v>241</v>
      </c>
      <c r="CO196" s="64">
        <f>CO35/5*4</f>
        <v>0</v>
      </c>
      <c r="CP196" s="64">
        <v>0</v>
      </c>
      <c r="CQ196" s="64">
        <v>10</v>
      </c>
      <c r="CR196" s="64">
        <v>0</v>
      </c>
      <c r="CS196" s="64">
        <v>10</v>
      </c>
      <c r="CT196" s="64">
        <v>0</v>
      </c>
      <c r="CU196" s="64">
        <v>10</v>
      </c>
      <c r="CV196" s="64">
        <v>0</v>
      </c>
      <c r="CW196" s="64">
        <v>15</v>
      </c>
      <c r="CX196" s="64">
        <v>5</v>
      </c>
      <c r="CY196" s="64">
        <v>35</v>
      </c>
      <c r="CZ196" s="64">
        <v>5</v>
      </c>
      <c r="DA196" s="64">
        <v>35</v>
      </c>
      <c r="DB196" s="64"/>
      <c r="DC196" s="64" t="s">
        <v>241</v>
      </c>
      <c r="DD196" s="64">
        <v>0</v>
      </c>
      <c r="DE196" s="64">
        <v>10</v>
      </c>
      <c r="DF196" s="64">
        <v>5</v>
      </c>
      <c r="DG196" s="64">
        <v>15</v>
      </c>
      <c r="DH196" s="64">
        <v>5</v>
      </c>
      <c r="DI196" s="64">
        <v>15</v>
      </c>
      <c r="DJ196" s="64">
        <v>5</v>
      </c>
      <c r="DK196" s="64">
        <v>15</v>
      </c>
      <c r="DL196" s="64">
        <v>5</v>
      </c>
      <c r="DM196" s="64">
        <v>35</v>
      </c>
      <c r="DN196" s="64">
        <v>5</v>
      </c>
      <c r="DO196" s="64">
        <v>35</v>
      </c>
      <c r="DP196" s="64">
        <v>5</v>
      </c>
      <c r="DQ196" s="80"/>
      <c r="DR196" s="80"/>
      <c r="DS196" s="80"/>
      <c r="DT196" s="64"/>
      <c r="DU196" s="64"/>
      <c r="DV196" s="64"/>
      <c r="DW196" s="64"/>
      <c r="DX196" s="64"/>
      <c r="DY196" s="64"/>
      <c r="DZ196" s="64"/>
      <c r="EA196" s="64"/>
      <c r="EB196" s="64"/>
      <c r="EC196" s="64"/>
      <c r="ED196" s="64"/>
      <c r="EE196" s="64"/>
      <c r="EF196" s="64"/>
      <c r="EG196" s="64"/>
      <c r="EH196" s="70"/>
      <c r="EI196" s="64"/>
      <c r="EJ196" s="69"/>
      <c r="EK196" s="68" t="s">
        <v>375</v>
      </c>
      <c r="EL196" s="64">
        <f>EL93</f>
        <v>0</v>
      </c>
      <c r="EM196" s="64">
        <f t="shared" ref="EM196:FI196" si="467">EM93</f>
        <v>0</v>
      </c>
      <c r="EN196" s="64">
        <f t="shared" si="467"/>
        <v>0</v>
      </c>
      <c r="EO196" s="64">
        <f t="shared" si="467"/>
        <v>4</v>
      </c>
      <c r="EP196" s="64">
        <f t="shared" si="467"/>
        <v>0</v>
      </c>
      <c r="EQ196" s="64">
        <f t="shared" si="467"/>
        <v>0</v>
      </c>
      <c r="ER196" s="64">
        <f t="shared" si="467"/>
        <v>0</v>
      </c>
      <c r="ES196" s="64">
        <f t="shared" si="467"/>
        <v>0</v>
      </c>
      <c r="ET196" s="64">
        <f t="shared" si="467"/>
        <v>0</v>
      </c>
      <c r="EU196" s="64">
        <f t="shared" si="467"/>
        <v>0</v>
      </c>
      <c r="EV196" s="64">
        <f t="shared" si="467"/>
        <v>0</v>
      </c>
      <c r="EW196" s="64">
        <f t="shared" si="467"/>
        <v>0</v>
      </c>
      <c r="EX196" s="64">
        <f t="shared" si="467"/>
        <v>0</v>
      </c>
      <c r="EY196" s="64">
        <f>EY93</f>
        <v>0</v>
      </c>
      <c r="EZ196" s="64">
        <f t="shared" si="467"/>
        <v>0</v>
      </c>
      <c r="FA196" s="64">
        <f t="shared" si="467"/>
        <v>0</v>
      </c>
      <c r="FB196" s="64">
        <f t="shared" si="467"/>
        <v>0</v>
      </c>
      <c r="FC196" s="64">
        <f t="shared" si="467"/>
        <v>0</v>
      </c>
      <c r="FD196" s="64">
        <f t="shared" si="467"/>
        <v>0</v>
      </c>
      <c r="FE196" s="64">
        <f t="shared" si="467"/>
        <v>0</v>
      </c>
      <c r="FF196" s="64">
        <f t="shared" si="467"/>
        <v>0</v>
      </c>
      <c r="FG196" s="64">
        <f t="shared" si="467"/>
        <v>0</v>
      </c>
      <c r="FH196" s="64">
        <f t="shared" si="467"/>
        <v>0</v>
      </c>
      <c r="FI196" s="64">
        <f t="shared" si="467"/>
        <v>0</v>
      </c>
      <c r="FK196" s="68" t="s">
        <v>375</v>
      </c>
      <c r="FL196" s="64">
        <f>FL93</f>
        <v>0</v>
      </c>
      <c r="FM196" s="64">
        <f t="shared" ref="FM196:GI196" si="468">FM93</f>
        <v>0</v>
      </c>
      <c r="FN196" s="64">
        <f t="shared" si="468"/>
        <v>4</v>
      </c>
      <c r="FO196" s="64">
        <f t="shared" si="468"/>
        <v>4</v>
      </c>
      <c r="FP196" s="64">
        <f t="shared" si="468"/>
        <v>0</v>
      </c>
      <c r="FQ196" s="64">
        <f t="shared" si="468"/>
        <v>0</v>
      </c>
      <c r="FR196" s="64">
        <f t="shared" si="468"/>
        <v>0</v>
      </c>
      <c r="FS196" s="64">
        <f t="shared" si="468"/>
        <v>0</v>
      </c>
      <c r="FT196" s="64">
        <f t="shared" si="468"/>
        <v>0</v>
      </c>
      <c r="FU196" s="64">
        <f t="shared" si="468"/>
        <v>0</v>
      </c>
      <c r="FV196" s="64">
        <f t="shared" si="468"/>
        <v>0</v>
      </c>
      <c r="FW196" s="64">
        <f t="shared" si="468"/>
        <v>0</v>
      </c>
      <c r="FX196" s="64">
        <f t="shared" si="468"/>
        <v>0</v>
      </c>
      <c r="FY196" s="64">
        <f t="shared" si="468"/>
        <v>0</v>
      </c>
      <c r="FZ196" s="64">
        <f t="shared" si="468"/>
        <v>0</v>
      </c>
      <c r="GA196" s="64">
        <f t="shared" si="468"/>
        <v>0</v>
      </c>
      <c r="GB196" s="64">
        <f t="shared" si="468"/>
        <v>0</v>
      </c>
      <c r="GC196" s="64">
        <f t="shared" si="468"/>
        <v>0</v>
      </c>
      <c r="GD196" s="64">
        <f t="shared" si="468"/>
        <v>0</v>
      </c>
      <c r="GE196" s="64">
        <f t="shared" si="468"/>
        <v>0</v>
      </c>
      <c r="GF196" s="64">
        <f t="shared" si="468"/>
        <v>0</v>
      </c>
      <c r="GG196" s="64">
        <f t="shared" si="468"/>
        <v>0</v>
      </c>
      <c r="GH196" s="64">
        <f t="shared" si="468"/>
        <v>0</v>
      </c>
      <c r="GI196" s="64">
        <f t="shared" si="468"/>
        <v>0</v>
      </c>
      <c r="GJ196" s="64"/>
      <c r="GK196" s="64"/>
      <c r="GL196" s="64"/>
      <c r="GM196" s="64"/>
      <c r="GN196" s="64"/>
      <c r="GO196" s="64"/>
      <c r="GP196" s="64"/>
      <c r="GQ196" s="64"/>
      <c r="GR196" s="64" t="s">
        <v>374</v>
      </c>
      <c r="GS196" s="64">
        <f t="shared" ref="GS196:HP196" si="469">GS93</f>
        <v>0</v>
      </c>
      <c r="GT196" s="64">
        <f t="shared" si="469"/>
        <v>4</v>
      </c>
      <c r="GU196" s="64">
        <f t="shared" si="469"/>
        <v>0</v>
      </c>
      <c r="GV196" s="64">
        <f t="shared" si="469"/>
        <v>0</v>
      </c>
      <c r="GW196" s="64">
        <f t="shared" si="469"/>
        <v>4</v>
      </c>
      <c r="GX196" s="64">
        <f t="shared" si="469"/>
        <v>0</v>
      </c>
      <c r="GY196" s="64">
        <f t="shared" si="469"/>
        <v>4</v>
      </c>
      <c r="GZ196" s="64">
        <f t="shared" si="469"/>
        <v>8</v>
      </c>
      <c r="HA196" s="64">
        <f t="shared" si="469"/>
        <v>12</v>
      </c>
      <c r="HB196" s="64">
        <f t="shared" si="469"/>
        <v>4</v>
      </c>
      <c r="HC196" s="64">
        <f t="shared" si="469"/>
        <v>8</v>
      </c>
      <c r="HD196" s="64">
        <f t="shared" si="469"/>
        <v>16</v>
      </c>
      <c r="HE196" s="64">
        <f t="shared" si="469"/>
        <v>8</v>
      </c>
      <c r="HF196" s="64">
        <f t="shared" si="469"/>
        <v>12</v>
      </c>
      <c r="HG196" s="64">
        <f t="shared" si="469"/>
        <v>16</v>
      </c>
      <c r="HH196" s="64">
        <f t="shared" si="469"/>
        <v>20</v>
      </c>
      <c r="HI196" s="64">
        <f t="shared" si="469"/>
        <v>12</v>
      </c>
      <c r="HJ196" s="64">
        <f t="shared" si="469"/>
        <v>20</v>
      </c>
      <c r="HK196" s="64">
        <f t="shared" si="469"/>
        <v>24</v>
      </c>
      <c r="HL196" s="64">
        <f t="shared" si="469"/>
        <v>16</v>
      </c>
      <c r="HM196" s="64">
        <f t="shared" si="469"/>
        <v>20</v>
      </c>
      <c r="HN196" s="64">
        <f t="shared" si="469"/>
        <v>24</v>
      </c>
      <c r="HO196" s="64">
        <f t="shared" si="469"/>
        <v>28</v>
      </c>
      <c r="HP196" s="64">
        <f t="shared" si="469"/>
        <v>20</v>
      </c>
      <c r="HS196" s="64" t="s">
        <v>374</v>
      </c>
      <c r="HT196" s="64">
        <f t="shared" ref="HT196:IQ196" si="470">HT93</f>
        <v>0</v>
      </c>
      <c r="HU196" s="64">
        <f t="shared" si="470"/>
        <v>4</v>
      </c>
      <c r="HV196" s="64">
        <f t="shared" si="470"/>
        <v>0</v>
      </c>
      <c r="HW196" s="64">
        <f t="shared" si="470"/>
        <v>4</v>
      </c>
      <c r="HX196" s="64">
        <f t="shared" si="470"/>
        <v>8</v>
      </c>
      <c r="HY196" s="64">
        <f t="shared" si="470"/>
        <v>0</v>
      </c>
      <c r="HZ196" s="64">
        <f t="shared" si="470"/>
        <v>8</v>
      </c>
      <c r="IA196" s="64">
        <f t="shared" si="470"/>
        <v>12</v>
      </c>
      <c r="IB196" s="64">
        <f t="shared" si="470"/>
        <v>4</v>
      </c>
      <c r="IC196" s="64">
        <f t="shared" si="470"/>
        <v>8</v>
      </c>
      <c r="ID196" s="64">
        <f t="shared" si="470"/>
        <v>16</v>
      </c>
      <c r="IE196" s="64">
        <f t="shared" si="470"/>
        <v>8</v>
      </c>
      <c r="IF196" s="64">
        <f t="shared" si="470"/>
        <v>12</v>
      </c>
      <c r="IG196" s="64">
        <f t="shared" si="470"/>
        <v>16</v>
      </c>
      <c r="IH196" s="64">
        <f t="shared" si="470"/>
        <v>20</v>
      </c>
      <c r="II196" s="64">
        <f t="shared" si="470"/>
        <v>16</v>
      </c>
      <c r="IJ196" s="64">
        <f t="shared" si="470"/>
        <v>20</v>
      </c>
      <c r="IK196" s="64">
        <f t="shared" si="470"/>
        <v>24</v>
      </c>
      <c r="IL196" s="64">
        <f t="shared" si="470"/>
        <v>16</v>
      </c>
      <c r="IM196" s="64">
        <f t="shared" si="470"/>
        <v>24</v>
      </c>
      <c r="IN196" s="64">
        <f t="shared" si="470"/>
        <v>28</v>
      </c>
      <c r="IO196" s="64">
        <f t="shared" si="470"/>
        <v>20</v>
      </c>
      <c r="IP196" s="64">
        <f t="shared" si="470"/>
        <v>24</v>
      </c>
      <c r="IQ196" s="64">
        <f t="shared" si="470"/>
        <v>32</v>
      </c>
      <c r="IT196" s="71"/>
    </row>
    <row r="197" spans="1:254" ht="15.75" thickBot="1" x14ac:dyDescent="0.3">
      <c r="A197" s="35"/>
      <c r="B197" s="5" t="s">
        <v>61</v>
      </c>
      <c r="C197" s="35"/>
      <c r="D197" s="6" t="s">
        <v>458</v>
      </c>
      <c r="E197" s="35">
        <v>0</v>
      </c>
      <c r="F197" s="5"/>
      <c r="G197" s="5"/>
      <c r="H197" s="5"/>
      <c r="I197" s="5"/>
      <c r="J197" s="5" t="s">
        <v>95</v>
      </c>
      <c r="K197" s="9"/>
      <c r="L197" s="6" t="s">
        <v>8</v>
      </c>
      <c r="M197" s="11">
        <f>INDEX(cenník!$C$2:$I$568,MATCH($L197,cenník!$B$2:$B$557,0),MATCH(M$2,cenník!$C$1:$I$1,0))</f>
        <v>856211</v>
      </c>
      <c r="N197" s="11" t="str">
        <f>INDEX(cenník!$C$2:$I$568,MATCH($L197,cenník!$B$2:$B$557,0),MATCH(N$2,cenník!$C$1:$I$1,0))</f>
        <v>ks</v>
      </c>
      <c r="O197" s="11">
        <f>O195</f>
        <v>0</v>
      </c>
      <c r="P197" s="36">
        <f>INDEX(cenník!$C$2:$I$568,MATCH($L197,cenník!$B$2:$B$557,0),MATCH(P$2,cenník!$C$1:$I$1,0))</f>
        <v>8.7100000000000009</v>
      </c>
      <c r="Q197" s="36">
        <f t="shared" si="461"/>
        <v>0</v>
      </c>
      <c r="R197" s="37">
        <f t="shared" si="462"/>
        <v>0</v>
      </c>
      <c r="S197" s="36">
        <f t="shared" si="463"/>
        <v>8.7100000000000009</v>
      </c>
      <c r="T197" s="36">
        <f t="shared" si="464"/>
        <v>0</v>
      </c>
      <c r="U197" s="36">
        <f>INDEX(cenník!$C$2:$I$568,MATCH($L197,cenník!$B$2:$B$557,0),MATCH(U$2,cenník!$C$1:$I$1,0))*O197</f>
        <v>0</v>
      </c>
      <c r="V197" s="64"/>
      <c r="W197" s="64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64">
        <v>0</v>
      </c>
      <c r="Y197" s="64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64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64"/>
      <c r="AB197" s="64"/>
      <c r="AC197" s="64"/>
      <c r="AD197" s="64"/>
      <c r="AE197" s="64"/>
      <c r="AF197" s="64"/>
      <c r="AG197" s="64"/>
      <c r="AH197" s="64"/>
      <c r="AI197" s="64"/>
      <c r="AJ197" s="64"/>
      <c r="AK197" s="64"/>
      <c r="AL197" s="64"/>
      <c r="AM197" s="64">
        <f>SUM(AM194:AM195)</f>
        <v>30800</v>
      </c>
      <c r="AN197" s="64"/>
      <c r="AO197" s="64">
        <f>SUM(AO194:AO196)</f>
        <v>1199.4699999999998</v>
      </c>
      <c r="AP197" s="64"/>
      <c r="AQ197" s="64"/>
      <c r="AR197" s="64"/>
      <c r="AS197" s="64"/>
      <c r="AT197" s="64"/>
      <c r="AU197" s="64"/>
      <c r="AV197" s="64"/>
      <c r="AW197" s="64"/>
      <c r="AX197" s="64"/>
      <c r="AY197" s="64"/>
      <c r="AZ197" s="64"/>
      <c r="BA197" s="64"/>
      <c r="BB197" s="64"/>
      <c r="BC197" s="64"/>
      <c r="BD197" s="64"/>
      <c r="BE197" s="64"/>
      <c r="BF197" s="64"/>
      <c r="BH197" s="72" t="s">
        <v>364</v>
      </c>
      <c r="BI197" s="74">
        <f>IF(SUM(BI195:BI196)&lt;6,0,IF(SUM(BI195:BI196)&gt;7,SUM(BI195:BI196)-5,0))</f>
        <v>0</v>
      </c>
      <c r="BJ197" s="74">
        <f t="shared" ref="BJ197:BU197" si="471">IF(SUM(BJ195:BJ196)&lt;6,0,IF(SUM(BJ195:BJ196)&gt;7,SUM(BJ195:BJ196)-5,0))</f>
        <v>0</v>
      </c>
      <c r="BK197" s="74">
        <f t="shared" si="471"/>
        <v>5</v>
      </c>
      <c r="BL197" s="74">
        <f t="shared" si="471"/>
        <v>5</v>
      </c>
      <c r="BM197" s="74">
        <f t="shared" si="471"/>
        <v>10</v>
      </c>
      <c r="BN197" s="74">
        <f t="shared" si="471"/>
        <v>10</v>
      </c>
      <c r="BO197" s="74">
        <f t="shared" si="471"/>
        <v>10</v>
      </c>
      <c r="BP197" s="74">
        <f t="shared" si="471"/>
        <v>15</v>
      </c>
      <c r="BQ197" s="74">
        <f t="shared" si="471"/>
        <v>15</v>
      </c>
      <c r="BR197" s="74">
        <f t="shared" si="471"/>
        <v>20</v>
      </c>
      <c r="BS197" s="74">
        <f t="shared" si="471"/>
        <v>20</v>
      </c>
      <c r="BT197" s="74">
        <f t="shared" si="471"/>
        <v>20</v>
      </c>
      <c r="BU197" s="74">
        <f t="shared" si="471"/>
        <v>25</v>
      </c>
      <c r="BV197" s="74"/>
      <c r="BW197" s="72" t="s">
        <v>364</v>
      </c>
      <c r="BX197" s="74">
        <f>IF(SUM(BX195:BX196)&lt;6,0,IF(SUM(BX195:BX196)&gt;7,SUM(BX195:BX196)-5,0))</f>
        <v>0</v>
      </c>
      <c r="BY197" s="74">
        <f t="shared" ref="BY197:CJ197" si="472">IF(SUM(CP185:CP186)&lt;6,0,IF(SUM(CP185:CP186)&gt;7,SUM(CP185:CP186)-5,0))</f>
        <v>0</v>
      </c>
      <c r="BZ197" s="74">
        <f t="shared" si="472"/>
        <v>5</v>
      </c>
      <c r="CA197" s="74">
        <f t="shared" si="472"/>
        <v>5</v>
      </c>
      <c r="CB197" s="74">
        <f t="shared" si="472"/>
        <v>10</v>
      </c>
      <c r="CC197" s="74">
        <f t="shared" si="472"/>
        <v>10</v>
      </c>
      <c r="CD197" s="74">
        <f t="shared" si="472"/>
        <v>15</v>
      </c>
      <c r="CE197" s="74">
        <f t="shared" si="472"/>
        <v>15</v>
      </c>
      <c r="CF197" s="74">
        <f t="shared" si="472"/>
        <v>20</v>
      </c>
      <c r="CG197" s="74">
        <f t="shared" si="472"/>
        <v>25</v>
      </c>
      <c r="CH197" s="74">
        <f t="shared" si="472"/>
        <v>20</v>
      </c>
      <c r="CI197" s="74">
        <f t="shared" si="472"/>
        <v>30</v>
      </c>
      <c r="CJ197" s="74">
        <f t="shared" si="472"/>
        <v>25</v>
      </c>
      <c r="CK197" s="74"/>
      <c r="CL197" s="74"/>
      <c r="CM197" s="74"/>
      <c r="CN197" s="72" t="s">
        <v>364</v>
      </c>
      <c r="CO197" s="74">
        <f>IF(SUM(CO195:CO196)&lt;6,0,IF(SUM(CO195:CO196)&gt;7,SUM(CO195:CO196)-5,0))</f>
        <v>0</v>
      </c>
      <c r="CP197" s="74">
        <f t="shared" ref="CP197:DA197" si="473">IF(SUM(CP195:CP196)&lt;6,0,IF(SUM(CP195:CP196)&gt;7,SUM(CP195:CP196)-5,0))</f>
        <v>0</v>
      </c>
      <c r="CQ197" s="74">
        <f t="shared" si="473"/>
        <v>5</v>
      </c>
      <c r="CR197" s="74">
        <f t="shared" si="473"/>
        <v>5</v>
      </c>
      <c r="CS197" s="74">
        <f t="shared" si="473"/>
        <v>10</v>
      </c>
      <c r="CT197" s="74">
        <f t="shared" si="473"/>
        <v>10</v>
      </c>
      <c r="CU197" s="74">
        <f t="shared" si="473"/>
        <v>15</v>
      </c>
      <c r="CV197" s="74">
        <f t="shared" si="473"/>
        <v>15</v>
      </c>
      <c r="CW197" s="74">
        <f t="shared" si="473"/>
        <v>20</v>
      </c>
      <c r="CX197" s="74">
        <f t="shared" si="473"/>
        <v>20</v>
      </c>
      <c r="CY197" s="74">
        <f t="shared" si="473"/>
        <v>30</v>
      </c>
      <c r="CZ197" s="74">
        <f t="shared" si="473"/>
        <v>25</v>
      </c>
      <c r="DA197" s="74">
        <f t="shared" si="473"/>
        <v>35</v>
      </c>
      <c r="DB197" s="74"/>
      <c r="DC197" s="72" t="s">
        <v>364</v>
      </c>
      <c r="DD197" s="74">
        <f>IF(SUM(DD195:DD196)&lt;6,0,IF(SUM(DD195:DD196)&gt;7,SUM(DD195:DD196)-5,0))</f>
        <v>0</v>
      </c>
      <c r="DE197" s="74">
        <f t="shared" ref="DE197:DP197" si="474">IF(SUM(DE195:DE196)&lt;6,0,IF(SUM(DE195:DE196)&gt;7,SUM(DE195:DE196)-5,0))</f>
        <v>5</v>
      </c>
      <c r="DF197" s="74">
        <f t="shared" si="474"/>
        <v>5</v>
      </c>
      <c r="DG197" s="74">
        <f t="shared" si="474"/>
        <v>10</v>
      </c>
      <c r="DH197" s="74">
        <f t="shared" si="474"/>
        <v>10</v>
      </c>
      <c r="DI197" s="74">
        <f t="shared" si="474"/>
        <v>15</v>
      </c>
      <c r="DJ197" s="74">
        <f t="shared" si="474"/>
        <v>15</v>
      </c>
      <c r="DK197" s="74">
        <f t="shared" si="474"/>
        <v>20</v>
      </c>
      <c r="DL197" s="74">
        <f t="shared" si="474"/>
        <v>20</v>
      </c>
      <c r="DM197" s="74">
        <f t="shared" si="474"/>
        <v>30</v>
      </c>
      <c r="DN197" s="74">
        <f t="shared" si="474"/>
        <v>25</v>
      </c>
      <c r="DO197" s="74">
        <f t="shared" si="474"/>
        <v>35</v>
      </c>
      <c r="DP197" s="74">
        <f t="shared" si="474"/>
        <v>30</v>
      </c>
      <c r="DQ197" s="159"/>
      <c r="DR197" s="159"/>
      <c r="DS197" s="159"/>
      <c r="DT197" s="74"/>
      <c r="DU197" s="74"/>
      <c r="DV197" s="74"/>
      <c r="DW197" s="74"/>
      <c r="DX197" s="74"/>
      <c r="DY197" s="74"/>
      <c r="DZ197" s="74"/>
      <c r="EA197" s="74"/>
      <c r="EB197" s="74"/>
      <c r="EC197" s="74"/>
      <c r="ED197" s="74"/>
      <c r="EE197" s="74"/>
      <c r="EF197" s="74"/>
      <c r="EG197" s="74"/>
      <c r="EH197" s="75"/>
      <c r="EI197" s="64"/>
      <c r="EJ197" s="69"/>
      <c r="EK197" s="64" t="s">
        <v>374</v>
      </c>
      <c r="EL197" s="64">
        <f t="shared" ref="EL197:FI197" si="475">EL94</f>
        <v>0</v>
      </c>
      <c r="EM197" s="64">
        <f t="shared" si="475"/>
        <v>0</v>
      </c>
      <c r="EN197" s="64">
        <f t="shared" si="475"/>
        <v>4</v>
      </c>
      <c r="EO197" s="64">
        <f t="shared" si="475"/>
        <v>0</v>
      </c>
      <c r="EP197" s="64">
        <f t="shared" si="475"/>
        <v>0</v>
      </c>
      <c r="EQ197" s="64">
        <f t="shared" si="475"/>
        <v>4</v>
      </c>
      <c r="ER197" s="64">
        <f t="shared" si="475"/>
        <v>0</v>
      </c>
      <c r="ES197" s="64">
        <f t="shared" si="475"/>
        <v>0</v>
      </c>
      <c r="ET197" s="64">
        <f t="shared" si="475"/>
        <v>4</v>
      </c>
      <c r="EU197" s="64">
        <f t="shared" si="475"/>
        <v>8</v>
      </c>
      <c r="EV197" s="64">
        <f t="shared" si="475"/>
        <v>0</v>
      </c>
      <c r="EW197" s="64">
        <f t="shared" si="475"/>
        <v>4</v>
      </c>
      <c r="EX197" s="64">
        <f t="shared" si="475"/>
        <v>8</v>
      </c>
      <c r="EY197" s="64">
        <f t="shared" si="475"/>
        <v>0</v>
      </c>
      <c r="EZ197" s="64">
        <f t="shared" si="475"/>
        <v>4</v>
      </c>
      <c r="FA197" s="64">
        <f t="shared" si="475"/>
        <v>8</v>
      </c>
      <c r="FB197" s="64">
        <f t="shared" si="475"/>
        <v>0</v>
      </c>
      <c r="FC197" s="64">
        <f t="shared" si="475"/>
        <v>4</v>
      </c>
      <c r="FD197" s="64">
        <f t="shared" si="475"/>
        <v>8</v>
      </c>
      <c r="FE197" s="64">
        <f t="shared" si="475"/>
        <v>0</v>
      </c>
      <c r="FF197" s="64">
        <f t="shared" si="475"/>
        <v>4</v>
      </c>
      <c r="FG197" s="64">
        <f t="shared" si="475"/>
        <v>8</v>
      </c>
      <c r="FH197" s="64">
        <f t="shared" si="475"/>
        <v>0</v>
      </c>
      <c r="FI197" s="64">
        <f t="shared" si="475"/>
        <v>4</v>
      </c>
      <c r="FJ197" s="64"/>
      <c r="FK197" s="64" t="s">
        <v>374</v>
      </c>
      <c r="FL197" s="64">
        <f t="shared" ref="FL197:GI197" si="476">FL94</f>
        <v>0</v>
      </c>
      <c r="FM197" s="64">
        <f t="shared" si="476"/>
        <v>4</v>
      </c>
      <c r="FN197" s="64">
        <f t="shared" si="476"/>
        <v>0</v>
      </c>
      <c r="FO197" s="64">
        <f t="shared" si="476"/>
        <v>0</v>
      </c>
      <c r="FP197" s="64">
        <f t="shared" si="476"/>
        <v>4</v>
      </c>
      <c r="FQ197" s="64">
        <f t="shared" si="476"/>
        <v>8</v>
      </c>
      <c r="FR197" s="64">
        <f t="shared" si="476"/>
        <v>0</v>
      </c>
      <c r="FS197" s="64">
        <f t="shared" si="476"/>
        <v>4</v>
      </c>
      <c r="FT197" s="64">
        <f t="shared" si="476"/>
        <v>8</v>
      </c>
      <c r="FU197" s="64">
        <f t="shared" si="476"/>
        <v>0</v>
      </c>
      <c r="FV197" s="64">
        <f t="shared" si="476"/>
        <v>4</v>
      </c>
      <c r="FW197" s="64">
        <f t="shared" si="476"/>
        <v>8</v>
      </c>
      <c r="FX197" s="64">
        <f t="shared" si="476"/>
        <v>0</v>
      </c>
      <c r="FY197" s="64">
        <f t="shared" si="476"/>
        <v>8</v>
      </c>
      <c r="FZ197" s="64">
        <f t="shared" si="476"/>
        <v>0</v>
      </c>
      <c r="GA197" s="64">
        <f t="shared" si="476"/>
        <v>4</v>
      </c>
      <c r="GB197" s="64">
        <f t="shared" si="476"/>
        <v>8</v>
      </c>
      <c r="GC197" s="64">
        <f t="shared" si="476"/>
        <v>0</v>
      </c>
      <c r="GD197" s="64">
        <f t="shared" si="476"/>
        <v>4</v>
      </c>
      <c r="GE197" s="64">
        <f t="shared" si="476"/>
        <v>8</v>
      </c>
      <c r="GF197" s="64">
        <f t="shared" si="476"/>
        <v>0</v>
      </c>
      <c r="GG197" s="64">
        <f t="shared" si="476"/>
        <v>4</v>
      </c>
      <c r="GH197" s="64">
        <f t="shared" si="476"/>
        <v>8</v>
      </c>
      <c r="GI197" s="64">
        <f t="shared" si="476"/>
        <v>0</v>
      </c>
      <c r="GJ197" s="64"/>
      <c r="GK197" s="64"/>
      <c r="GL197" s="64"/>
      <c r="GM197" s="64"/>
      <c r="GN197" s="64"/>
      <c r="GO197" s="64"/>
      <c r="GP197" s="64"/>
      <c r="GQ197" s="64"/>
      <c r="GR197" s="64" t="s">
        <v>373</v>
      </c>
      <c r="GS197" s="64">
        <f t="shared" ref="GS197:HP197" si="477">GS94</f>
        <v>0</v>
      </c>
      <c r="GT197" s="64">
        <f t="shared" si="477"/>
        <v>0</v>
      </c>
      <c r="GU197" s="64">
        <f t="shared" si="477"/>
        <v>0</v>
      </c>
      <c r="GV197" s="64">
        <f t="shared" si="477"/>
        <v>0</v>
      </c>
      <c r="GW197" s="64">
        <f t="shared" si="477"/>
        <v>4</v>
      </c>
      <c r="GX197" s="64">
        <f t="shared" si="477"/>
        <v>12</v>
      </c>
      <c r="GY197" s="64">
        <f t="shared" si="477"/>
        <v>8</v>
      </c>
      <c r="GZ197" s="64">
        <f t="shared" si="477"/>
        <v>4</v>
      </c>
      <c r="HA197" s="64">
        <f t="shared" si="477"/>
        <v>0</v>
      </c>
      <c r="HB197" s="64">
        <f t="shared" si="477"/>
        <v>12</v>
      </c>
      <c r="HC197" s="64">
        <f t="shared" si="477"/>
        <v>8</v>
      </c>
      <c r="HD197" s="64">
        <f t="shared" si="477"/>
        <v>0</v>
      </c>
      <c r="HE197" s="64">
        <f t="shared" si="477"/>
        <v>12</v>
      </c>
      <c r="HF197" s="64">
        <f t="shared" si="477"/>
        <v>8</v>
      </c>
      <c r="HG197" s="64">
        <f t="shared" si="477"/>
        <v>4</v>
      </c>
      <c r="HH197" s="64">
        <f t="shared" si="477"/>
        <v>0</v>
      </c>
      <c r="HI197" s="64">
        <f t="shared" si="477"/>
        <v>12</v>
      </c>
      <c r="HJ197" s="64">
        <f t="shared" si="477"/>
        <v>4</v>
      </c>
      <c r="HK197" s="64">
        <f t="shared" si="477"/>
        <v>0</v>
      </c>
      <c r="HL197" s="64">
        <f t="shared" si="477"/>
        <v>12</v>
      </c>
      <c r="HM197" s="64">
        <f t="shared" si="477"/>
        <v>8</v>
      </c>
      <c r="HN197" s="64">
        <f t="shared" si="477"/>
        <v>4</v>
      </c>
      <c r="HO197" s="64">
        <f t="shared" si="477"/>
        <v>0</v>
      </c>
      <c r="HP197" s="64">
        <f t="shared" si="477"/>
        <v>12</v>
      </c>
      <c r="HS197" s="64" t="s">
        <v>373</v>
      </c>
      <c r="HT197" s="64">
        <f t="shared" ref="HT197:IQ197" si="478">HT94</f>
        <v>0</v>
      </c>
      <c r="HU197" s="64">
        <f t="shared" si="478"/>
        <v>0</v>
      </c>
      <c r="HV197" s="64">
        <f t="shared" si="478"/>
        <v>0</v>
      </c>
      <c r="HW197" s="64">
        <f t="shared" si="478"/>
        <v>4</v>
      </c>
      <c r="HX197" s="64">
        <f t="shared" si="478"/>
        <v>0</v>
      </c>
      <c r="HY197" s="64">
        <f t="shared" si="478"/>
        <v>12</v>
      </c>
      <c r="HZ197" s="64">
        <f t="shared" si="478"/>
        <v>4</v>
      </c>
      <c r="IA197" s="64">
        <f t="shared" si="478"/>
        <v>0</v>
      </c>
      <c r="IB197" s="64">
        <f t="shared" si="478"/>
        <v>12</v>
      </c>
      <c r="IC197" s="64">
        <f t="shared" si="478"/>
        <v>8</v>
      </c>
      <c r="ID197" s="64">
        <f t="shared" si="478"/>
        <v>0</v>
      </c>
      <c r="IE197" s="64">
        <f t="shared" si="478"/>
        <v>12</v>
      </c>
      <c r="IF197" s="64">
        <f t="shared" si="478"/>
        <v>8</v>
      </c>
      <c r="IG197" s="64">
        <f t="shared" si="478"/>
        <v>4</v>
      </c>
      <c r="IH197" s="64">
        <f t="shared" si="478"/>
        <v>0</v>
      </c>
      <c r="II197" s="64">
        <f t="shared" si="478"/>
        <v>8</v>
      </c>
      <c r="IJ197" s="64">
        <f t="shared" si="478"/>
        <v>4</v>
      </c>
      <c r="IK197" s="64">
        <f t="shared" si="478"/>
        <v>0</v>
      </c>
      <c r="IL197" s="64">
        <f t="shared" si="478"/>
        <v>12</v>
      </c>
      <c r="IM197" s="64">
        <f t="shared" si="478"/>
        <v>4</v>
      </c>
      <c r="IN197" s="64">
        <f t="shared" si="478"/>
        <v>0</v>
      </c>
      <c r="IO197" s="64">
        <f t="shared" si="478"/>
        <v>12</v>
      </c>
      <c r="IP197" s="64">
        <f t="shared" si="478"/>
        <v>8</v>
      </c>
      <c r="IQ197" s="64">
        <f t="shared" si="478"/>
        <v>0</v>
      </c>
      <c r="IT197" s="71"/>
    </row>
    <row r="198" spans="1:254" x14ac:dyDescent="0.25">
      <c r="A198" s="35"/>
      <c r="B198" s="5" t="s">
        <v>61</v>
      </c>
      <c r="C198" s="35"/>
      <c r="D198" s="6" t="s">
        <v>460</v>
      </c>
      <c r="E198" s="35">
        <v>0</v>
      </c>
      <c r="F198" s="5"/>
      <c r="G198" s="5"/>
      <c r="H198" s="5"/>
      <c r="I198" s="5"/>
      <c r="J198" s="5" t="s">
        <v>461</v>
      </c>
      <c r="K198" s="9"/>
      <c r="L198" s="6" t="s">
        <v>98</v>
      </c>
      <c r="M198" s="11">
        <f>INDEX(cenník!$C$2:$I$568,MATCH($L198,cenník!$B$2:$B$557,0),MATCH(M$2,cenník!$C$1:$I$1,0))</f>
        <v>851117</v>
      </c>
      <c r="N198" s="11" t="str">
        <f>INDEX(cenník!$C$2:$I$568,MATCH($L198,cenník!$B$2:$B$557,0),MATCH(N$2,cenník!$C$1:$I$1,0))</f>
        <v>ks</v>
      </c>
      <c r="O198" s="11">
        <f>O195</f>
        <v>0</v>
      </c>
      <c r="P198" s="36">
        <f>INDEX(cenník!$C$2:$I$568,MATCH($L198,cenník!$B$2:$B$557,0),MATCH(P$2,cenník!$C$1:$I$1,0))</f>
        <v>12.35</v>
      </c>
      <c r="Q198" s="36">
        <f t="shared" si="461"/>
        <v>0</v>
      </c>
      <c r="R198" s="37">
        <f t="shared" si="462"/>
        <v>0</v>
      </c>
      <c r="S198" s="36">
        <f t="shared" si="463"/>
        <v>12.35</v>
      </c>
      <c r="T198" s="36">
        <f>O198*S198</f>
        <v>0</v>
      </c>
      <c r="U198" s="36">
        <f>INDEX(cenník!$C$2:$I$568,MATCH($L198,cenník!$B$2:$B$557,0),MATCH(U$2,cenník!$C$1:$I$1,0))*O198</f>
        <v>0</v>
      </c>
      <c r="V198" s="64"/>
      <c r="AG198" s="64"/>
      <c r="AH198" s="64"/>
      <c r="AI198" s="64"/>
      <c r="AJ198" s="64"/>
      <c r="AK198" s="64">
        <f>(AD178-1)*2900</f>
        <v>-2900</v>
      </c>
      <c r="AL198" s="64"/>
      <c r="AM198" s="64"/>
      <c r="AN198" s="64"/>
      <c r="AO198" s="64"/>
      <c r="AP198" s="64"/>
      <c r="AQ198" s="64"/>
      <c r="AR198" s="64"/>
      <c r="AS198" s="64"/>
      <c r="AT198" s="64"/>
      <c r="AU198" s="64"/>
      <c r="AV198" s="64"/>
      <c r="AW198" s="64"/>
      <c r="AX198" s="64"/>
      <c r="AY198" s="64"/>
      <c r="AZ198" s="64"/>
      <c r="BA198" s="64"/>
      <c r="BB198" s="64"/>
      <c r="BC198" s="64"/>
      <c r="BD198" s="64"/>
      <c r="BE198" s="64"/>
      <c r="BF198" s="64"/>
      <c r="BG198" s="64"/>
      <c r="BH198" s="64"/>
      <c r="BI198" s="64"/>
      <c r="BJ198" s="64"/>
      <c r="BK198" s="64"/>
      <c r="BL198" s="64"/>
      <c r="BM198" s="64"/>
      <c r="BN198" s="64"/>
      <c r="BO198" s="64"/>
      <c r="BP198" s="64"/>
      <c r="BQ198" s="64"/>
      <c r="BR198" s="64"/>
      <c r="BS198" s="64"/>
      <c r="BT198" s="64"/>
      <c r="BU198" s="64"/>
      <c r="BV198" s="64"/>
      <c r="BW198" s="64"/>
      <c r="BX198" s="64"/>
      <c r="BY198" s="64"/>
      <c r="BZ198" s="64"/>
      <c r="CA198" s="64"/>
      <c r="CB198" s="64"/>
      <c r="CC198" s="64"/>
      <c r="CD198" s="64"/>
      <c r="CE198" s="64"/>
      <c r="CF198" s="64"/>
      <c r="CG198" s="64"/>
      <c r="CH198" s="64"/>
      <c r="CI198" s="64"/>
      <c r="CJ198" s="64"/>
      <c r="CK198" s="64"/>
      <c r="CL198" s="64"/>
      <c r="CM198" s="64"/>
      <c r="CN198" s="64"/>
      <c r="CO198" s="64"/>
      <c r="CP198" s="64"/>
      <c r="CQ198" s="64"/>
      <c r="CR198" s="64"/>
      <c r="CS198" s="64"/>
      <c r="CT198" s="64"/>
      <c r="CU198" s="64"/>
      <c r="CV198" s="64"/>
      <c r="CW198" s="64"/>
      <c r="CX198" s="64"/>
      <c r="CY198" s="64"/>
      <c r="CZ198" s="64"/>
      <c r="DA198" s="64"/>
      <c r="DB198" s="64"/>
      <c r="DC198" s="64"/>
      <c r="DD198" s="64"/>
      <c r="DE198" s="64"/>
      <c r="DF198" s="64"/>
      <c r="DG198" s="64"/>
      <c r="DH198" s="64"/>
      <c r="DI198" s="64"/>
      <c r="DJ198" s="64"/>
      <c r="DK198" s="64"/>
      <c r="DL198" s="64"/>
      <c r="DM198" s="64"/>
      <c r="DN198" s="64"/>
      <c r="DO198" s="64"/>
      <c r="DP198" s="64"/>
      <c r="DQ198" s="80"/>
      <c r="DR198" s="80"/>
      <c r="DS198" s="80"/>
      <c r="DT198" s="64"/>
      <c r="DU198" s="64"/>
      <c r="DV198" s="64"/>
      <c r="DW198" s="64"/>
      <c r="DX198" s="64"/>
      <c r="DY198" s="64"/>
      <c r="DZ198" s="64"/>
      <c r="EA198" s="64"/>
      <c r="EB198" s="64"/>
      <c r="EC198" s="64"/>
      <c r="ED198" s="64"/>
      <c r="EE198" s="64"/>
      <c r="EF198" s="64"/>
      <c r="EG198" s="64"/>
      <c r="EH198" s="64"/>
      <c r="EI198" s="64"/>
      <c r="EJ198" s="69"/>
      <c r="EK198" s="64" t="s">
        <v>373</v>
      </c>
      <c r="EL198" s="64">
        <f t="shared" ref="EL198:FI198" si="479">EL95</f>
        <v>0</v>
      </c>
      <c r="EM198" s="64">
        <f t="shared" si="479"/>
        <v>4</v>
      </c>
      <c r="EN198" s="64">
        <f t="shared" si="479"/>
        <v>0</v>
      </c>
      <c r="EO198" s="64">
        <f t="shared" si="479"/>
        <v>0</v>
      </c>
      <c r="EP198" s="64">
        <f t="shared" si="479"/>
        <v>8</v>
      </c>
      <c r="EQ198" s="64">
        <f t="shared" si="479"/>
        <v>4</v>
      </c>
      <c r="ER198" s="64">
        <f t="shared" si="479"/>
        <v>12</v>
      </c>
      <c r="ES198" s="64">
        <f t="shared" si="479"/>
        <v>12</v>
      </c>
      <c r="ET198" s="64">
        <f t="shared" si="479"/>
        <v>8</v>
      </c>
      <c r="EU198" s="64">
        <f t="shared" si="479"/>
        <v>4</v>
      </c>
      <c r="EV198" s="64">
        <f t="shared" si="479"/>
        <v>16</v>
      </c>
      <c r="EW198" s="64">
        <f t="shared" si="479"/>
        <v>12</v>
      </c>
      <c r="EX198" s="64">
        <f t="shared" si="479"/>
        <v>8</v>
      </c>
      <c r="EY198" s="64">
        <f t="shared" si="479"/>
        <v>20</v>
      </c>
      <c r="EZ198" s="64">
        <f t="shared" si="479"/>
        <v>16</v>
      </c>
      <c r="FA198" s="64">
        <f t="shared" si="479"/>
        <v>12</v>
      </c>
      <c r="FB198" s="64">
        <f t="shared" si="479"/>
        <v>24</v>
      </c>
      <c r="FC198" s="64">
        <f t="shared" si="479"/>
        <v>20</v>
      </c>
      <c r="FD198" s="64">
        <f t="shared" si="479"/>
        <v>16</v>
      </c>
      <c r="FE198" s="64">
        <f t="shared" si="479"/>
        <v>28</v>
      </c>
      <c r="FF198" s="64">
        <f t="shared" si="479"/>
        <v>24</v>
      </c>
      <c r="FG198" s="64">
        <f t="shared" si="479"/>
        <v>20</v>
      </c>
      <c r="FH198" s="64">
        <f t="shared" si="479"/>
        <v>32</v>
      </c>
      <c r="FI198" s="64">
        <f t="shared" si="479"/>
        <v>28</v>
      </c>
      <c r="FJ198" s="64"/>
      <c r="FK198" s="64" t="s">
        <v>373</v>
      </c>
      <c r="FL198" s="64">
        <f t="shared" ref="FL198:GI198" si="480">FL95</f>
        <v>0</v>
      </c>
      <c r="FM198" s="64">
        <f t="shared" si="480"/>
        <v>0</v>
      </c>
      <c r="FN198" s="64">
        <f t="shared" si="480"/>
        <v>0</v>
      </c>
      <c r="FO198" s="64">
        <f t="shared" si="480"/>
        <v>0</v>
      </c>
      <c r="FP198" s="64">
        <f t="shared" si="480"/>
        <v>4</v>
      </c>
      <c r="FQ198" s="64">
        <f t="shared" si="480"/>
        <v>0</v>
      </c>
      <c r="FR198" s="64">
        <f t="shared" si="480"/>
        <v>12</v>
      </c>
      <c r="FS198" s="64">
        <f t="shared" si="480"/>
        <v>8</v>
      </c>
      <c r="FT198" s="64">
        <f t="shared" si="480"/>
        <v>4</v>
      </c>
      <c r="FU198" s="64">
        <f t="shared" si="480"/>
        <v>16</v>
      </c>
      <c r="FV198" s="64">
        <f t="shared" si="480"/>
        <v>12</v>
      </c>
      <c r="FW198" s="64">
        <f t="shared" si="480"/>
        <v>8</v>
      </c>
      <c r="FX198" s="64">
        <f t="shared" si="480"/>
        <v>20</v>
      </c>
      <c r="FY198" s="64">
        <f t="shared" si="480"/>
        <v>12</v>
      </c>
      <c r="FZ198" s="64">
        <f t="shared" si="480"/>
        <v>24</v>
      </c>
      <c r="GA198" s="64">
        <f t="shared" si="480"/>
        <v>20</v>
      </c>
      <c r="GB198" s="64">
        <f t="shared" si="480"/>
        <v>16</v>
      </c>
      <c r="GC198" s="64">
        <f t="shared" si="480"/>
        <v>28</v>
      </c>
      <c r="GD198" s="64">
        <f t="shared" si="480"/>
        <v>24</v>
      </c>
      <c r="GE198" s="64">
        <f t="shared" si="480"/>
        <v>20</v>
      </c>
      <c r="GF198" s="64">
        <f t="shared" si="480"/>
        <v>32</v>
      </c>
      <c r="GG198" s="64">
        <f t="shared" si="480"/>
        <v>28</v>
      </c>
      <c r="GH198" s="64">
        <f t="shared" si="480"/>
        <v>24</v>
      </c>
      <c r="GI198" s="64">
        <f t="shared" si="480"/>
        <v>36</v>
      </c>
      <c r="GJ198" s="64"/>
      <c r="GK198" s="64"/>
      <c r="GL198" s="64"/>
      <c r="GM198" s="64"/>
      <c r="GN198" s="64"/>
      <c r="GO198" s="64"/>
      <c r="GP198" s="64"/>
      <c r="GQ198" s="64"/>
      <c r="GR198" s="72" t="s">
        <v>376</v>
      </c>
      <c r="GS198" s="64">
        <f t="shared" ref="GS198:HP198" si="481">GS95</f>
        <v>0</v>
      </c>
      <c r="GT198" s="64">
        <f t="shared" si="481"/>
        <v>0</v>
      </c>
      <c r="GU198" s="64">
        <f t="shared" si="481"/>
        <v>0</v>
      </c>
      <c r="GV198" s="64">
        <f t="shared" si="481"/>
        <v>0</v>
      </c>
      <c r="GW198" s="64">
        <f t="shared" si="481"/>
        <v>4</v>
      </c>
      <c r="GX198" s="64">
        <f t="shared" si="481"/>
        <v>8</v>
      </c>
      <c r="GY198" s="64">
        <f t="shared" si="481"/>
        <v>8</v>
      </c>
      <c r="GZ198" s="64">
        <f t="shared" si="481"/>
        <v>8</v>
      </c>
      <c r="HA198" s="64">
        <f t="shared" si="481"/>
        <v>8</v>
      </c>
      <c r="HB198" s="64">
        <f t="shared" si="481"/>
        <v>12</v>
      </c>
      <c r="HC198" s="64">
        <f t="shared" si="481"/>
        <v>12</v>
      </c>
      <c r="HD198" s="64">
        <f t="shared" si="481"/>
        <v>12</v>
      </c>
      <c r="HE198" s="64">
        <f t="shared" si="481"/>
        <v>16</v>
      </c>
      <c r="HF198" s="64">
        <f t="shared" si="481"/>
        <v>16</v>
      </c>
      <c r="HG198" s="64">
        <f t="shared" si="481"/>
        <v>16</v>
      </c>
      <c r="HH198" s="64">
        <f t="shared" si="481"/>
        <v>16</v>
      </c>
      <c r="HI198" s="64">
        <f t="shared" si="481"/>
        <v>20</v>
      </c>
      <c r="HJ198" s="64">
        <f t="shared" si="481"/>
        <v>20</v>
      </c>
      <c r="HK198" s="64">
        <f t="shared" si="481"/>
        <v>20</v>
      </c>
      <c r="HL198" s="64">
        <f t="shared" si="481"/>
        <v>24</v>
      </c>
      <c r="HM198" s="64">
        <f t="shared" si="481"/>
        <v>24</v>
      </c>
      <c r="HN198" s="64">
        <f t="shared" si="481"/>
        <v>24</v>
      </c>
      <c r="HO198" s="64">
        <f t="shared" si="481"/>
        <v>24</v>
      </c>
      <c r="HP198" s="64">
        <f t="shared" si="481"/>
        <v>28</v>
      </c>
      <c r="HS198" s="72" t="s">
        <v>376</v>
      </c>
      <c r="HT198" s="64">
        <f t="shared" ref="HT198:IQ198" si="482">HT95</f>
        <v>0</v>
      </c>
      <c r="HU198" s="64">
        <f t="shared" si="482"/>
        <v>0</v>
      </c>
      <c r="HV198" s="64">
        <f t="shared" si="482"/>
        <v>0</v>
      </c>
      <c r="HW198" s="64">
        <f t="shared" si="482"/>
        <v>4</v>
      </c>
      <c r="HX198" s="64">
        <f t="shared" si="482"/>
        <v>4</v>
      </c>
      <c r="HY198" s="64">
        <f t="shared" si="482"/>
        <v>8</v>
      </c>
      <c r="HZ198" s="64">
        <f t="shared" si="482"/>
        <v>8</v>
      </c>
      <c r="IA198" s="64">
        <f t="shared" si="482"/>
        <v>8</v>
      </c>
      <c r="IB198" s="64">
        <f t="shared" si="482"/>
        <v>12</v>
      </c>
      <c r="IC198" s="64">
        <f t="shared" si="482"/>
        <v>12</v>
      </c>
      <c r="ID198" s="64">
        <f t="shared" si="482"/>
        <v>12</v>
      </c>
      <c r="IE198" s="64">
        <f t="shared" si="482"/>
        <v>16</v>
      </c>
      <c r="IF198" s="64">
        <f t="shared" si="482"/>
        <v>16</v>
      </c>
      <c r="IG198" s="64">
        <f t="shared" si="482"/>
        <v>16</v>
      </c>
      <c r="IH198" s="64">
        <f t="shared" si="482"/>
        <v>16</v>
      </c>
      <c r="II198" s="64">
        <f t="shared" si="482"/>
        <v>20</v>
      </c>
      <c r="IJ198" s="64">
        <f t="shared" si="482"/>
        <v>20</v>
      </c>
      <c r="IK198" s="64">
        <f t="shared" si="482"/>
        <v>20</v>
      </c>
      <c r="IL198" s="64">
        <f t="shared" si="482"/>
        <v>24</v>
      </c>
      <c r="IM198" s="64">
        <f t="shared" si="482"/>
        <v>24</v>
      </c>
      <c r="IN198" s="64">
        <f t="shared" si="482"/>
        <v>24</v>
      </c>
      <c r="IO198" s="64">
        <f t="shared" si="482"/>
        <v>28</v>
      </c>
      <c r="IP198" s="64">
        <f t="shared" si="482"/>
        <v>28</v>
      </c>
      <c r="IQ198" s="64">
        <f t="shared" si="482"/>
        <v>28</v>
      </c>
      <c r="IT198" s="71"/>
    </row>
    <row r="199" spans="1:254" ht="15.75" thickBot="1" x14ac:dyDescent="0.3">
      <c r="A199" s="35"/>
      <c r="B199" s="5" t="s">
        <v>61</v>
      </c>
      <c r="C199" s="35"/>
      <c r="D199" s="6" t="s">
        <v>474</v>
      </c>
      <c r="E199" s="4"/>
      <c r="F199" s="6"/>
      <c r="G199" s="6"/>
      <c r="H199" s="6"/>
      <c r="I199" s="6"/>
      <c r="J199" s="1"/>
      <c r="K199" s="9"/>
      <c r="L199" s="6" t="s">
        <v>101</v>
      </c>
      <c r="M199" s="11">
        <f>INDEX(cenník!$C$2:$I$568,MATCH($L199,cenník!$B$2:$B$557,0),MATCH(M$2,cenník!$C$1:$I$1,0))</f>
        <v>851135</v>
      </c>
      <c r="N199" s="11" t="str">
        <f>INDEX(cenník!$C$2:$I$568,MATCH($L199,cenník!$B$2:$B$557,0),MATCH(N$2,cenník!$C$1:$I$1,0))</f>
        <v>ks</v>
      </c>
      <c r="O199" s="11">
        <f>SUM(AA180:AA195)*4</f>
        <v>0</v>
      </c>
      <c r="P199" s="36">
        <f>INDEX(cenník!$C$2:$I$568,MATCH($L199,cenník!$B$2:$B$557,0),MATCH(P$2,cenník!$C$1:$I$1,0))</f>
        <v>25.4</v>
      </c>
      <c r="Q199" s="36">
        <f t="shared" si="461"/>
        <v>0</v>
      </c>
      <c r="R199" s="37">
        <f t="shared" si="462"/>
        <v>0</v>
      </c>
      <c r="S199" s="36">
        <f t="shared" si="463"/>
        <v>25.4</v>
      </c>
      <c r="T199" s="36">
        <f t="shared" si="464"/>
        <v>0</v>
      </c>
      <c r="U199" s="36">
        <f>INDEX(cenník!$C$2:$I$568,MATCH($L199,cenník!$B$2:$B$557,0),MATCH(U$2,cenník!$C$1:$I$1,0))*O199</f>
        <v>0</v>
      </c>
      <c r="V199" s="64"/>
      <c r="AG199" s="64"/>
      <c r="AH199" s="64"/>
      <c r="AI199" s="64"/>
      <c r="AJ199" s="64"/>
      <c r="AK199" s="64"/>
      <c r="AL199" s="64"/>
      <c r="AM199" s="64"/>
      <c r="AN199" s="64"/>
      <c r="AO199" s="64"/>
      <c r="AP199" s="64"/>
      <c r="AQ199" s="64"/>
      <c r="AR199" s="64"/>
      <c r="AS199" s="64"/>
      <c r="AT199" s="64"/>
      <c r="AU199" s="64"/>
      <c r="AV199" s="64"/>
      <c r="AW199" s="64"/>
      <c r="AX199" s="64"/>
      <c r="AY199" s="64"/>
      <c r="AZ199" s="64"/>
      <c r="BA199" s="64"/>
      <c r="BB199" s="64"/>
      <c r="BC199" s="64"/>
      <c r="BD199" s="64"/>
      <c r="BE199" s="64"/>
      <c r="BF199" s="64"/>
      <c r="BG199" s="64"/>
      <c r="BV199" s="64"/>
      <c r="BW199" s="64"/>
      <c r="BX199" s="64"/>
      <c r="BY199" s="64"/>
      <c r="BZ199" s="64"/>
      <c r="CA199" s="64"/>
      <c r="CB199" s="64"/>
      <c r="CC199" s="64"/>
      <c r="CD199" s="64"/>
      <c r="CE199" s="64"/>
      <c r="CF199" s="64"/>
      <c r="CG199" s="64"/>
      <c r="CH199" s="64"/>
      <c r="CI199" s="64"/>
      <c r="CJ199" s="64"/>
      <c r="CK199" s="64"/>
      <c r="CL199" s="64"/>
      <c r="CM199" s="64"/>
      <c r="CN199" s="64"/>
      <c r="CO199" s="64"/>
      <c r="CP199" s="64"/>
      <c r="CQ199" s="64"/>
      <c r="CR199" s="64"/>
      <c r="CS199" s="64"/>
      <c r="CT199" s="64"/>
      <c r="CU199" s="64"/>
      <c r="CV199" s="64"/>
      <c r="CW199" s="64"/>
      <c r="CX199" s="64"/>
      <c r="CY199" s="64"/>
      <c r="CZ199" s="64"/>
      <c r="DA199" s="64"/>
      <c r="DB199" s="64"/>
      <c r="DC199" s="64"/>
      <c r="DD199" s="64"/>
      <c r="DE199" s="64"/>
      <c r="DF199" s="64"/>
      <c r="DG199" s="64"/>
      <c r="DH199" s="64"/>
      <c r="DI199" s="64"/>
      <c r="DJ199" s="64"/>
      <c r="DK199" s="64"/>
      <c r="DL199" s="64"/>
      <c r="DM199" s="64"/>
      <c r="DN199" s="64"/>
      <c r="DO199" s="64"/>
      <c r="DP199" s="64"/>
      <c r="DQ199" s="80"/>
      <c r="DR199" s="80"/>
      <c r="DS199" s="80"/>
      <c r="DT199" s="64"/>
      <c r="DU199" s="64"/>
      <c r="DV199" s="64"/>
      <c r="DW199" s="64"/>
      <c r="DX199" s="64"/>
      <c r="DY199" s="64"/>
      <c r="DZ199" s="64"/>
      <c r="EA199" s="64"/>
      <c r="EB199" s="64"/>
      <c r="EC199" s="64"/>
      <c r="ED199" s="64"/>
      <c r="EE199" s="64"/>
      <c r="EF199" s="64"/>
      <c r="EG199" s="64"/>
      <c r="EH199" s="64"/>
      <c r="EI199" s="64"/>
      <c r="EJ199" s="69"/>
      <c r="EK199" s="72" t="s">
        <v>376</v>
      </c>
      <c r="EL199" s="64">
        <f t="shared" ref="EL199:FI199" si="483">EL96</f>
        <v>0</v>
      </c>
      <c r="EM199" s="64">
        <f t="shared" si="483"/>
        <v>0</v>
      </c>
      <c r="EN199" s="64">
        <f t="shared" si="483"/>
        <v>0</v>
      </c>
      <c r="EO199" s="64">
        <f t="shared" si="483"/>
        <v>0</v>
      </c>
      <c r="EP199" s="64">
        <f t="shared" si="483"/>
        <v>4</v>
      </c>
      <c r="EQ199" s="64">
        <f t="shared" si="483"/>
        <v>4</v>
      </c>
      <c r="ER199" s="64">
        <f t="shared" si="483"/>
        <v>8</v>
      </c>
      <c r="ES199" s="64">
        <f t="shared" si="483"/>
        <v>8</v>
      </c>
      <c r="ET199" s="64">
        <f t="shared" si="483"/>
        <v>8</v>
      </c>
      <c r="EU199" s="64">
        <f t="shared" si="483"/>
        <v>8</v>
      </c>
      <c r="EV199" s="64">
        <f t="shared" si="483"/>
        <v>12</v>
      </c>
      <c r="EW199" s="64">
        <f t="shared" si="483"/>
        <v>12</v>
      </c>
      <c r="EX199" s="64">
        <f t="shared" si="483"/>
        <v>12</v>
      </c>
      <c r="EY199" s="64">
        <f t="shared" si="483"/>
        <v>16</v>
      </c>
      <c r="EZ199" s="64">
        <f t="shared" si="483"/>
        <v>16</v>
      </c>
      <c r="FA199" s="64">
        <f t="shared" si="483"/>
        <v>16</v>
      </c>
      <c r="FB199" s="64">
        <f t="shared" si="483"/>
        <v>20</v>
      </c>
      <c r="FC199" s="64">
        <f t="shared" si="483"/>
        <v>20</v>
      </c>
      <c r="FD199" s="64">
        <f t="shared" si="483"/>
        <v>20</v>
      </c>
      <c r="FE199" s="64">
        <f t="shared" si="483"/>
        <v>24</v>
      </c>
      <c r="FF199" s="64">
        <f t="shared" si="483"/>
        <v>24</v>
      </c>
      <c r="FG199" s="64">
        <f t="shared" si="483"/>
        <v>24</v>
      </c>
      <c r="FH199" s="64">
        <f t="shared" si="483"/>
        <v>28</v>
      </c>
      <c r="FI199" s="64">
        <f t="shared" si="483"/>
        <v>28</v>
      </c>
      <c r="FJ199" s="64"/>
      <c r="FK199" s="72" t="s">
        <v>376</v>
      </c>
      <c r="FL199" s="64">
        <f t="shared" ref="FL199:GI199" si="484">FL96</f>
        <v>0</v>
      </c>
      <c r="FM199" s="64">
        <f t="shared" si="484"/>
        <v>0</v>
      </c>
      <c r="FN199" s="64">
        <f t="shared" si="484"/>
        <v>0</v>
      </c>
      <c r="FO199" s="64">
        <f t="shared" si="484"/>
        <v>0</v>
      </c>
      <c r="FP199" s="64">
        <f t="shared" si="484"/>
        <v>4</v>
      </c>
      <c r="FQ199" s="64">
        <f t="shared" si="484"/>
        <v>4</v>
      </c>
      <c r="FR199" s="64">
        <f t="shared" si="484"/>
        <v>8</v>
      </c>
      <c r="FS199" s="64">
        <f t="shared" si="484"/>
        <v>8</v>
      </c>
      <c r="FT199" s="64">
        <f t="shared" si="484"/>
        <v>8</v>
      </c>
      <c r="FU199" s="64">
        <f t="shared" si="484"/>
        <v>12</v>
      </c>
      <c r="FV199" s="64">
        <f t="shared" si="484"/>
        <v>12</v>
      </c>
      <c r="FW199" s="64">
        <f t="shared" si="484"/>
        <v>12</v>
      </c>
      <c r="FX199" s="64">
        <f t="shared" si="484"/>
        <v>16</v>
      </c>
      <c r="FY199" s="64">
        <f t="shared" si="484"/>
        <v>16</v>
      </c>
      <c r="FZ199" s="64">
        <f t="shared" si="484"/>
        <v>20</v>
      </c>
      <c r="GA199" s="64">
        <f t="shared" si="484"/>
        <v>20</v>
      </c>
      <c r="GB199" s="64">
        <f t="shared" si="484"/>
        <v>20</v>
      </c>
      <c r="GC199" s="64">
        <f t="shared" si="484"/>
        <v>24</v>
      </c>
      <c r="GD199" s="64">
        <f t="shared" si="484"/>
        <v>24</v>
      </c>
      <c r="GE199" s="64">
        <f t="shared" si="484"/>
        <v>24</v>
      </c>
      <c r="GF199" s="64">
        <f t="shared" si="484"/>
        <v>28</v>
      </c>
      <c r="GG199" s="64">
        <f t="shared" si="484"/>
        <v>28</v>
      </c>
      <c r="GH199" s="64">
        <f t="shared" si="484"/>
        <v>28</v>
      </c>
      <c r="GI199" s="64">
        <f t="shared" si="484"/>
        <v>32</v>
      </c>
      <c r="GJ199" s="64"/>
      <c r="GK199" s="64"/>
      <c r="GL199" s="64"/>
      <c r="GM199" s="64"/>
      <c r="GN199" s="64"/>
      <c r="GO199" s="64"/>
      <c r="GP199" s="64"/>
      <c r="GQ199" s="64"/>
      <c r="GR199" s="64" t="s">
        <v>324</v>
      </c>
      <c r="GS199" s="64">
        <f t="shared" ref="GS199:HP199" si="485">GS96</f>
        <v>0</v>
      </c>
      <c r="GT199" s="64">
        <f t="shared" si="485"/>
        <v>0</v>
      </c>
      <c r="GU199" s="64">
        <f t="shared" si="485"/>
        <v>0</v>
      </c>
      <c r="GV199" s="64">
        <f t="shared" si="485"/>
        <v>0</v>
      </c>
      <c r="GW199" s="64">
        <f t="shared" si="485"/>
        <v>4</v>
      </c>
      <c r="GX199" s="64">
        <f t="shared" si="485"/>
        <v>8</v>
      </c>
      <c r="GY199" s="64">
        <f t="shared" si="485"/>
        <v>8</v>
      </c>
      <c r="GZ199" s="64">
        <f t="shared" si="485"/>
        <v>8</v>
      </c>
      <c r="HA199" s="64">
        <f t="shared" si="485"/>
        <v>8</v>
      </c>
      <c r="HB199" s="64">
        <f t="shared" si="485"/>
        <v>12</v>
      </c>
      <c r="HC199" s="64">
        <f t="shared" si="485"/>
        <v>12</v>
      </c>
      <c r="HD199" s="64">
        <f t="shared" si="485"/>
        <v>12</v>
      </c>
      <c r="HE199" s="64">
        <f t="shared" si="485"/>
        <v>16</v>
      </c>
      <c r="HF199" s="64">
        <f t="shared" si="485"/>
        <v>16</v>
      </c>
      <c r="HG199" s="64">
        <f t="shared" si="485"/>
        <v>16</v>
      </c>
      <c r="HH199" s="64">
        <f t="shared" si="485"/>
        <v>16</v>
      </c>
      <c r="HI199" s="64">
        <f t="shared" si="485"/>
        <v>20</v>
      </c>
      <c r="HJ199" s="64">
        <f t="shared" si="485"/>
        <v>20</v>
      </c>
      <c r="HK199" s="64">
        <f t="shared" si="485"/>
        <v>20</v>
      </c>
      <c r="HL199" s="64">
        <f t="shared" si="485"/>
        <v>24</v>
      </c>
      <c r="HM199" s="64">
        <f t="shared" si="485"/>
        <v>24</v>
      </c>
      <c r="HN199" s="64">
        <f t="shared" si="485"/>
        <v>24</v>
      </c>
      <c r="HO199" s="64">
        <f t="shared" si="485"/>
        <v>24</v>
      </c>
      <c r="HP199" s="64">
        <f t="shared" si="485"/>
        <v>28</v>
      </c>
      <c r="HS199" s="64" t="s">
        <v>324</v>
      </c>
      <c r="HT199" s="64">
        <f t="shared" ref="HT199:IQ199" si="486">HT96</f>
        <v>0</v>
      </c>
      <c r="HU199" s="64">
        <f t="shared" si="486"/>
        <v>0</v>
      </c>
      <c r="HV199" s="64">
        <f t="shared" si="486"/>
        <v>0</v>
      </c>
      <c r="HW199" s="64">
        <f t="shared" si="486"/>
        <v>4</v>
      </c>
      <c r="HX199" s="64">
        <f t="shared" si="486"/>
        <v>4</v>
      </c>
      <c r="HY199" s="64">
        <f t="shared" si="486"/>
        <v>8</v>
      </c>
      <c r="HZ199" s="64">
        <f t="shared" si="486"/>
        <v>8</v>
      </c>
      <c r="IA199" s="64">
        <f t="shared" si="486"/>
        <v>8</v>
      </c>
      <c r="IB199" s="64">
        <f t="shared" si="486"/>
        <v>12</v>
      </c>
      <c r="IC199" s="64">
        <f t="shared" si="486"/>
        <v>12</v>
      </c>
      <c r="ID199" s="64">
        <f t="shared" si="486"/>
        <v>12</v>
      </c>
      <c r="IE199" s="64">
        <f t="shared" si="486"/>
        <v>16</v>
      </c>
      <c r="IF199" s="64">
        <f t="shared" si="486"/>
        <v>16</v>
      </c>
      <c r="IG199" s="64">
        <f t="shared" si="486"/>
        <v>16</v>
      </c>
      <c r="IH199" s="64">
        <f t="shared" si="486"/>
        <v>16</v>
      </c>
      <c r="II199" s="64">
        <f t="shared" si="486"/>
        <v>20</v>
      </c>
      <c r="IJ199" s="64">
        <f t="shared" si="486"/>
        <v>20</v>
      </c>
      <c r="IK199" s="64">
        <f t="shared" si="486"/>
        <v>20</v>
      </c>
      <c r="IL199" s="64">
        <f t="shared" si="486"/>
        <v>24</v>
      </c>
      <c r="IM199" s="64">
        <f t="shared" si="486"/>
        <v>24</v>
      </c>
      <c r="IN199" s="64">
        <f t="shared" si="486"/>
        <v>24</v>
      </c>
      <c r="IO199" s="64">
        <f t="shared" si="486"/>
        <v>28</v>
      </c>
      <c r="IP199" s="64">
        <f t="shared" si="486"/>
        <v>28</v>
      </c>
      <c r="IQ199" s="64">
        <f t="shared" si="486"/>
        <v>28</v>
      </c>
      <c r="IT199" s="71"/>
    </row>
    <row r="200" spans="1:254" x14ac:dyDescent="0.25">
      <c r="A200" s="35"/>
      <c r="B200" s="5" t="s">
        <v>61</v>
      </c>
      <c r="C200" s="35"/>
      <c r="D200" s="9"/>
      <c r="E200" s="9"/>
      <c r="F200" s="9"/>
      <c r="G200" s="9"/>
      <c r="H200" s="9"/>
      <c r="I200" s="9"/>
      <c r="J200" s="9"/>
      <c r="K200" s="9"/>
      <c r="L200" s="6" t="s">
        <v>246</v>
      </c>
      <c r="M200" s="11" t="e">
        <f>INDEX(cenník!$C$2:$I$568,MATCH($L200,cenník!$B$2:$B$557,0),MATCH(M$2,cenník!$C$1:$I$1,0))</f>
        <v>#N/A</v>
      </c>
      <c r="N200" s="11" t="e">
        <f>INDEX(cenník!$C$2:$I$568,MATCH($L200,cenník!$B$2:$B$557,0),MATCH(N$2,cenník!$C$1:$I$1,0))</f>
        <v>#N/A</v>
      </c>
      <c r="O200" s="11">
        <f>O195</f>
        <v>0</v>
      </c>
      <c r="P200" s="36" t="e">
        <f>INDEX(cenník!$C$2:$I$568,MATCH($L200,cenník!$B$2:$B$557,0),MATCH(P$2,cenník!$C$1:$I$1,0))</f>
        <v>#N/A</v>
      </c>
      <c r="Q200" s="36" t="e">
        <f t="shared" si="461"/>
        <v>#N/A</v>
      </c>
      <c r="R200" s="37">
        <f t="shared" si="462"/>
        <v>0</v>
      </c>
      <c r="S200" s="36" t="e">
        <f t="shared" si="463"/>
        <v>#N/A</v>
      </c>
      <c r="T200" s="36" t="e">
        <f t="shared" si="464"/>
        <v>#N/A</v>
      </c>
      <c r="U200" s="36" t="e">
        <f>INDEX(cenník!$C$2:$I$568,MATCH($L200,cenník!$B$2:$B$557,0),MATCH(U$2,cenník!$C$1:$I$1,0))*O200</f>
        <v>#N/A</v>
      </c>
      <c r="V200" s="64"/>
      <c r="AG200" s="64"/>
      <c r="AH200" s="64"/>
      <c r="AI200" s="64">
        <v>0</v>
      </c>
      <c r="AJ200" s="93">
        <v>0</v>
      </c>
      <c r="AK200" s="64">
        <v>0</v>
      </c>
      <c r="AL200" s="64"/>
      <c r="AM200" s="64"/>
      <c r="AN200" s="64"/>
      <c r="AO200" s="64"/>
      <c r="AP200" s="64"/>
      <c r="AQ200" s="64"/>
      <c r="AR200" s="64"/>
      <c r="AS200" s="64"/>
      <c r="AT200" s="64"/>
      <c r="AU200" s="64"/>
      <c r="AV200" s="64"/>
      <c r="AW200" s="64"/>
      <c r="AX200" s="64"/>
      <c r="AY200" s="64"/>
      <c r="AZ200" s="64"/>
      <c r="BA200" s="64"/>
      <c r="BB200" s="64"/>
      <c r="BC200" s="64"/>
      <c r="BD200" s="64"/>
      <c r="BE200" s="64"/>
      <c r="BF200" s="64"/>
      <c r="BG200" s="64"/>
      <c r="BH200" s="94" t="s">
        <v>56</v>
      </c>
      <c r="BI200" s="76">
        <v>0</v>
      </c>
      <c r="BJ200" s="76">
        <v>8</v>
      </c>
      <c r="BK200" s="76">
        <v>12</v>
      </c>
      <c r="BL200" s="76">
        <v>16</v>
      </c>
      <c r="BM200" s="76">
        <v>20</v>
      </c>
      <c r="BN200" s="76">
        <v>24</v>
      </c>
      <c r="BO200" s="76">
        <v>28</v>
      </c>
      <c r="BP200" s="76">
        <v>32</v>
      </c>
      <c r="BQ200" s="76">
        <v>36</v>
      </c>
      <c r="BR200" s="76">
        <v>40</v>
      </c>
      <c r="BS200" s="76">
        <v>44</v>
      </c>
      <c r="BT200" s="76">
        <v>48</v>
      </c>
      <c r="BU200" s="76">
        <v>52</v>
      </c>
      <c r="BV200" s="66"/>
      <c r="BW200" s="66" t="s">
        <v>198</v>
      </c>
      <c r="BX200" s="66">
        <v>0</v>
      </c>
      <c r="BY200" s="66">
        <v>8</v>
      </c>
      <c r="BZ200" s="66">
        <v>12</v>
      </c>
      <c r="CA200" s="66">
        <v>16</v>
      </c>
      <c r="CB200" s="66">
        <v>20</v>
      </c>
      <c r="CC200" s="76">
        <v>24</v>
      </c>
      <c r="CD200" s="76">
        <v>28</v>
      </c>
      <c r="CE200" s="76">
        <v>32</v>
      </c>
      <c r="CF200" s="76">
        <v>36</v>
      </c>
      <c r="CG200" s="76">
        <v>40</v>
      </c>
      <c r="CH200" s="76">
        <v>44</v>
      </c>
      <c r="CI200" s="76">
        <v>48</v>
      </c>
      <c r="CJ200" s="76">
        <v>52</v>
      </c>
      <c r="CK200" s="66"/>
      <c r="CL200" s="66"/>
      <c r="CM200" s="66"/>
      <c r="CN200" s="76" t="s">
        <v>232</v>
      </c>
      <c r="CO200" s="76">
        <v>0</v>
      </c>
      <c r="CP200" s="76">
        <v>8</v>
      </c>
      <c r="CQ200" s="76">
        <v>12</v>
      </c>
      <c r="CR200" s="76">
        <v>16</v>
      </c>
      <c r="CS200" s="76">
        <v>20</v>
      </c>
      <c r="CT200" s="76">
        <v>24</v>
      </c>
      <c r="CU200" s="76">
        <v>28</v>
      </c>
      <c r="CV200" s="76">
        <v>32</v>
      </c>
      <c r="CW200" s="76">
        <v>36</v>
      </c>
      <c r="CX200" s="76">
        <v>40</v>
      </c>
      <c r="CY200" s="76">
        <v>44</v>
      </c>
      <c r="CZ200" s="76">
        <v>48</v>
      </c>
      <c r="DA200" s="77">
        <v>52</v>
      </c>
      <c r="DB200" s="64"/>
      <c r="DC200" s="64"/>
      <c r="DD200" s="64"/>
      <c r="DE200" s="64"/>
      <c r="DF200" s="64"/>
      <c r="DG200" s="64"/>
      <c r="DH200" s="64"/>
      <c r="DI200" s="64"/>
      <c r="DJ200" s="64"/>
      <c r="DK200" s="64"/>
      <c r="DL200" s="64"/>
      <c r="DM200" s="64"/>
      <c r="DN200" s="64"/>
      <c r="DO200" s="64"/>
      <c r="DP200" s="64"/>
      <c r="DQ200" s="80"/>
      <c r="DR200" s="80"/>
      <c r="DS200" s="80"/>
      <c r="DT200" s="64"/>
      <c r="DU200" s="64"/>
      <c r="DV200" s="64"/>
      <c r="DW200" s="64"/>
      <c r="DX200" s="64"/>
      <c r="DY200" s="64"/>
      <c r="DZ200" s="64"/>
      <c r="EA200" s="64"/>
      <c r="EB200" s="64"/>
      <c r="EC200" s="64"/>
      <c r="ED200" s="64"/>
      <c r="EE200" s="64"/>
      <c r="EF200" s="64"/>
      <c r="EG200" s="64"/>
      <c r="EH200" s="64"/>
      <c r="EI200" s="64"/>
      <c r="EJ200" s="69"/>
      <c r="EK200" s="64" t="s">
        <v>324</v>
      </c>
      <c r="EL200" s="64">
        <f t="shared" ref="EL200:FI200" si="487">EL97</f>
        <v>0</v>
      </c>
      <c r="EM200" s="64">
        <f t="shared" si="487"/>
        <v>0</v>
      </c>
      <c r="EN200" s="64">
        <f t="shared" si="487"/>
        <v>0</v>
      </c>
      <c r="EO200" s="64">
        <f t="shared" si="487"/>
        <v>0</v>
      </c>
      <c r="EP200" s="64">
        <f t="shared" si="487"/>
        <v>4</v>
      </c>
      <c r="EQ200" s="64">
        <f t="shared" si="487"/>
        <v>4</v>
      </c>
      <c r="ER200" s="64">
        <f t="shared" si="487"/>
        <v>8</v>
      </c>
      <c r="ES200" s="64">
        <f t="shared" si="487"/>
        <v>8</v>
      </c>
      <c r="ET200" s="64">
        <f t="shared" si="487"/>
        <v>8</v>
      </c>
      <c r="EU200" s="64">
        <f t="shared" si="487"/>
        <v>8</v>
      </c>
      <c r="EV200" s="64">
        <f t="shared" si="487"/>
        <v>12</v>
      </c>
      <c r="EW200" s="64">
        <f t="shared" si="487"/>
        <v>12</v>
      </c>
      <c r="EX200" s="64">
        <f t="shared" si="487"/>
        <v>12</v>
      </c>
      <c r="EY200" s="64">
        <f t="shared" si="487"/>
        <v>16</v>
      </c>
      <c r="EZ200" s="64">
        <f t="shared" si="487"/>
        <v>16</v>
      </c>
      <c r="FA200" s="64">
        <f t="shared" si="487"/>
        <v>16</v>
      </c>
      <c r="FB200" s="64">
        <f t="shared" si="487"/>
        <v>20</v>
      </c>
      <c r="FC200" s="64">
        <f t="shared" si="487"/>
        <v>20</v>
      </c>
      <c r="FD200" s="64">
        <f t="shared" si="487"/>
        <v>20</v>
      </c>
      <c r="FE200" s="64">
        <f t="shared" si="487"/>
        <v>24</v>
      </c>
      <c r="FF200" s="64">
        <f t="shared" si="487"/>
        <v>24</v>
      </c>
      <c r="FG200" s="64">
        <f t="shared" si="487"/>
        <v>24</v>
      </c>
      <c r="FH200" s="64">
        <f t="shared" si="487"/>
        <v>28</v>
      </c>
      <c r="FI200" s="64">
        <f t="shared" si="487"/>
        <v>28</v>
      </c>
      <c r="FJ200" s="64"/>
      <c r="FK200" s="64" t="s">
        <v>324</v>
      </c>
      <c r="FL200" s="64">
        <f t="shared" ref="FL200:GI200" si="488">FL97</f>
        <v>0</v>
      </c>
      <c r="FM200" s="64">
        <f t="shared" si="488"/>
        <v>0</v>
      </c>
      <c r="FN200" s="64">
        <f t="shared" si="488"/>
        <v>0</v>
      </c>
      <c r="FO200" s="64">
        <f t="shared" si="488"/>
        <v>0</v>
      </c>
      <c r="FP200" s="64">
        <f t="shared" si="488"/>
        <v>4</v>
      </c>
      <c r="FQ200" s="64">
        <f t="shared" si="488"/>
        <v>4</v>
      </c>
      <c r="FR200" s="64">
        <f t="shared" si="488"/>
        <v>8</v>
      </c>
      <c r="FS200" s="64">
        <f t="shared" si="488"/>
        <v>8</v>
      </c>
      <c r="FT200" s="64">
        <f t="shared" si="488"/>
        <v>8</v>
      </c>
      <c r="FU200" s="64">
        <f t="shared" si="488"/>
        <v>12</v>
      </c>
      <c r="FV200" s="64">
        <f t="shared" si="488"/>
        <v>12</v>
      </c>
      <c r="FW200" s="64">
        <f t="shared" si="488"/>
        <v>12</v>
      </c>
      <c r="FX200" s="64">
        <f t="shared" si="488"/>
        <v>16</v>
      </c>
      <c r="FY200" s="64">
        <f t="shared" si="488"/>
        <v>16</v>
      </c>
      <c r="FZ200" s="64">
        <f t="shared" si="488"/>
        <v>20</v>
      </c>
      <c r="GA200" s="64">
        <f t="shared" si="488"/>
        <v>20</v>
      </c>
      <c r="GB200" s="64">
        <f t="shared" si="488"/>
        <v>20</v>
      </c>
      <c r="GC200" s="64">
        <f t="shared" si="488"/>
        <v>24</v>
      </c>
      <c r="GD200" s="64">
        <f t="shared" si="488"/>
        <v>24</v>
      </c>
      <c r="GE200" s="64">
        <f t="shared" si="488"/>
        <v>24</v>
      </c>
      <c r="GF200" s="64">
        <f t="shared" si="488"/>
        <v>28</v>
      </c>
      <c r="GG200" s="64">
        <f t="shared" si="488"/>
        <v>28</v>
      </c>
      <c r="GH200" s="64">
        <f t="shared" si="488"/>
        <v>28</v>
      </c>
      <c r="GI200" s="64">
        <f t="shared" si="488"/>
        <v>32</v>
      </c>
      <c r="GJ200" s="64"/>
      <c r="GK200" s="64"/>
      <c r="GL200" s="64"/>
      <c r="GM200" s="64"/>
      <c r="GN200" s="64"/>
      <c r="GO200" s="64"/>
      <c r="GP200" s="64"/>
      <c r="GQ200" s="64"/>
      <c r="GR200" s="64"/>
      <c r="GS200" s="64"/>
      <c r="GT200" s="64"/>
      <c r="GU200" s="64"/>
      <c r="GV200" s="64"/>
      <c r="GW200" s="64"/>
      <c r="GX200" s="64"/>
      <c r="GY200" s="64"/>
      <c r="GZ200" s="64"/>
      <c r="HA200" s="64"/>
      <c r="HB200" s="64"/>
      <c r="HC200" s="64"/>
      <c r="HD200" s="64"/>
      <c r="HE200" s="64"/>
      <c r="HF200" s="64"/>
      <c r="HG200" s="64"/>
      <c r="HH200" s="64"/>
      <c r="IT200" s="71"/>
    </row>
    <row r="201" spans="1:254" x14ac:dyDescent="0.25">
      <c r="A201" s="35"/>
      <c r="B201" s="5" t="s">
        <v>61</v>
      </c>
      <c r="C201" s="35"/>
      <c r="D201" s="9"/>
      <c r="E201" s="9"/>
      <c r="F201" s="9"/>
      <c r="G201" s="9"/>
      <c r="H201" s="9"/>
      <c r="I201" s="9"/>
      <c r="J201" s="9"/>
      <c r="K201" s="9"/>
      <c r="L201" s="6" t="s">
        <v>240</v>
      </c>
      <c r="M201" s="11">
        <f>INDEX(cenník!$C$2:$I$568,MATCH($L201,cenník!$B$2:$B$557,0),MATCH(M$2,cenník!$C$1:$I$1,0))</f>
        <v>867644</v>
      </c>
      <c r="N201" s="11" t="str">
        <f>INDEX(cenník!$C$2:$I$568,MATCH($L201,cenník!$B$2:$B$557,0),MATCH(N$2,cenník!$C$1:$I$1,0))</f>
        <v>ks</v>
      </c>
      <c r="O201" s="11">
        <f>SUM(Y182:Y197)</f>
        <v>0</v>
      </c>
      <c r="P201" s="36">
        <f>INDEX(cenník!$C$2:$I$568,MATCH($L201,cenník!$B$2:$B$557,0),MATCH(P$2,cenník!$C$1:$I$1,0))</f>
        <v>61.15</v>
      </c>
      <c r="Q201" s="36">
        <f>O201*P201</f>
        <v>0</v>
      </c>
      <c r="R201" s="37">
        <f t="shared" si="462"/>
        <v>0</v>
      </c>
      <c r="S201" s="36">
        <f t="shared" si="463"/>
        <v>61.15</v>
      </c>
      <c r="T201" s="36">
        <f>O201*S201</f>
        <v>0</v>
      </c>
      <c r="U201" s="36">
        <f>INDEX(cenník!$C$2:$I$568,MATCH($L201,cenník!$B$2:$B$557,0),MATCH(U$2,cenník!$C$1:$I$1,0))*O201</f>
        <v>0</v>
      </c>
      <c r="V201" s="64"/>
      <c r="AG201" s="64"/>
      <c r="AH201" s="64"/>
      <c r="AI201" s="64">
        <v>1</v>
      </c>
      <c r="AJ201" s="64" t="s">
        <v>321</v>
      </c>
      <c r="AK201" s="64">
        <v>2</v>
      </c>
      <c r="AL201" s="64"/>
      <c r="AM201" s="64"/>
      <c r="AN201" s="64"/>
      <c r="AO201" s="64"/>
      <c r="AP201" s="64"/>
      <c r="AQ201" s="64"/>
      <c r="AR201" s="64"/>
      <c r="AS201" s="64"/>
      <c r="AT201" s="64"/>
      <c r="AU201" s="64"/>
      <c r="AV201" s="64"/>
      <c r="AW201" s="64"/>
      <c r="AX201" s="64"/>
      <c r="AY201" s="64"/>
      <c r="AZ201" s="64"/>
      <c r="BA201" s="64"/>
      <c r="BB201" s="64"/>
      <c r="BC201" s="64"/>
      <c r="BD201" s="64"/>
      <c r="BE201" s="64"/>
      <c r="BF201" s="64"/>
      <c r="BG201" s="64"/>
      <c r="BH201" s="95" t="s">
        <v>286</v>
      </c>
      <c r="BI201" s="68">
        <v>0</v>
      </c>
      <c r="BJ201" s="68">
        <v>0</v>
      </c>
      <c r="BK201" s="68">
        <v>0</v>
      </c>
      <c r="BL201" s="68">
        <v>0</v>
      </c>
      <c r="BM201" s="68">
        <v>0</v>
      </c>
      <c r="BN201" s="68">
        <v>0</v>
      </c>
      <c r="BO201" s="68">
        <v>0</v>
      </c>
      <c r="BP201" s="68">
        <v>0</v>
      </c>
      <c r="BQ201" s="68">
        <v>0</v>
      </c>
      <c r="BR201" s="68">
        <v>0</v>
      </c>
      <c r="BS201" s="68">
        <v>0</v>
      </c>
      <c r="BT201" s="68">
        <v>0</v>
      </c>
      <c r="BU201" s="68">
        <v>0</v>
      </c>
      <c r="BV201" s="64"/>
      <c r="BW201" s="64" t="s">
        <v>286</v>
      </c>
      <c r="BX201" s="64">
        <v>0</v>
      </c>
      <c r="BY201" s="64">
        <v>0</v>
      </c>
      <c r="BZ201" s="64">
        <v>0</v>
      </c>
      <c r="CA201" s="64">
        <v>0</v>
      </c>
      <c r="CB201" s="64">
        <v>0</v>
      </c>
      <c r="CC201" s="68">
        <v>0</v>
      </c>
      <c r="CD201" s="68">
        <v>0</v>
      </c>
      <c r="CE201" s="68">
        <v>0</v>
      </c>
      <c r="CF201" s="68">
        <v>0</v>
      </c>
      <c r="CG201" s="68">
        <v>0</v>
      </c>
      <c r="CH201" s="68">
        <v>0</v>
      </c>
      <c r="CI201" s="68">
        <v>0</v>
      </c>
      <c r="CJ201" s="68">
        <v>0</v>
      </c>
      <c r="CK201" s="64"/>
      <c r="CL201" s="64"/>
      <c r="CM201" s="64"/>
      <c r="CN201" s="68" t="s">
        <v>286</v>
      </c>
      <c r="CO201" s="68">
        <v>0</v>
      </c>
      <c r="CP201" s="68">
        <v>5</v>
      </c>
      <c r="CQ201" s="68">
        <v>0</v>
      </c>
      <c r="CR201" s="68">
        <v>0</v>
      </c>
      <c r="CS201" s="68">
        <v>0</v>
      </c>
      <c r="CT201" s="68">
        <v>0</v>
      </c>
      <c r="CU201" s="68">
        <v>0</v>
      </c>
      <c r="CV201" s="68">
        <v>0</v>
      </c>
      <c r="CW201" s="68">
        <v>0</v>
      </c>
      <c r="CX201" s="68">
        <v>0</v>
      </c>
      <c r="CY201" s="68">
        <v>0</v>
      </c>
      <c r="CZ201" s="68">
        <v>0</v>
      </c>
      <c r="DA201" s="71">
        <v>0</v>
      </c>
      <c r="DB201" s="64"/>
      <c r="DC201" s="64"/>
      <c r="DD201" s="64"/>
      <c r="DE201" s="64"/>
      <c r="DF201" s="64"/>
      <c r="DG201" s="64"/>
      <c r="DH201" s="64"/>
      <c r="DI201" s="64"/>
      <c r="DJ201" s="64"/>
      <c r="DK201" s="64"/>
      <c r="DL201" s="64"/>
      <c r="DM201" s="64"/>
      <c r="DN201" s="64"/>
      <c r="DO201" s="64"/>
      <c r="DP201" s="64"/>
      <c r="DQ201" s="80"/>
      <c r="DR201" s="80"/>
      <c r="DS201" s="80"/>
      <c r="DT201" s="64"/>
      <c r="DU201" s="64"/>
      <c r="DV201" s="64"/>
      <c r="DW201" s="64"/>
      <c r="DX201" s="64"/>
      <c r="DY201" s="64"/>
      <c r="DZ201" s="64"/>
      <c r="EA201" s="64"/>
      <c r="EB201" s="64"/>
      <c r="EC201" s="64"/>
      <c r="ED201" s="64"/>
      <c r="EE201" s="64"/>
      <c r="EF201" s="64"/>
      <c r="EG201" s="64"/>
      <c r="EH201" s="64"/>
      <c r="EI201" s="64"/>
      <c r="EJ201" s="69"/>
      <c r="EK201" s="64"/>
      <c r="EL201" s="64"/>
      <c r="EM201" s="64"/>
      <c r="EN201" s="64"/>
      <c r="EO201" s="64"/>
      <c r="EP201" s="64"/>
      <c r="EQ201" s="64"/>
      <c r="ER201" s="64"/>
      <c r="ES201" s="64"/>
      <c r="ET201" s="64"/>
      <c r="EU201" s="64"/>
      <c r="EV201" s="64"/>
      <c r="EW201" s="64"/>
      <c r="EX201" s="64"/>
      <c r="EY201" s="64"/>
      <c r="EZ201" s="64"/>
      <c r="FA201" s="64"/>
      <c r="FB201" s="64"/>
      <c r="FC201" s="64"/>
      <c r="FD201" s="64"/>
      <c r="FE201" s="64"/>
      <c r="FF201" s="64"/>
      <c r="FG201" s="64"/>
      <c r="FH201" s="64"/>
      <c r="FI201" s="64"/>
      <c r="FJ201" s="64"/>
      <c r="FK201" s="64"/>
      <c r="FL201" s="64"/>
      <c r="FM201" s="64"/>
      <c r="FN201" s="64"/>
      <c r="FO201" s="64"/>
      <c r="FP201" s="64"/>
      <c r="FQ201" s="64"/>
      <c r="FR201" s="64"/>
      <c r="FS201" s="64"/>
      <c r="FT201" s="64"/>
      <c r="FU201" s="64"/>
      <c r="FV201" s="64"/>
      <c r="FW201" s="64"/>
      <c r="FX201" s="64"/>
      <c r="FY201" s="64"/>
      <c r="FZ201" s="64"/>
      <c r="GA201" s="64"/>
      <c r="GB201" s="64"/>
      <c r="GC201" s="64"/>
      <c r="GD201" s="64"/>
      <c r="GE201" s="64"/>
      <c r="GF201" s="64"/>
      <c r="GG201" s="64"/>
      <c r="GH201" s="64"/>
      <c r="GI201" s="64"/>
      <c r="GJ201" s="64"/>
      <c r="GK201" s="64"/>
      <c r="GL201" s="64"/>
      <c r="GM201" s="64"/>
      <c r="GN201" s="64"/>
      <c r="GO201" s="64"/>
      <c r="GP201" s="64"/>
      <c r="GQ201" s="64"/>
      <c r="GR201" s="64"/>
      <c r="GS201" s="64"/>
      <c r="GT201" s="64"/>
      <c r="GU201" s="64"/>
      <c r="GV201" s="64"/>
      <c r="GW201" s="64"/>
      <c r="GX201" s="64"/>
      <c r="GY201" s="64"/>
      <c r="GZ201" s="64"/>
      <c r="HA201" s="64"/>
      <c r="HB201" s="64"/>
      <c r="HC201" s="64"/>
      <c r="HD201" s="64"/>
      <c r="HE201" s="64"/>
      <c r="HF201" s="64"/>
      <c r="HG201" s="64"/>
      <c r="HH201" s="64"/>
      <c r="HS201" s="68" t="s">
        <v>355</v>
      </c>
      <c r="HT201" s="68">
        <v>0</v>
      </c>
      <c r="HU201" s="68">
        <v>6</v>
      </c>
      <c r="HV201" s="68">
        <v>8</v>
      </c>
      <c r="HW201" s="68">
        <v>10</v>
      </c>
      <c r="HX201" s="68">
        <v>12</v>
      </c>
      <c r="HY201" s="68">
        <v>14</v>
      </c>
      <c r="HZ201" s="68">
        <v>16</v>
      </c>
      <c r="IA201" s="68">
        <v>18</v>
      </c>
      <c r="IB201" s="68">
        <v>20</v>
      </c>
      <c r="IC201" s="68">
        <v>22</v>
      </c>
      <c r="ID201" s="68">
        <v>24</v>
      </c>
      <c r="IE201" s="68">
        <v>26</v>
      </c>
      <c r="IF201" s="68">
        <v>28</v>
      </c>
      <c r="IG201" s="68">
        <v>30</v>
      </c>
      <c r="IH201" s="68">
        <v>32</v>
      </c>
      <c r="II201" s="68">
        <v>34</v>
      </c>
      <c r="IJ201" s="68">
        <v>36</v>
      </c>
      <c r="IK201" s="68">
        <v>38</v>
      </c>
      <c r="IL201" s="68">
        <v>40</v>
      </c>
      <c r="IM201" s="68">
        <v>42</v>
      </c>
      <c r="IN201" s="68">
        <v>44</v>
      </c>
      <c r="IO201" s="68">
        <v>46</v>
      </c>
      <c r="IP201" s="68">
        <v>48</v>
      </c>
      <c r="IQ201" s="68">
        <v>50</v>
      </c>
      <c r="IT201" s="71"/>
    </row>
    <row r="202" spans="1:254" x14ac:dyDescent="0.25">
      <c r="A202" s="35"/>
      <c r="B202" s="5" t="s">
        <v>61</v>
      </c>
      <c r="C202" s="35"/>
      <c r="D202" s="9"/>
      <c r="E202" s="9"/>
      <c r="F202" s="9"/>
      <c r="G202" s="9"/>
      <c r="H202" s="9"/>
      <c r="I202" s="9"/>
      <c r="J202" s="9"/>
      <c r="K202" s="9"/>
      <c r="L202" s="6" t="s">
        <v>241</v>
      </c>
      <c r="M202" s="11">
        <f>INDEX(cenník!$C$2:$I$568,MATCH($L202,cenník!$B$2:$B$557,0),MATCH(M$2,cenník!$C$1:$I$1,0))</f>
        <v>867633</v>
      </c>
      <c r="N202" s="11" t="str">
        <f>INDEX(cenník!$C$2:$I$568,MATCH($L202,cenník!$B$2:$B$557,0),MATCH(N$2,cenník!$C$1:$I$1,0))</f>
        <v>ks</v>
      </c>
      <c r="O202" s="11">
        <f>SUM(Z182:Z197)</f>
        <v>0</v>
      </c>
      <c r="P202" s="36">
        <f>INDEX(cenník!$C$2:$I$568,MATCH($L202,cenník!$B$2:$B$557,0),MATCH(P$2,cenník!$C$1:$I$1,0))</f>
        <v>45.86</v>
      </c>
      <c r="Q202" s="36">
        <f>O202*P202</f>
        <v>0</v>
      </c>
      <c r="R202" s="37">
        <f t="shared" si="462"/>
        <v>0</v>
      </c>
      <c r="S202" s="36">
        <f t="shared" si="463"/>
        <v>45.86</v>
      </c>
      <c r="T202" s="36">
        <f>O202*S202</f>
        <v>0</v>
      </c>
      <c r="U202" s="36">
        <f>INDEX(cenník!$C$2:$I$568,MATCH($L202,cenník!$B$2:$B$557,0),MATCH(U$2,cenník!$C$1:$I$1,0))*O202</f>
        <v>0</v>
      </c>
      <c r="V202" s="64"/>
      <c r="AG202" s="64"/>
      <c r="AH202" s="64"/>
      <c r="AI202" s="64">
        <v>5</v>
      </c>
      <c r="AJ202" s="64" t="s">
        <v>322</v>
      </c>
      <c r="AK202" s="64">
        <v>4</v>
      </c>
      <c r="AL202" s="64"/>
      <c r="AM202" s="64"/>
      <c r="AN202" s="64"/>
      <c r="AO202" s="64"/>
      <c r="AP202" s="64"/>
      <c r="AQ202" s="64"/>
      <c r="AR202" s="64"/>
      <c r="AS202" s="64"/>
      <c r="AT202" s="64"/>
      <c r="AU202" s="64"/>
      <c r="AV202" s="64"/>
      <c r="AW202" s="64"/>
      <c r="AX202" s="64"/>
      <c r="AY202" s="64"/>
      <c r="AZ202" s="64"/>
      <c r="BA202" s="64"/>
      <c r="BB202" s="64"/>
      <c r="BC202" s="64"/>
      <c r="BD202" s="64"/>
      <c r="BE202" s="64"/>
      <c r="BF202" s="64"/>
      <c r="BG202" s="64"/>
      <c r="BH202" s="95" t="s">
        <v>240</v>
      </c>
      <c r="BI202" s="68">
        <v>0</v>
      </c>
      <c r="BJ202" s="68">
        <v>5</v>
      </c>
      <c r="BK202" s="68">
        <v>0</v>
      </c>
      <c r="BL202" s="68">
        <v>5</v>
      </c>
      <c r="BM202" s="68">
        <v>10</v>
      </c>
      <c r="BN202" s="68">
        <v>5</v>
      </c>
      <c r="BO202" s="68">
        <v>10</v>
      </c>
      <c r="BP202" s="68">
        <v>5</v>
      </c>
      <c r="BQ202" s="68">
        <v>10</v>
      </c>
      <c r="BR202" s="68">
        <v>20</v>
      </c>
      <c r="BS202" s="68">
        <v>10</v>
      </c>
      <c r="BT202" s="68">
        <v>20</v>
      </c>
      <c r="BU202" s="68">
        <v>15</v>
      </c>
      <c r="BV202" s="64"/>
      <c r="BW202" s="64" t="s">
        <v>240</v>
      </c>
      <c r="BX202" s="64">
        <v>0</v>
      </c>
      <c r="BY202" s="64">
        <v>5</v>
      </c>
      <c r="BZ202" s="64">
        <v>0</v>
      </c>
      <c r="CA202" s="64">
        <v>10</v>
      </c>
      <c r="CB202" s="64">
        <v>5</v>
      </c>
      <c r="CC202" s="68">
        <v>10</v>
      </c>
      <c r="CD202" s="68">
        <v>5</v>
      </c>
      <c r="CE202" s="68">
        <v>15</v>
      </c>
      <c r="CF202" s="68">
        <v>10</v>
      </c>
      <c r="CG202" s="68">
        <v>20</v>
      </c>
      <c r="CH202" s="68">
        <v>15</v>
      </c>
      <c r="CI202" s="68">
        <v>20</v>
      </c>
      <c r="CJ202" s="68">
        <v>30</v>
      </c>
      <c r="CK202" s="64"/>
      <c r="CL202" s="64"/>
      <c r="CM202" s="64"/>
      <c r="CN202" s="68" t="s">
        <v>240</v>
      </c>
      <c r="CO202" s="68">
        <v>0</v>
      </c>
      <c r="CP202" s="68">
        <v>0</v>
      </c>
      <c r="CQ202" s="68">
        <v>5</v>
      </c>
      <c r="CR202" s="68">
        <v>0</v>
      </c>
      <c r="CS202" s="68">
        <v>10</v>
      </c>
      <c r="CT202" s="68">
        <v>5</v>
      </c>
      <c r="CU202" s="68">
        <v>15</v>
      </c>
      <c r="CV202" s="68">
        <v>10</v>
      </c>
      <c r="CW202" s="68">
        <v>20</v>
      </c>
      <c r="CX202" s="68">
        <v>15</v>
      </c>
      <c r="CY202" s="68">
        <v>30</v>
      </c>
      <c r="CZ202" s="68">
        <v>25</v>
      </c>
      <c r="DA202" s="71">
        <v>35</v>
      </c>
      <c r="DB202" s="64"/>
      <c r="DC202" s="64"/>
      <c r="DD202" s="64"/>
      <c r="DE202" s="64"/>
      <c r="DF202" s="64"/>
      <c r="DG202" s="64"/>
      <c r="DH202" s="64"/>
      <c r="DI202" s="64"/>
      <c r="DJ202" s="64"/>
      <c r="DK202" s="64"/>
      <c r="DL202" s="64"/>
      <c r="DM202" s="64"/>
      <c r="DN202" s="64"/>
      <c r="DO202" s="64"/>
      <c r="DP202" s="64"/>
      <c r="DQ202" s="80"/>
      <c r="DR202" s="80"/>
      <c r="DS202" s="80"/>
      <c r="DT202" s="64"/>
      <c r="DU202" s="64"/>
      <c r="DV202" s="64"/>
      <c r="DW202" s="64"/>
      <c r="DX202" s="64"/>
      <c r="DY202" s="64"/>
      <c r="DZ202" s="64"/>
      <c r="EA202" s="64"/>
      <c r="EB202" s="64"/>
      <c r="EC202" s="64"/>
      <c r="ED202" s="64"/>
      <c r="EE202" s="64"/>
      <c r="EF202" s="64"/>
      <c r="EG202" s="64"/>
      <c r="EH202" s="64"/>
      <c r="EI202" s="64"/>
      <c r="EJ202" s="69"/>
      <c r="EK202" s="64"/>
      <c r="EL202" s="64"/>
      <c r="EM202" s="64"/>
      <c r="EN202" s="64"/>
      <c r="EO202" s="64"/>
      <c r="EP202" s="64"/>
      <c r="EQ202" s="64"/>
      <c r="ER202" s="64"/>
      <c r="ES202" s="64"/>
      <c r="ET202" s="64"/>
      <c r="EU202" s="64"/>
      <c r="EV202" s="64"/>
      <c r="EW202" s="64"/>
      <c r="EX202" s="64"/>
      <c r="EY202" s="64"/>
      <c r="EZ202" s="64"/>
      <c r="FA202" s="64"/>
      <c r="FB202" s="64"/>
      <c r="FC202" s="64"/>
      <c r="FD202" s="64"/>
      <c r="FE202" s="64"/>
      <c r="FF202" s="64"/>
      <c r="FG202" s="64"/>
      <c r="FH202" s="64"/>
      <c r="FI202" s="64"/>
      <c r="FJ202" s="64"/>
      <c r="FK202" s="64"/>
      <c r="FL202" s="64"/>
      <c r="FM202" s="64"/>
      <c r="FN202" s="64"/>
      <c r="FO202" s="64"/>
      <c r="FP202" s="64"/>
      <c r="FQ202" s="64"/>
      <c r="FR202" s="64"/>
      <c r="FS202" s="64"/>
      <c r="FT202" s="64"/>
      <c r="FU202" s="64"/>
      <c r="FV202" s="64"/>
      <c r="FW202" s="64"/>
      <c r="FX202" s="64"/>
      <c r="FY202" s="64"/>
      <c r="FZ202" s="64"/>
      <c r="GA202" s="64"/>
      <c r="GB202" s="64"/>
      <c r="GC202" s="64"/>
      <c r="GD202" s="64"/>
      <c r="GE202" s="64"/>
      <c r="GF202" s="64"/>
      <c r="GG202" s="64"/>
      <c r="GH202" s="64"/>
      <c r="GI202" s="64"/>
      <c r="GJ202" s="64"/>
      <c r="GK202" s="64"/>
      <c r="GL202" s="64"/>
      <c r="GM202" s="64"/>
      <c r="GN202" s="64"/>
      <c r="GO202" s="64"/>
      <c r="GP202" s="64"/>
      <c r="GQ202" s="64"/>
      <c r="GR202" s="64"/>
      <c r="GS202" s="64"/>
      <c r="GT202" s="64"/>
      <c r="GU202" s="64"/>
      <c r="GV202" s="64"/>
      <c r="GW202" s="64"/>
      <c r="GX202" s="64"/>
      <c r="GY202" s="64"/>
      <c r="GZ202" s="64"/>
      <c r="HA202" s="64"/>
      <c r="HB202" s="64"/>
      <c r="HC202" s="64"/>
      <c r="HD202" s="64"/>
      <c r="HE202" s="64"/>
      <c r="HF202" s="64"/>
      <c r="HG202" s="64"/>
      <c r="HH202" s="64"/>
      <c r="HS202" s="68" t="s">
        <v>375</v>
      </c>
      <c r="HT202" s="64">
        <f>HT99</f>
        <v>0</v>
      </c>
      <c r="HU202" s="64">
        <f t="shared" ref="HU202:IQ202" si="489">HU99</f>
        <v>0</v>
      </c>
      <c r="HV202" s="64">
        <f t="shared" si="489"/>
        <v>4</v>
      </c>
      <c r="HW202" s="64">
        <f t="shared" si="489"/>
        <v>0</v>
      </c>
      <c r="HX202" s="64">
        <f t="shared" si="489"/>
        <v>0</v>
      </c>
      <c r="HY202" s="64">
        <f t="shared" si="489"/>
        <v>0</v>
      </c>
      <c r="HZ202" s="64">
        <f t="shared" si="489"/>
        <v>0</v>
      </c>
      <c r="IA202" s="64">
        <f t="shared" si="489"/>
        <v>0</v>
      </c>
      <c r="IB202" s="64">
        <f t="shared" si="489"/>
        <v>0</v>
      </c>
      <c r="IC202" s="64">
        <f t="shared" si="489"/>
        <v>0</v>
      </c>
      <c r="ID202" s="64">
        <f t="shared" si="489"/>
        <v>0</v>
      </c>
      <c r="IE202" s="64">
        <f t="shared" si="489"/>
        <v>0</v>
      </c>
      <c r="IF202" s="64">
        <f t="shared" si="489"/>
        <v>0</v>
      </c>
      <c r="IG202" s="64">
        <f t="shared" si="489"/>
        <v>0</v>
      </c>
      <c r="IH202" s="64">
        <f t="shared" si="489"/>
        <v>0</v>
      </c>
      <c r="II202" s="64">
        <f t="shared" si="489"/>
        <v>0</v>
      </c>
      <c r="IJ202" s="64">
        <f t="shared" si="489"/>
        <v>0</v>
      </c>
      <c r="IK202" s="64">
        <f t="shared" si="489"/>
        <v>0</v>
      </c>
      <c r="IL202" s="64">
        <f t="shared" si="489"/>
        <v>0</v>
      </c>
      <c r="IM202" s="64">
        <f t="shared" si="489"/>
        <v>0</v>
      </c>
      <c r="IN202" s="64">
        <f t="shared" si="489"/>
        <v>0</v>
      </c>
      <c r="IO202" s="64">
        <f t="shared" si="489"/>
        <v>0</v>
      </c>
      <c r="IP202" s="64">
        <f t="shared" si="489"/>
        <v>0</v>
      </c>
      <c r="IQ202" s="64">
        <f t="shared" si="489"/>
        <v>0</v>
      </c>
      <c r="IT202" s="71"/>
    </row>
    <row r="203" spans="1:254" x14ac:dyDescent="0.25">
      <c r="A203" s="35"/>
      <c r="B203" s="5" t="s">
        <v>61</v>
      </c>
      <c r="C203" s="35"/>
      <c r="D203" s="9"/>
      <c r="E203" s="9"/>
      <c r="F203" s="9"/>
      <c r="G203" s="9"/>
      <c r="H203" s="9"/>
      <c r="I203" s="9"/>
      <c r="J203" s="9"/>
      <c r="K203" s="9"/>
      <c r="L203" s="6" t="s">
        <v>242</v>
      </c>
      <c r="M203" s="11">
        <f>INDEX(cenník!$C$2:$I$568,MATCH($L203,cenník!$B$2:$B$557,0),MATCH(M$2,cenník!$C$1:$I$1,0))</f>
        <v>867670</v>
      </c>
      <c r="N203" s="11" t="str">
        <f>INDEX(cenník!$C$2:$I$568,MATCH($L203,cenník!$B$2:$B$557,0),MATCH(N$2,cenník!$C$1:$I$1,0))</f>
        <v>ks</v>
      </c>
      <c r="O203" s="11">
        <f>SUM(W182:W197)</f>
        <v>0</v>
      </c>
      <c r="P203" s="36">
        <f>INDEX(cenník!$C$2:$I$568,MATCH($L203,cenník!$B$2:$B$557,0),MATCH(P$2,cenník!$C$1:$I$1,0))</f>
        <v>3.3</v>
      </c>
      <c r="Q203" s="36">
        <f>O203*P203</f>
        <v>0</v>
      </c>
      <c r="R203" s="37">
        <f t="shared" si="462"/>
        <v>0</v>
      </c>
      <c r="S203" s="36">
        <f t="shared" si="463"/>
        <v>3.3</v>
      </c>
      <c r="T203" s="36">
        <f>O203*S203</f>
        <v>0</v>
      </c>
      <c r="U203" s="36">
        <f>INDEX(cenník!$C$2:$I$568,MATCH($L203,cenník!$B$2:$B$557,0),MATCH(U$2,cenník!$C$1:$I$1,0))*O203</f>
        <v>0</v>
      </c>
      <c r="V203" s="64"/>
      <c r="AG203" s="64"/>
      <c r="AH203" s="64"/>
      <c r="AI203" s="64">
        <v>8</v>
      </c>
      <c r="AJ203" s="64" t="s">
        <v>323</v>
      </c>
      <c r="AK203" s="64">
        <v>6</v>
      </c>
      <c r="AL203" s="64"/>
      <c r="AM203" s="64"/>
      <c r="AN203" s="64"/>
      <c r="AO203" s="64"/>
      <c r="AP203" s="64"/>
      <c r="AQ203" s="64"/>
      <c r="AR203" s="64"/>
      <c r="AS203" s="64"/>
      <c r="AT203" s="64"/>
      <c r="AU203" s="64"/>
      <c r="AV203" s="64"/>
      <c r="AW203" s="64"/>
      <c r="AX203" s="64"/>
      <c r="AY203" s="64"/>
      <c r="AZ203" s="64"/>
      <c r="BA203" s="64"/>
      <c r="BB203" s="64"/>
      <c r="BC203" s="64"/>
      <c r="BD203" s="64"/>
      <c r="BE203" s="64"/>
      <c r="BF203" s="64"/>
      <c r="BG203" s="64"/>
      <c r="BH203" s="95" t="s">
        <v>241</v>
      </c>
      <c r="BI203" s="68">
        <v>0</v>
      </c>
      <c r="BJ203" s="68">
        <v>0</v>
      </c>
      <c r="BK203" s="68">
        <v>10</v>
      </c>
      <c r="BL203" s="68">
        <v>5</v>
      </c>
      <c r="BM203" s="68">
        <v>0</v>
      </c>
      <c r="BN203" s="68">
        <v>10</v>
      </c>
      <c r="BO203" s="68">
        <v>5</v>
      </c>
      <c r="BP203" s="68">
        <v>15</v>
      </c>
      <c r="BQ203" s="68">
        <v>10</v>
      </c>
      <c r="BR203" s="68">
        <v>0</v>
      </c>
      <c r="BS203" s="68">
        <v>15</v>
      </c>
      <c r="BT203" s="68">
        <v>5</v>
      </c>
      <c r="BU203" s="68">
        <v>15</v>
      </c>
      <c r="BV203" s="64"/>
      <c r="BW203" s="64" t="s">
        <v>241</v>
      </c>
      <c r="BX203" s="64">
        <v>0</v>
      </c>
      <c r="BY203" s="64">
        <v>0</v>
      </c>
      <c r="BZ203" s="64">
        <v>10</v>
      </c>
      <c r="CA203" s="64">
        <v>0</v>
      </c>
      <c r="CB203" s="64">
        <v>10</v>
      </c>
      <c r="CC203" s="68">
        <v>5</v>
      </c>
      <c r="CD203" s="68">
        <v>15</v>
      </c>
      <c r="CE203" s="68">
        <v>5</v>
      </c>
      <c r="CF203" s="68">
        <v>15</v>
      </c>
      <c r="CG203" s="68">
        <v>5</v>
      </c>
      <c r="CH203" s="68">
        <v>15</v>
      </c>
      <c r="CI203" s="68">
        <v>10</v>
      </c>
      <c r="CJ203" s="68">
        <v>0</v>
      </c>
      <c r="CK203" s="64"/>
      <c r="CL203" s="64"/>
      <c r="CM203" s="64"/>
      <c r="CN203" s="68" t="s">
        <v>241</v>
      </c>
      <c r="CO203" s="68">
        <v>0</v>
      </c>
      <c r="CP203" s="68">
        <v>0</v>
      </c>
      <c r="CQ203" s="68">
        <v>5</v>
      </c>
      <c r="CR203" s="68">
        <v>15</v>
      </c>
      <c r="CS203" s="68">
        <v>5</v>
      </c>
      <c r="CT203" s="68">
        <v>15</v>
      </c>
      <c r="CU203" s="68">
        <v>5</v>
      </c>
      <c r="CV203" s="68">
        <v>15</v>
      </c>
      <c r="CW203" s="68">
        <v>5</v>
      </c>
      <c r="CX203" s="68">
        <v>15</v>
      </c>
      <c r="CY203" s="68">
        <v>0</v>
      </c>
      <c r="CZ203" s="68">
        <v>10</v>
      </c>
      <c r="DA203" s="71">
        <v>0</v>
      </c>
      <c r="DB203" s="64"/>
      <c r="DC203" s="64"/>
      <c r="DD203" s="64"/>
      <c r="DE203" s="64"/>
      <c r="DF203" s="64"/>
      <c r="DG203" s="64"/>
      <c r="DH203" s="64"/>
      <c r="DI203" s="64"/>
      <c r="DJ203" s="64"/>
      <c r="DK203" s="64"/>
      <c r="DL203" s="64"/>
      <c r="DM203" s="64"/>
      <c r="DN203" s="64"/>
      <c r="DO203" s="64"/>
      <c r="DP203" s="64"/>
      <c r="DQ203" s="80"/>
      <c r="DR203" s="80"/>
      <c r="DS203" s="80"/>
      <c r="DT203" s="64"/>
      <c r="DU203" s="64"/>
      <c r="DV203" s="64"/>
      <c r="DW203" s="64"/>
      <c r="DX203" s="64"/>
      <c r="DY203" s="64"/>
      <c r="DZ203" s="64"/>
      <c r="EA203" s="64"/>
      <c r="EB203" s="64"/>
      <c r="EC203" s="64"/>
      <c r="ED203" s="64"/>
      <c r="EE203" s="64"/>
      <c r="EF203" s="64"/>
      <c r="EG203" s="64"/>
      <c r="EH203" s="64"/>
      <c r="EI203" s="64"/>
      <c r="EJ203" s="69"/>
      <c r="EK203" s="64"/>
      <c r="EL203" s="64"/>
      <c r="EM203" s="64"/>
      <c r="EN203" s="64"/>
      <c r="EO203" s="64"/>
      <c r="EP203" s="64"/>
      <c r="EQ203" s="64"/>
      <c r="ER203" s="64"/>
      <c r="ES203" s="64"/>
      <c r="ET203" s="64"/>
      <c r="EU203" s="64"/>
      <c r="EV203" s="64"/>
      <c r="EW203" s="64"/>
      <c r="EX203" s="64"/>
      <c r="EY203" s="64"/>
      <c r="EZ203" s="64"/>
      <c r="FA203" s="64"/>
      <c r="FB203" s="64"/>
      <c r="FC203" s="64"/>
      <c r="FD203" s="64"/>
      <c r="FE203" s="64"/>
      <c r="FF203" s="64"/>
      <c r="FG203" s="64"/>
      <c r="FH203" s="64"/>
      <c r="FI203" s="64"/>
      <c r="FJ203" s="64"/>
      <c r="FK203" s="64"/>
      <c r="FL203" s="64"/>
      <c r="FM203" s="64"/>
      <c r="FN203" s="64"/>
      <c r="FO203" s="64"/>
      <c r="FP203" s="64"/>
      <c r="FQ203" s="64"/>
      <c r="FR203" s="64"/>
      <c r="FS203" s="64"/>
      <c r="FT203" s="64"/>
      <c r="FU203" s="64"/>
      <c r="FV203" s="64"/>
      <c r="FW203" s="64"/>
      <c r="FX203" s="64"/>
      <c r="FY203" s="64"/>
      <c r="FZ203" s="64"/>
      <c r="GA203" s="64"/>
      <c r="GB203" s="64"/>
      <c r="GC203" s="64"/>
      <c r="GD203" s="64"/>
      <c r="GE203" s="64"/>
      <c r="GF203" s="64"/>
      <c r="GG203" s="64"/>
      <c r="GH203" s="64"/>
      <c r="GI203" s="64"/>
      <c r="GJ203" s="64"/>
      <c r="GK203" s="64"/>
      <c r="GL203" s="64"/>
      <c r="GM203" s="64"/>
      <c r="GN203" s="64"/>
      <c r="GO203" s="64"/>
      <c r="GP203" s="64"/>
      <c r="GQ203" s="64"/>
      <c r="GR203" s="64"/>
      <c r="GS203" s="64"/>
      <c r="GT203" s="64"/>
      <c r="GU203" s="64"/>
      <c r="GV203" s="64"/>
      <c r="GW203" s="64"/>
      <c r="GX203" s="64"/>
      <c r="GY203" s="64"/>
      <c r="GZ203" s="64"/>
      <c r="HA203" s="64"/>
      <c r="HB203" s="64"/>
      <c r="HC203" s="64"/>
      <c r="HD203" s="64"/>
      <c r="HE203" s="64"/>
      <c r="HF203" s="64"/>
      <c r="HG203" s="64"/>
      <c r="HH203" s="64"/>
      <c r="HS203" s="64" t="s">
        <v>374</v>
      </c>
      <c r="HT203" s="64">
        <f t="shared" ref="HT203:IQ203" si="490">HT100</f>
        <v>0</v>
      </c>
      <c r="HU203" s="64">
        <f t="shared" si="490"/>
        <v>4</v>
      </c>
      <c r="HV203" s="64">
        <f t="shared" si="490"/>
        <v>0</v>
      </c>
      <c r="HW203" s="64">
        <f t="shared" si="490"/>
        <v>4</v>
      </c>
      <c r="HX203" s="64">
        <f t="shared" si="490"/>
        <v>8</v>
      </c>
      <c r="HY203" s="64">
        <f t="shared" si="490"/>
        <v>4</v>
      </c>
      <c r="HZ203" s="64">
        <f t="shared" si="490"/>
        <v>8</v>
      </c>
      <c r="IA203" s="64">
        <f t="shared" si="490"/>
        <v>12</v>
      </c>
      <c r="IB203" s="64">
        <f t="shared" si="490"/>
        <v>4</v>
      </c>
      <c r="IC203" s="64">
        <f t="shared" si="490"/>
        <v>12</v>
      </c>
      <c r="ID203" s="64">
        <f t="shared" si="490"/>
        <v>16</v>
      </c>
      <c r="IE203" s="64">
        <f t="shared" si="490"/>
        <v>8</v>
      </c>
      <c r="IF203" s="64">
        <f t="shared" si="490"/>
        <v>16</v>
      </c>
      <c r="IG203" s="64">
        <f t="shared" si="490"/>
        <v>20</v>
      </c>
      <c r="IH203" s="64">
        <f t="shared" si="490"/>
        <v>12</v>
      </c>
      <c r="II203" s="64">
        <f t="shared" si="490"/>
        <v>20</v>
      </c>
      <c r="IJ203" s="64">
        <f t="shared" si="490"/>
        <v>24</v>
      </c>
      <c r="IK203" s="64">
        <f t="shared" si="490"/>
        <v>16</v>
      </c>
      <c r="IL203" s="64">
        <f t="shared" si="490"/>
        <v>20</v>
      </c>
      <c r="IM203" s="64">
        <f t="shared" si="490"/>
        <v>28</v>
      </c>
      <c r="IN203" s="64">
        <f t="shared" si="490"/>
        <v>20</v>
      </c>
      <c r="IO203" s="64">
        <f t="shared" si="490"/>
        <v>24</v>
      </c>
      <c r="IP203" s="64">
        <f t="shared" si="490"/>
        <v>32</v>
      </c>
      <c r="IQ203" s="64">
        <f t="shared" si="490"/>
        <v>24</v>
      </c>
      <c r="IT203" s="71"/>
    </row>
    <row r="204" spans="1:254" x14ac:dyDescent="0.25">
      <c r="A204" s="35"/>
      <c r="B204" s="5" t="s">
        <v>61</v>
      </c>
      <c r="C204" s="35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>
        <f>INDEX(cenník!$C$2:$I$568,MATCH($L204,cenník!$B$2:$B$557,0),MATCH(M$2,cenník!$C$1:$I$1,0))</f>
        <v>897335</v>
      </c>
      <c r="N204" s="11" t="str">
        <f>INDEX(cenník!$C$2:$I$568,MATCH($L204,cenník!$B$2:$B$557,0),MATCH(N$2,cenník!$C$1:$I$1,0))</f>
        <v>ks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6">
        <f>INDEX(cenník!$C$2:$I$568,MATCH($L204,cenník!$B$2:$B$557,0),MATCH(P$2,cenník!$C$1:$I$1,0))</f>
        <v>0.62</v>
      </c>
      <c r="Q204" s="36">
        <f>O204*P204</f>
        <v>0</v>
      </c>
      <c r="R204" s="37">
        <f t="shared" si="462"/>
        <v>0</v>
      </c>
      <c r="S204" s="36">
        <f t="shared" si="463"/>
        <v>0.62</v>
      </c>
      <c r="T204" s="36">
        <f>O204*S204</f>
        <v>0</v>
      </c>
      <c r="U204" s="36">
        <f>INDEX(cenník!$C$2:$I$568,MATCH($L204,cenník!$B$2:$B$557,0),MATCH(U$2,cenník!$C$1:$I$1,0))*O204</f>
        <v>0</v>
      </c>
      <c r="V204" s="64"/>
      <c r="AG204" s="64"/>
      <c r="AH204" s="64"/>
      <c r="AI204" s="64">
        <v>13</v>
      </c>
      <c r="AJ204" s="64" t="s">
        <v>320</v>
      </c>
      <c r="AK204" s="64">
        <v>8</v>
      </c>
      <c r="AL204" s="64"/>
      <c r="AM204" s="64"/>
      <c r="AN204" s="64"/>
      <c r="AO204" s="64"/>
      <c r="AP204" s="64"/>
      <c r="AQ204" s="64"/>
      <c r="AR204" s="64"/>
      <c r="AS204" s="64"/>
      <c r="AT204" s="64"/>
      <c r="AU204" s="64"/>
      <c r="AV204" s="64"/>
      <c r="AW204" s="64"/>
      <c r="AX204" s="64"/>
      <c r="AY204" s="64"/>
      <c r="AZ204" s="64"/>
      <c r="BA204" s="64"/>
      <c r="BB204" s="64"/>
      <c r="BC204" s="64"/>
      <c r="BD204" s="64"/>
      <c r="BE204" s="64"/>
      <c r="BF204" s="64"/>
      <c r="BG204" s="64"/>
      <c r="BH204" s="72" t="s">
        <v>364</v>
      </c>
      <c r="BI204" s="68">
        <v>0</v>
      </c>
      <c r="BJ204" s="68">
        <v>0</v>
      </c>
      <c r="BK204" s="68">
        <v>5</v>
      </c>
      <c r="BL204" s="68">
        <v>5</v>
      </c>
      <c r="BM204" s="68">
        <v>5</v>
      </c>
      <c r="BN204" s="68">
        <v>10</v>
      </c>
      <c r="BO204" s="68">
        <v>10</v>
      </c>
      <c r="BP204" s="68">
        <v>15</v>
      </c>
      <c r="BQ204" s="68">
        <v>15</v>
      </c>
      <c r="BR204" s="68">
        <v>15</v>
      </c>
      <c r="BS204" s="68">
        <v>20</v>
      </c>
      <c r="BT204" s="68">
        <v>20</v>
      </c>
      <c r="BU204" s="68">
        <v>25</v>
      </c>
      <c r="BV204" s="64"/>
      <c r="BW204" s="72" t="s">
        <v>364</v>
      </c>
      <c r="BX204" s="64">
        <v>0</v>
      </c>
      <c r="BY204" s="64">
        <v>0</v>
      </c>
      <c r="BZ204" s="64">
        <v>5</v>
      </c>
      <c r="CA204" s="64">
        <v>5</v>
      </c>
      <c r="CB204" s="64">
        <v>10</v>
      </c>
      <c r="CC204" s="68">
        <v>10</v>
      </c>
      <c r="CD204" s="68">
        <v>15</v>
      </c>
      <c r="CE204" s="68">
        <v>15</v>
      </c>
      <c r="CF204" s="68">
        <v>20</v>
      </c>
      <c r="CG204" s="68">
        <v>20</v>
      </c>
      <c r="CH204" s="68">
        <v>25</v>
      </c>
      <c r="CI204" s="68">
        <v>25</v>
      </c>
      <c r="CJ204" s="68">
        <v>25</v>
      </c>
      <c r="CK204" s="64"/>
      <c r="CL204" s="64"/>
      <c r="CM204" s="64"/>
      <c r="CN204" s="72" t="s">
        <v>364</v>
      </c>
      <c r="CO204" s="68">
        <v>0</v>
      </c>
      <c r="CP204" s="68">
        <v>0</v>
      </c>
      <c r="CQ204" s="68">
        <v>5</v>
      </c>
      <c r="CR204" s="68">
        <v>10</v>
      </c>
      <c r="CS204" s="68">
        <v>10</v>
      </c>
      <c r="CT204" s="68">
        <v>15</v>
      </c>
      <c r="CU204" s="68">
        <v>15</v>
      </c>
      <c r="CV204" s="68">
        <v>20</v>
      </c>
      <c r="CW204" s="68">
        <v>20</v>
      </c>
      <c r="CX204" s="68">
        <v>25</v>
      </c>
      <c r="CY204" s="68">
        <v>25</v>
      </c>
      <c r="CZ204" s="68">
        <v>30</v>
      </c>
      <c r="DA204" s="71">
        <v>30</v>
      </c>
      <c r="DB204" s="64"/>
      <c r="DC204" s="64"/>
      <c r="DD204" s="64"/>
      <c r="DE204" s="64"/>
      <c r="DF204" s="64"/>
      <c r="DG204" s="64"/>
      <c r="DH204" s="64"/>
      <c r="DI204" s="64"/>
      <c r="DJ204" s="64"/>
      <c r="DK204" s="64"/>
      <c r="DL204" s="64"/>
      <c r="DM204" s="64"/>
      <c r="DN204" s="64"/>
      <c r="DO204" s="64"/>
      <c r="DP204" s="64"/>
      <c r="DQ204" s="80"/>
      <c r="DR204" s="80"/>
      <c r="DS204" s="80"/>
      <c r="DT204" s="64"/>
      <c r="DU204" s="64"/>
      <c r="DV204" s="64"/>
      <c r="DW204" s="64"/>
      <c r="DX204" s="64"/>
      <c r="DY204" s="64"/>
      <c r="DZ204" s="64"/>
      <c r="EA204" s="64"/>
      <c r="EB204" s="64"/>
      <c r="EC204" s="64"/>
      <c r="ED204" s="64"/>
      <c r="EE204" s="64"/>
      <c r="EF204" s="64"/>
      <c r="EG204" s="64"/>
      <c r="EH204" s="64"/>
      <c r="EI204" s="64"/>
      <c r="EJ204" s="69"/>
      <c r="EK204" s="64"/>
      <c r="EL204" s="64"/>
      <c r="EM204" s="64"/>
      <c r="EN204" s="64"/>
      <c r="EO204" s="64"/>
      <c r="EP204" s="64"/>
      <c r="EQ204" s="64"/>
      <c r="ER204" s="64"/>
      <c r="ES204" s="64"/>
      <c r="ET204" s="64"/>
      <c r="EU204" s="64"/>
      <c r="EV204" s="64"/>
      <c r="EW204" s="64"/>
      <c r="EX204" s="64"/>
      <c r="EY204" s="64"/>
      <c r="EZ204" s="64"/>
      <c r="FA204" s="64"/>
      <c r="FB204" s="64"/>
      <c r="FC204" s="64"/>
      <c r="FD204" s="64"/>
      <c r="FE204" s="64"/>
      <c r="FF204" s="64"/>
      <c r="FG204" s="64"/>
      <c r="FH204" s="64"/>
      <c r="FI204" s="64"/>
      <c r="FJ204" s="64"/>
      <c r="FK204" s="64"/>
      <c r="FL204" s="64"/>
      <c r="FM204" s="64"/>
      <c r="FN204" s="64"/>
      <c r="FO204" s="64"/>
      <c r="FP204" s="64"/>
      <c r="FQ204" s="64"/>
      <c r="FR204" s="64"/>
      <c r="FS204" s="64"/>
      <c r="FT204" s="64"/>
      <c r="FU204" s="64"/>
      <c r="FV204" s="64"/>
      <c r="FW204" s="64"/>
      <c r="FX204" s="64"/>
      <c r="FY204" s="64"/>
      <c r="FZ204" s="64"/>
      <c r="GA204" s="64"/>
      <c r="GB204" s="64"/>
      <c r="GC204" s="64"/>
      <c r="GD204" s="64"/>
      <c r="GE204" s="64"/>
      <c r="GF204" s="64"/>
      <c r="GG204" s="64"/>
      <c r="GH204" s="64"/>
      <c r="GI204" s="64"/>
      <c r="GJ204" s="64"/>
      <c r="GK204" s="64"/>
      <c r="GL204" s="64"/>
      <c r="GM204" s="64"/>
      <c r="GN204" s="64"/>
      <c r="GO204" s="64"/>
      <c r="GP204" s="64"/>
      <c r="GQ204" s="64"/>
      <c r="GR204" s="64"/>
      <c r="GS204" s="64"/>
      <c r="GT204" s="64"/>
      <c r="GU204" s="64"/>
      <c r="GV204" s="64"/>
      <c r="GW204" s="64"/>
      <c r="GX204" s="64"/>
      <c r="GY204" s="64"/>
      <c r="GZ204" s="64"/>
      <c r="HA204" s="64"/>
      <c r="HB204" s="64"/>
      <c r="HC204" s="64"/>
      <c r="HD204" s="64"/>
      <c r="HE204" s="64"/>
      <c r="HF204" s="64"/>
      <c r="HG204" s="64"/>
      <c r="HH204" s="64"/>
      <c r="HS204" s="64" t="s">
        <v>373</v>
      </c>
      <c r="HT204" s="64">
        <f t="shared" ref="HT204:IQ204" si="491">HT101</f>
        <v>0</v>
      </c>
      <c r="HU204" s="64">
        <f t="shared" si="491"/>
        <v>0</v>
      </c>
      <c r="HV204" s="64">
        <f t="shared" si="491"/>
        <v>0</v>
      </c>
      <c r="HW204" s="64">
        <f t="shared" si="491"/>
        <v>4</v>
      </c>
      <c r="HX204" s="64">
        <f t="shared" si="491"/>
        <v>0</v>
      </c>
      <c r="HY204" s="64">
        <f t="shared" si="491"/>
        <v>8</v>
      </c>
      <c r="HZ204" s="64">
        <f t="shared" si="491"/>
        <v>4</v>
      </c>
      <c r="IA204" s="64">
        <f t="shared" si="491"/>
        <v>0</v>
      </c>
      <c r="IB204" s="64">
        <f t="shared" si="491"/>
        <v>12</v>
      </c>
      <c r="IC204" s="64">
        <f t="shared" si="491"/>
        <v>4</v>
      </c>
      <c r="ID204" s="64">
        <f t="shared" si="491"/>
        <v>0</v>
      </c>
      <c r="IE204" s="64">
        <f t="shared" si="491"/>
        <v>12</v>
      </c>
      <c r="IF204" s="64">
        <f t="shared" si="491"/>
        <v>4</v>
      </c>
      <c r="IG204" s="64">
        <f t="shared" si="491"/>
        <v>0</v>
      </c>
      <c r="IH204" s="64">
        <f t="shared" si="491"/>
        <v>12</v>
      </c>
      <c r="II204" s="64">
        <f t="shared" si="491"/>
        <v>4</v>
      </c>
      <c r="IJ204" s="64">
        <f t="shared" si="491"/>
        <v>0</v>
      </c>
      <c r="IK204" s="64">
        <f t="shared" si="491"/>
        <v>12</v>
      </c>
      <c r="IL204" s="64">
        <f t="shared" si="491"/>
        <v>8</v>
      </c>
      <c r="IM204" s="64">
        <f t="shared" si="491"/>
        <v>0</v>
      </c>
      <c r="IN204" s="64">
        <f t="shared" si="491"/>
        <v>12</v>
      </c>
      <c r="IO204" s="64">
        <f t="shared" si="491"/>
        <v>8</v>
      </c>
      <c r="IP204" s="64">
        <f t="shared" si="491"/>
        <v>0</v>
      </c>
      <c r="IQ204" s="64">
        <f t="shared" si="491"/>
        <v>12</v>
      </c>
      <c r="IT204" s="71"/>
    </row>
    <row r="205" spans="1:254" x14ac:dyDescent="0.25">
      <c r="A205" s="35"/>
      <c r="B205" s="5" t="s">
        <v>61</v>
      </c>
      <c r="C205" s="35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>
        <f>INDEX(cenník!$C$2:$I$568,MATCH($L205,cenník!$B$2:$B$557,0),MATCH(M$2,cenník!$C$1:$I$1,0))</f>
        <v>897300</v>
      </c>
      <c r="N205" s="11" t="str">
        <f>INDEX(cenník!$C$2:$I$568,MATCH($L205,cenník!$B$2:$B$557,0),MATCH(N$2,cenník!$C$1:$I$1,0))</f>
        <v>ks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6">
        <f>INDEX(cenník!$C$2:$I$568,MATCH($L205,cenník!$B$2:$B$557,0),MATCH(P$2,cenník!$C$1:$I$1,0))</f>
        <v>0.56999999999999995</v>
      </c>
      <c r="Q205" s="36">
        <f>O205*P205</f>
        <v>0</v>
      </c>
      <c r="R205" s="37">
        <f t="shared" si="462"/>
        <v>0</v>
      </c>
      <c r="S205" s="36">
        <f t="shared" si="463"/>
        <v>0.56999999999999995</v>
      </c>
      <c r="T205" s="36">
        <f>O205*S205</f>
        <v>0</v>
      </c>
      <c r="U205" s="36">
        <f>INDEX(cenník!$C$2:$I$568,MATCH($L205,cenník!$B$2:$B$557,0),MATCH(U$2,cenník!$C$1:$I$1,0))*O205</f>
        <v>0</v>
      </c>
      <c r="V205" s="64"/>
      <c r="AG205" s="64"/>
      <c r="AH205" s="64"/>
      <c r="AI205" s="64"/>
      <c r="AJ205" s="64"/>
      <c r="AK205" s="64"/>
      <c r="AL205" s="64"/>
      <c r="AM205" s="64"/>
      <c r="AN205" s="64"/>
      <c r="AO205" s="64"/>
      <c r="AP205" s="64"/>
      <c r="AQ205" s="64"/>
      <c r="AR205" s="64"/>
      <c r="AS205" s="64"/>
      <c r="AT205" s="64"/>
      <c r="AU205" s="64"/>
      <c r="AV205" s="64"/>
      <c r="AW205" s="64"/>
      <c r="AX205" s="64"/>
      <c r="AY205" s="64"/>
      <c r="AZ205" s="64"/>
      <c r="BA205" s="64"/>
      <c r="BB205" s="64"/>
      <c r="BC205" s="64"/>
      <c r="BD205" s="64"/>
      <c r="BE205" s="64"/>
      <c r="BF205" s="64"/>
      <c r="BG205" s="64"/>
      <c r="BH205" s="95"/>
      <c r="BV205" s="64"/>
      <c r="BW205" s="64"/>
      <c r="BX205" s="64"/>
      <c r="BY205" s="64"/>
      <c r="BZ205" s="64"/>
      <c r="CA205" s="64"/>
      <c r="CB205" s="64"/>
      <c r="CK205" s="64"/>
      <c r="CL205" s="64"/>
      <c r="CM205" s="64"/>
      <c r="DA205" s="71"/>
      <c r="DB205" s="64"/>
      <c r="DC205" s="64"/>
      <c r="DD205" s="64"/>
      <c r="DE205" s="64"/>
      <c r="DF205" s="64"/>
      <c r="DG205" s="64"/>
      <c r="DH205" s="64"/>
      <c r="DI205" s="64"/>
      <c r="DJ205" s="64"/>
      <c r="DK205" s="64"/>
      <c r="DL205" s="64"/>
      <c r="DM205" s="64"/>
      <c r="DN205" s="64"/>
      <c r="DO205" s="64"/>
      <c r="DP205" s="64"/>
      <c r="DQ205" s="80"/>
      <c r="DR205" s="80"/>
      <c r="DS205" s="80"/>
      <c r="DT205" s="64"/>
      <c r="DU205" s="64"/>
      <c r="DV205" s="64"/>
      <c r="DW205" s="64"/>
      <c r="DX205" s="64"/>
      <c r="DY205" s="64"/>
      <c r="DZ205" s="64"/>
      <c r="EA205" s="64"/>
      <c r="EB205" s="64"/>
      <c r="EC205" s="64"/>
      <c r="ED205" s="64"/>
      <c r="EE205" s="64"/>
      <c r="EF205" s="64"/>
      <c r="EG205" s="64"/>
      <c r="EH205" s="64"/>
      <c r="EI205" s="64"/>
      <c r="EJ205" s="69"/>
      <c r="EK205" s="64"/>
      <c r="EL205" s="64"/>
      <c r="EM205" s="64"/>
      <c r="EN205" s="64"/>
      <c r="EO205" s="64"/>
      <c r="EP205" s="64"/>
      <c r="EQ205" s="64"/>
      <c r="ER205" s="64"/>
      <c r="ES205" s="64"/>
      <c r="ET205" s="64"/>
      <c r="EU205" s="64"/>
      <c r="EV205" s="64"/>
      <c r="EW205" s="64"/>
      <c r="EX205" s="64"/>
      <c r="EY205" s="64"/>
      <c r="EZ205" s="64"/>
      <c r="FA205" s="64"/>
      <c r="FB205" s="64"/>
      <c r="FC205" s="64"/>
      <c r="FD205" s="64"/>
      <c r="FE205" s="64"/>
      <c r="FF205" s="64"/>
      <c r="FG205" s="64"/>
      <c r="FH205" s="64"/>
      <c r="FI205" s="64"/>
      <c r="FJ205" s="64"/>
      <c r="FK205" s="64"/>
      <c r="FL205" s="64"/>
      <c r="FM205" s="64"/>
      <c r="FN205" s="64"/>
      <c r="FO205" s="64"/>
      <c r="FP205" s="64"/>
      <c r="FQ205" s="64"/>
      <c r="FR205" s="64"/>
      <c r="FS205" s="64"/>
      <c r="FT205" s="64"/>
      <c r="FU205" s="64"/>
      <c r="FV205" s="64"/>
      <c r="FW205" s="64"/>
      <c r="FX205" s="64"/>
      <c r="FY205" s="64"/>
      <c r="FZ205" s="64"/>
      <c r="GA205" s="64"/>
      <c r="GB205" s="64"/>
      <c r="GC205" s="64"/>
      <c r="GD205" s="64"/>
      <c r="GE205" s="64"/>
      <c r="GF205" s="64"/>
      <c r="GG205" s="64"/>
      <c r="GH205" s="64"/>
      <c r="GI205" s="64"/>
      <c r="GJ205" s="64"/>
      <c r="GK205" s="64"/>
      <c r="GL205" s="64"/>
      <c r="GM205" s="64"/>
      <c r="GN205" s="64"/>
      <c r="GO205" s="64"/>
      <c r="GP205" s="64"/>
      <c r="GQ205" s="64"/>
      <c r="GR205" s="64"/>
      <c r="GS205" s="64"/>
      <c r="GT205" s="64"/>
      <c r="GU205" s="64"/>
      <c r="GV205" s="64"/>
      <c r="GW205" s="64"/>
      <c r="GX205" s="64"/>
      <c r="GY205" s="64"/>
      <c r="GZ205" s="64"/>
      <c r="HA205" s="64"/>
      <c r="HB205" s="64"/>
      <c r="HC205" s="64"/>
      <c r="HD205" s="64"/>
      <c r="HE205" s="64"/>
      <c r="HF205" s="64"/>
      <c r="HG205" s="64"/>
      <c r="HH205" s="64"/>
      <c r="HS205" s="72" t="s">
        <v>376</v>
      </c>
      <c r="HT205" s="64">
        <f t="shared" ref="HT205:IQ205" si="492">HT102</f>
        <v>0</v>
      </c>
      <c r="HU205" s="64">
        <f t="shared" si="492"/>
        <v>0</v>
      </c>
      <c r="HV205" s="64">
        <f t="shared" si="492"/>
        <v>0</v>
      </c>
      <c r="HW205" s="64">
        <f t="shared" si="492"/>
        <v>4</v>
      </c>
      <c r="HX205" s="64">
        <f t="shared" si="492"/>
        <v>4</v>
      </c>
      <c r="HY205" s="64">
        <f t="shared" si="492"/>
        <v>8</v>
      </c>
      <c r="HZ205" s="64">
        <f t="shared" si="492"/>
        <v>8</v>
      </c>
      <c r="IA205" s="64">
        <f t="shared" si="492"/>
        <v>8</v>
      </c>
      <c r="IB205" s="64">
        <f t="shared" si="492"/>
        <v>12</v>
      </c>
      <c r="IC205" s="64">
        <f t="shared" si="492"/>
        <v>12</v>
      </c>
      <c r="ID205" s="64">
        <f t="shared" si="492"/>
        <v>12</v>
      </c>
      <c r="IE205" s="64">
        <f t="shared" si="492"/>
        <v>16</v>
      </c>
      <c r="IF205" s="64">
        <f t="shared" si="492"/>
        <v>16</v>
      </c>
      <c r="IG205" s="64">
        <f t="shared" si="492"/>
        <v>16</v>
      </c>
      <c r="IH205" s="64">
        <f t="shared" si="492"/>
        <v>20</v>
      </c>
      <c r="II205" s="64">
        <f t="shared" si="492"/>
        <v>20</v>
      </c>
      <c r="IJ205" s="64">
        <f t="shared" si="492"/>
        <v>20</v>
      </c>
      <c r="IK205" s="64">
        <f t="shared" si="492"/>
        <v>24</v>
      </c>
      <c r="IL205" s="64">
        <f t="shared" si="492"/>
        <v>24</v>
      </c>
      <c r="IM205" s="64">
        <f t="shared" si="492"/>
        <v>24</v>
      </c>
      <c r="IN205" s="64">
        <f t="shared" si="492"/>
        <v>28</v>
      </c>
      <c r="IO205" s="64">
        <f t="shared" si="492"/>
        <v>28</v>
      </c>
      <c r="IP205" s="64">
        <f t="shared" si="492"/>
        <v>28</v>
      </c>
      <c r="IQ205" s="64">
        <f t="shared" si="492"/>
        <v>32</v>
      </c>
      <c r="IT205" s="71"/>
    </row>
    <row r="206" spans="1:254" x14ac:dyDescent="0.25">
      <c r="A206" s="35"/>
      <c r="B206" s="5" t="s">
        <v>61</v>
      </c>
      <c r="C206" s="35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>
        <f>INDEX(cenník!$C$2:$I$568,MATCH($L206,cenník!$B$2:$B$557,0),MATCH(M$2,cenník!$C$1:$I$1,0))</f>
        <v>898530</v>
      </c>
      <c r="N206" s="11" t="str">
        <f>INDEX(cenník!$C$2:$I$568,MATCH($L206,cenník!$B$2:$B$557,0),MATCH(N$2,cenník!$C$1:$I$1,0))</f>
        <v>ks</v>
      </c>
      <c r="O206" s="11">
        <f>SUM(O204:O205)</f>
        <v>0</v>
      </c>
      <c r="P206" s="36">
        <f>INDEX(cenník!$C$2:$I$568,MATCH($L206,cenník!$B$2:$B$557,0),MATCH(P$2,cenník!$C$1:$I$1,0))</f>
        <v>0.18</v>
      </c>
      <c r="Q206" s="36">
        <f t="shared" ref="Q206:Q212" si="493">O206*P206</f>
        <v>0</v>
      </c>
      <c r="R206" s="37">
        <f t="shared" si="462"/>
        <v>0</v>
      </c>
      <c r="S206" s="36">
        <f t="shared" si="463"/>
        <v>0.18</v>
      </c>
      <c r="T206" s="36">
        <f t="shared" si="464"/>
        <v>0</v>
      </c>
      <c r="U206" s="36">
        <f>INDEX(cenník!$C$2:$I$568,MATCH($L206,cenník!$B$2:$B$557,0),MATCH(U$2,cenník!$C$1:$I$1,0))*O206</f>
        <v>0</v>
      </c>
      <c r="V206" s="64"/>
      <c r="W206" s="82"/>
      <c r="X206" s="82"/>
      <c r="Y206" s="82"/>
      <c r="Z206" s="82"/>
      <c r="AA206" s="83" t="s">
        <v>317</v>
      </c>
      <c r="AB206" s="84" t="s">
        <v>126</v>
      </c>
      <c r="AC206" s="64"/>
      <c r="AD206" s="83" t="s">
        <v>317</v>
      </c>
      <c r="AE206" s="84" t="s">
        <v>126</v>
      </c>
      <c r="AF206" s="64"/>
      <c r="AG206" s="64" t="s">
        <v>363</v>
      </c>
      <c r="AH206" s="64"/>
      <c r="AI206" s="64"/>
      <c r="AJ206" s="64"/>
      <c r="AK206" s="64"/>
      <c r="AL206" s="64"/>
      <c r="AM206" s="64"/>
      <c r="AN206" s="64"/>
      <c r="AO206" s="64"/>
      <c r="AP206" s="64"/>
      <c r="AQ206" s="64"/>
      <c r="AR206" s="64"/>
      <c r="AS206" s="64"/>
      <c r="AT206" s="64"/>
      <c r="AU206" s="64"/>
      <c r="AV206" s="64"/>
      <c r="AW206" s="64"/>
      <c r="AX206" s="64"/>
      <c r="AY206" s="64"/>
      <c r="AZ206" s="64"/>
      <c r="BA206" s="64"/>
      <c r="BB206" s="64"/>
      <c r="BC206" s="64"/>
      <c r="BD206" s="64"/>
      <c r="BE206" s="64"/>
      <c r="BF206" s="64"/>
      <c r="BG206" s="64"/>
      <c r="BH206" s="95" t="s">
        <v>57</v>
      </c>
      <c r="BI206" s="68">
        <v>0</v>
      </c>
      <c r="BJ206" s="68">
        <v>8</v>
      </c>
      <c r="BK206" s="68">
        <v>12</v>
      </c>
      <c r="BL206" s="68">
        <v>16</v>
      </c>
      <c r="BM206" s="68">
        <v>20</v>
      </c>
      <c r="BN206" s="68">
        <v>24</v>
      </c>
      <c r="BO206" s="68">
        <v>28</v>
      </c>
      <c r="BP206" s="68">
        <v>32</v>
      </c>
      <c r="BQ206" s="68">
        <v>36</v>
      </c>
      <c r="BR206" s="68">
        <v>40</v>
      </c>
      <c r="BS206" s="68">
        <v>44</v>
      </c>
      <c r="BT206" s="68">
        <v>48</v>
      </c>
      <c r="BU206" s="68">
        <v>52</v>
      </c>
      <c r="BV206" s="64"/>
      <c r="BW206" s="64" t="s">
        <v>58</v>
      </c>
      <c r="BX206" s="64">
        <v>0</v>
      </c>
      <c r="BY206" s="64">
        <v>8</v>
      </c>
      <c r="BZ206" s="64">
        <v>12</v>
      </c>
      <c r="CA206" s="64">
        <v>16</v>
      </c>
      <c r="CB206" s="64">
        <v>20</v>
      </c>
      <c r="CC206" s="68">
        <v>24</v>
      </c>
      <c r="CD206" s="68">
        <v>28</v>
      </c>
      <c r="CE206" s="68">
        <v>32</v>
      </c>
      <c r="CF206" s="68">
        <v>36</v>
      </c>
      <c r="CG206" s="68">
        <v>40</v>
      </c>
      <c r="CH206" s="68">
        <v>44</v>
      </c>
      <c r="CI206" s="68">
        <v>48</v>
      </c>
      <c r="CJ206" s="68">
        <v>52</v>
      </c>
      <c r="CK206" s="64"/>
      <c r="CL206" s="64"/>
      <c r="CM206" s="64"/>
      <c r="CN206" s="68" t="s">
        <v>231</v>
      </c>
      <c r="CO206" s="68">
        <v>0</v>
      </c>
      <c r="CP206" s="68">
        <v>8</v>
      </c>
      <c r="CQ206" s="68">
        <v>12</v>
      </c>
      <c r="CR206" s="68">
        <v>16</v>
      </c>
      <c r="CS206" s="68">
        <v>20</v>
      </c>
      <c r="CT206" s="68">
        <v>24</v>
      </c>
      <c r="CU206" s="68">
        <v>28</v>
      </c>
      <c r="CV206" s="68">
        <v>32</v>
      </c>
      <c r="CW206" s="68">
        <v>36</v>
      </c>
      <c r="CX206" s="68">
        <v>40</v>
      </c>
      <c r="CY206" s="68">
        <v>44</v>
      </c>
      <c r="CZ206" s="68">
        <v>48</v>
      </c>
      <c r="DA206" s="71">
        <v>52</v>
      </c>
      <c r="DB206" s="64"/>
      <c r="DC206" s="64"/>
      <c r="DD206" s="64"/>
      <c r="DE206" s="64"/>
      <c r="DF206" s="64"/>
      <c r="DG206" s="64"/>
      <c r="DH206" s="64"/>
      <c r="DI206" s="64"/>
      <c r="DJ206" s="64"/>
      <c r="DK206" s="64"/>
      <c r="DL206" s="64"/>
      <c r="DM206" s="64"/>
      <c r="DN206" s="64"/>
      <c r="DO206" s="64"/>
      <c r="DP206" s="64"/>
      <c r="DQ206" s="80"/>
      <c r="DR206" s="80"/>
      <c r="DS206" s="80"/>
      <c r="DT206" s="64"/>
      <c r="DU206" s="64"/>
      <c r="DV206" s="64"/>
      <c r="DW206" s="64"/>
      <c r="DX206" s="64"/>
      <c r="DY206" s="64"/>
      <c r="DZ206" s="64"/>
      <c r="EA206" s="64"/>
      <c r="EB206" s="64"/>
      <c r="EC206" s="64"/>
      <c r="ED206" s="64"/>
      <c r="EE206" s="64"/>
      <c r="EF206" s="64"/>
      <c r="EG206" s="64"/>
      <c r="EH206" s="64"/>
      <c r="EI206" s="64"/>
      <c r="EJ206" s="69"/>
      <c r="EK206" s="64"/>
      <c r="EL206" s="64"/>
      <c r="EM206" s="64"/>
      <c r="EN206" s="64"/>
      <c r="EO206" s="64"/>
      <c r="EP206" s="64"/>
      <c r="EQ206" s="64"/>
      <c r="ER206" s="64"/>
      <c r="ES206" s="64"/>
      <c r="ET206" s="64"/>
      <c r="EU206" s="64"/>
      <c r="EV206" s="64"/>
      <c r="EW206" s="64"/>
      <c r="EX206" s="64"/>
      <c r="EY206" s="64"/>
      <c r="EZ206" s="64"/>
      <c r="FA206" s="64"/>
      <c r="FB206" s="64"/>
      <c r="FC206" s="64"/>
      <c r="FD206" s="64"/>
      <c r="FE206" s="64"/>
      <c r="FF206" s="64"/>
      <c r="FG206" s="64"/>
      <c r="FH206" s="64"/>
      <c r="FI206" s="64"/>
      <c r="FJ206" s="64"/>
      <c r="FK206" s="64"/>
      <c r="FL206" s="64"/>
      <c r="FM206" s="64"/>
      <c r="FN206" s="64"/>
      <c r="FO206" s="64"/>
      <c r="FP206" s="64"/>
      <c r="FQ206" s="64"/>
      <c r="FR206" s="64"/>
      <c r="FS206" s="64"/>
      <c r="FT206" s="64"/>
      <c r="FU206" s="64"/>
      <c r="FV206" s="64"/>
      <c r="FW206" s="64"/>
      <c r="FX206" s="64"/>
      <c r="FY206" s="64"/>
      <c r="FZ206" s="64"/>
      <c r="GA206" s="64"/>
      <c r="GB206" s="64"/>
      <c r="GC206" s="64"/>
      <c r="GD206" s="64"/>
      <c r="GE206" s="64"/>
      <c r="GF206" s="64"/>
      <c r="GG206" s="64"/>
      <c r="GH206" s="64"/>
      <c r="GI206" s="64"/>
      <c r="GJ206" s="64"/>
      <c r="GK206" s="64"/>
      <c r="GL206" s="64"/>
      <c r="GM206" s="64"/>
      <c r="GN206" s="64"/>
      <c r="GO206" s="64"/>
      <c r="GP206" s="64"/>
      <c r="GQ206" s="64"/>
      <c r="GR206" s="64"/>
      <c r="GS206" s="64"/>
      <c r="GT206" s="64"/>
      <c r="GU206" s="64"/>
      <c r="GV206" s="64"/>
      <c r="GW206" s="64"/>
      <c r="GX206" s="64"/>
      <c r="GY206" s="64"/>
      <c r="GZ206" s="64"/>
      <c r="HA206" s="64"/>
      <c r="HB206" s="64"/>
      <c r="HC206" s="64"/>
      <c r="HD206" s="64"/>
      <c r="HE206" s="64"/>
      <c r="HF206" s="64"/>
      <c r="HG206" s="64"/>
      <c r="HH206" s="64"/>
      <c r="HS206" s="64" t="s">
        <v>324</v>
      </c>
      <c r="HT206" s="64">
        <f t="shared" ref="HT206:IQ206" si="494">HT103</f>
        <v>0</v>
      </c>
      <c r="HU206" s="64">
        <f t="shared" si="494"/>
        <v>0</v>
      </c>
      <c r="HV206" s="64">
        <f t="shared" si="494"/>
        <v>0</v>
      </c>
      <c r="HW206" s="64">
        <f t="shared" si="494"/>
        <v>4</v>
      </c>
      <c r="HX206" s="64">
        <f t="shared" si="494"/>
        <v>4</v>
      </c>
      <c r="HY206" s="64">
        <f t="shared" si="494"/>
        <v>8</v>
      </c>
      <c r="HZ206" s="64">
        <f t="shared" si="494"/>
        <v>8</v>
      </c>
      <c r="IA206" s="64">
        <f t="shared" si="494"/>
        <v>8</v>
      </c>
      <c r="IB206" s="64">
        <f t="shared" si="494"/>
        <v>12</v>
      </c>
      <c r="IC206" s="64">
        <f t="shared" si="494"/>
        <v>12</v>
      </c>
      <c r="ID206" s="64">
        <f t="shared" si="494"/>
        <v>12</v>
      </c>
      <c r="IE206" s="64">
        <f t="shared" si="494"/>
        <v>16</v>
      </c>
      <c r="IF206" s="64">
        <f t="shared" si="494"/>
        <v>16</v>
      </c>
      <c r="IG206" s="64">
        <f t="shared" si="494"/>
        <v>16</v>
      </c>
      <c r="IH206" s="64">
        <f t="shared" si="494"/>
        <v>20</v>
      </c>
      <c r="II206" s="64">
        <f t="shared" si="494"/>
        <v>20</v>
      </c>
      <c r="IJ206" s="64">
        <f t="shared" si="494"/>
        <v>20</v>
      </c>
      <c r="IK206" s="64">
        <f t="shared" si="494"/>
        <v>24</v>
      </c>
      <c r="IL206" s="64">
        <f t="shared" si="494"/>
        <v>24</v>
      </c>
      <c r="IM206" s="64">
        <f t="shared" si="494"/>
        <v>24</v>
      </c>
      <c r="IN206" s="64">
        <f t="shared" si="494"/>
        <v>28</v>
      </c>
      <c r="IO206" s="64">
        <f t="shared" si="494"/>
        <v>28</v>
      </c>
      <c r="IP206" s="64">
        <f>IP103</f>
        <v>28</v>
      </c>
      <c r="IQ206" s="64">
        <f t="shared" si="494"/>
        <v>32</v>
      </c>
      <c r="IT206" s="71"/>
    </row>
    <row r="207" spans="1:254" x14ac:dyDescent="0.25">
      <c r="A207" s="35"/>
      <c r="B207" s="5" t="s">
        <v>61</v>
      </c>
      <c r="C207" s="35"/>
      <c r="D207" s="9"/>
      <c r="E207" s="9"/>
      <c r="F207" s="9"/>
      <c r="G207" s="9"/>
      <c r="H207" s="9"/>
      <c r="I207" s="9"/>
      <c r="J207" s="9"/>
      <c r="K207" s="9"/>
      <c r="L207" s="6" t="s">
        <v>244</v>
      </c>
      <c r="M207" s="11">
        <f>INDEX(cenník!$C$2:$I$568,MATCH($L207,cenník!$B$2:$B$557,0),MATCH(M$2,cenník!$C$1:$I$1,0))</f>
        <v>166794</v>
      </c>
      <c r="N207" s="11" t="str">
        <f>INDEX(cenník!$C$2:$I$568,MATCH($L207,cenník!$B$2:$B$557,0),MATCH(N$2,cenník!$C$1:$I$1,0))</f>
        <v>100ks</v>
      </c>
      <c r="O207" s="11">
        <f>ROUNDUP(O206/100,0)</f>
        <v>0</v>
      </c>
      <c r="P207" s="36">
        <f>INDEX(cenník!$C$2:$I$568,MATCH($L207,cenník!$B$2:$B$557,0),MATCH(P$2,cenník!$C$1:$I$1,0))</f>
        <v>1.38</v>
      </c>
      <c r="Q207" s="36">
        <f t="shared" si="493"/>
        <v>0</v>
      </c>
      <c r="R207" s="37">
        <f t="shared" si="462"/>
        <v>0</v>
      </c>
      <c r="S207" s="36">
        <f t="shared" si="463"/>
        <v>1.38</v>
      </c>
      <c r="T207" s="36">
        <f t="shared" si="464"/>
        <v>0</v>
      </c>
      <c r="U207" s="36">
        <f>INDEX(cenník!$C$2:$I$568,MATCH($L207,cenník!$B$2:$B$557,0),MATCH(U$2,cenník!$C$1:$I$1,0))*O207</f>
        <v>0</v>
      </c>
      <c r="V207" s="64"/>
      <c r="W207" s="82"/>
      <c r="X207" s="82"/>
      <c r="Y207" s="82"/>
      <c r="Z207" s="82"/>
      <c r="AA207" s="64">
        <f t="shared" ref="AA207:AA222" si="495">IF(AC207=0,0,IF(AC207&gt;=1,2,IF(AC207&gt;=5,4,IF(AC207&gt;=8,6,IF(AC207&gt;=13,8,0)))))*C219</f>
        <v>0</v>
      </c>
      <c r="AB207" s="64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64">
        <f t="shared" ref="AC207:AC222" si="496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64">
        <f t="shared" ref="AD207:AD222" si="497">VLOOKUP(AG207,$AI$200:$AK$204,3,1)*C219</f>
        <v>0</v>
      </c>
      <c r="AE207" s="64">
        <f t="shared" ref="AE207:AE222" si="498">((A219/4)+1)*C219</f>
        <v>0</v>
      </c>
      <c r="AF207" s="64">
        <f t="shared" ref="AF207:AF222" si="499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64">
        <f t="shared" ref="AG207:AG222" si="500">((A219/4)+1)</f>
        <v>1</v>
      </c>
      <c r="AH207" s="64"/>
      <c r="AI207" s="64"/>
      <c r="AJ207" s="64"/>
      <c r="AK207" s="64"/>
      <c r="AL207" s="64"/>
      <c r="AM207" s="64"/>
      <c r="AN207" s="64"/>
      <c r="AO207" s="64"/>
      <c r="AP207" s="64"/>
      <c r="AQ207" s="64"/>
      <c r="AR207" s="64" t="s">
        <v>348</v>
      </c>
      <c r="AS207" s="64"/>
      <c r="AT207" s="64"/>
      <c r="AU207" s="64"/>
      <c r="AV207" s="64"/>
      <c r="AW207" s="64"/>
      <c r="AX207" s="64"/>
      <c r="AY207" s="64"/>
      <c r="AZ207" s="64"/>
      <c r="BA207" s="64"/>
      <c r="BB207" s="64"/>
      <c r="BC207" s="64"/>
      <c r="BD207" s="64"/>
      <c r="BE207" s="64"/>
      <c r="BF207" s="64"/>
      <c r="BG207" s="64"/>
      <c r="BH207" s="95" t="s">
        <v>286</v>
      </c>
      <c r="BI207" s="68">
        <v>0</v>
      </c>
      <c r="BJ207" s="68">
        <v>0</v>
      </c>
      <c r="BK207" s="68">
        <v>0</v>
      </c>
      <c r="BL207" s="68">
        <v>0</v>
      </c>
      <c r="BM207" s="68">
        <v>0</v>
      </c>
      <c r="BN207" s="68">
        <v>0</v>
      </c>
      <c r="BO207" s="68">
        <v>0</v>
      </c>
      <c r="BP207" s="68">
        <v>0</v>
      </c>
      <c r="BQ207" s="68">
        <v>0</v>
      </c>
      <c r="BR207" s="68">
        <v>0</v>
      </c>
      <c r="BS207" s="68">
        <v>0</v>
      </c>
      <c r="BT207" s="68">
        <v>0</v>
      </c>
      <c r="BU207" s="68">
        <v>0</v>
      </c>
      <c r="BV207" s="64"/>
      <c r="BW207" s="64" t="s">
        <v>286</v>
      </c>
      <c r="BX207" s="64">
        <v>0</v>
      </c>
      <c r="BY207" s="64">
        <v>0</v>
      </c>
      <c r="BZ207" s="64">
        <v>0</v>
      </c>
      <c r="CA207" s="64">
        <v>0</v>
      </c>
      <c r="CB207" s="64">
        <v>0</v>
      </c>
      <c r="CC207" s="68">
        <v>0</v>
      </c>
      <c r="CD207" s="68">
        <v>0</v>
      </c>
      <c r="CE207" s="68">
        <v>0</v>
      </c>
      <c r="CF207" s="68">
        <v>0</v>
      </c>
      <c r="CG207" s="68">
        <v>0</v>
      </c>
      <c r="CH207" s="68">
        <v>0</v>
      </c>
      <c r="CI207" s="68">
        <v>0</v>
      </c>
      <c r="CJ207" s="68">
        <v>0</v>
      </c>
      <c r="CK207" s="64"/>
      <c r="CL207" s="64"/>
      <c r="CM207" s="64"/>
      <c r="CN207" s="68" t="s">
        <v>286</v>
      </c>
      <c r="CO207" s="68">
        <v>0</v>
      </c>
      <c r="CP207" s="68">
        <v>5</v>
      </c>
      <c r="CQ207" s="68">
        <v>0</v>
      </c>
      <c r="CR207" s="68">
        <v>0</v>
      </c>
      <c r="CS207" s="68">
        <v>0</v>
      </c>
      <c r="CT207" s="68">
        <v>0</v>
      </c>
      <c r="CU207" s="68">
        <v>0</v>
      </c>
      <c r="CV207" s="68">
        <v>0</v>
      </c>
      <c r="CW207" s="68">
        <v>0</v>
      </c>
      <c r="CX207" s="68">
        <v>0</v>
      </c>
      <c r="CY207" s="68">
        <v>0</v>
      </c>
      <c r="CZ207" s="68">
        <v>0</v>
      </c>
      <c r="DA207" s="71">
        <v>0</v>
      </c>
      <c r="DB207" s="64"/>
      <c r="DC207" s="64"/>
      <c r="DD207" s="64"/>
      <c r="DE207" s="64"/>
      <c r="DF207" s="64"/>
      <c r="DG207" s="64"/>
      <c r="DH207" s="64"/>
      <c r="DI207" s="64"/>
      <c r="DJ207" s="64"/>
      <c r="DK207" s="64"/>
      <c r="DL207" s="64"/>
      <c r="DM207" s="64"/>
      <c r="DN207" s="64"/>
      <c r="DO207" s="64"/>
      <c r="DP207" s="64"/>
      <c r="DQ207" s="80"/>
      <c r="DR207" s="80"/>
      <c r="DS207" s="80"/>
      <c r="DT207" s="64"/>
      <c r="DU207" s="64"/>
      <c r="DV207" s="64"/>
      <c r="DW207" s="64"/>
      <c r="DX207" s="64"/>
      <c r="DY207" s="64"/>
      <c r="DZ207" s="64"/>
      <c r="EA207" s="64"/>
      <c r="EB207" s="64"/>
      <c r="EC207" s="64"/>
      <c r="ED207" s="64"/>
      <c r="EE207" s="64"/>
      <c r="EF207" s="64"/>
      <c r="EG207" s="64"/>
      <c r="EH207" s="64"/>
      <c r="EI207" s="64"/>
      <c r="EJ207" s="69"/>
      <c r="EK207" s="64"/>
      <c r="EL207" s="64"/>
      <c r="EM207" s="64"/>
      <c r="EN207" s="64"/>
      <c r="EO207" s="64"/>
      <c r="EP207" s="64"/>
      <c r="EQ207" s="64"/>
      <c r="ER207" s="64"/>
      <c r="ES207" s="64"/>
      <c r="ET207" s="64"/>
      <c r="EU207" s="64"/>
      <c r="EV207" s="64"/>
      <c r="EW207" s="64"/>
      <c r="EX207" s="64"/>
      <c r="EY207" s="64"/>
      <c r="EZ207" s="64"/>
      <c r="FA207" s="64"/>
      <c r="FB207" s="64"/>
      <c r="FC207" s="64"/>
      <c r="FD207" s="64"/>
      <c r="FE207" s="64"/>
      <c r="FF207" s="64"/>
      <c r="FG207" s="64"/>
      <c r="FH207" s="64"/>
      <c r="FI207" s="64"/>
      <c r="FJ207" s="64"/>
      <c r="FK207" s="64"/>
      <c r="FL207" s="64"/>
      <c r="FM207" s="64"/>
      <c r="FN207" s="64"/>
      <c r="FO207" s="64"/>
      <c r="FP207" s="64"/>
      <c r="FQ207" s="64"/>
      <c r="FR207" s="64"/>
      <c r="FS207" s="64"/>
      <c r="FT207" s="64"/>
      <c r="FU207" s="64"/>
      <c r="FV207" s="64"/>
      <c r="FW207" s="64"/>
      <c r="FX207" s="64"/>
      <c r="FY207" s="64"/>
      <c r="FZ207" s="64"/>
      <c r="GA207" s="64"/>
      <c r="GB207" s="64"/>
      <c r="GC207" s="64"/>
      <c r="GD207" s="64"/>
      <c r="GE207" s="64"/>
      <c r="GF207" s="64"/>
      <c r="GG207" s="64"/>
      <c r="GH207" s="64"/>
      <c r="GI207" s="64"/>
      <c r="GJ207" s="64"/>
      <c r="GK207" s="64"/>
      <c r="GL207" s="64"/>
      <c r="GM207" s="64"/>
      <c r="GN207" s="64"/>
      <c r="GO207" s="64"/>
      <c r="GP207" s="64"/>
      <c r="GQ207" s="64"/>
      <c r="GR207" s="64"/>
      <c r="GS207" s="64"/>
      <c r="GT207" s="64"/>
      <c r="GU207" s="64"/>
      <c r="GV207" s="64"/>
      <c r="GW207" s="64"/>
      <c r="GX207" s="64"/>
      <c r="GY207" s="64"/>
      <c r="GZ207" s="64"/>
      <c r="HA207" s="64"/>
      <c r="HB207" s="64"/>
      <c r="HC207" s="64"/>
      <c r="HD207" s="64"/>
      <c r="HE207" s="64"/>
      <c r="HF207" s="64"/>
      <c r="HG207" s="64"/>
      <c r="HH207" s="64"/>
      <c r="IT207" s="71"/>
    </row>
    <row r="208" spans="1:254" ht="15.75" thickBot="1" x14ac:dyDescent="0.3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243</v>
      </c>
      <c r="M208" s="11">
        <f>INDEX(cenník!$C$2:$I$568,MATCH($L208,cenník!$B$2:$B$557,0),MATCH(M$2,cenník!$C$1:$I$1,0))</f>
        <v>660245</v>
      </c>
      <c r="N208" s="11" t="str">
        <f>INDEX(cenník!$C$2:$I$568,MATCH($L208,cenník!$B$2:$B$557,0),MATCH(N$2,cenník!$C$1:$I$1,0))</f>
        <v>ks</v>
      </c>
      <c r="O208" s="11">
        <f>O206</f>
        <v>0</v>
      </c>
      <c r="P208" s="36">
        <f>INDEX(cenník!$C$2:$I$568,MATCH($L208,cenník!$B$2:$B$557,0),MATCH(P$2,cenník!$C$1:$I$1,0))</f>
        <v>0.55000000000000004</v>
      </c>
      <c r="Q208" s="36">
        <f t="shared" si="493"/>
        <v>0</v>
      </c>
      <c r="R208" s="37">
        <f t="shared" si="462"/>
        <v>0</v>
      </c>
      <c r="S208" s="36">
        <f t="shared" si="463"/>
        <v>0.55000000000000004</v>
      </c>
      <c r="T208" s="36">
        <f t="shared" si="464"/>
        <v>0</v>
      </c>
      <c r="U208" s="36">
        <f>INDEX(cenník!$C$2:$I$568,MATCH($L208,cenník!$B$2:$B$557,0),MATCH(U$2,cenník!$C$1:$I$1,0))*O208</f>
        <v>0</v>
      </c>
      <c r="V208" s="64"/>
      <c r="W208" s="72" t="s">
        <v>17</v>
      </c>
      <c r="X208" s="64" t="s">
        <v>104</v>
      </c>
      <c r="Y208" s="64" t="s">
        <v>103</v>
      </c>
      <c r="Z208" s="64" t="s">
        <v>16</v>
      </c>
      <c r="AA208" s="64">
        <f t="shared" si="495"/>
        <v>0</v>
      </c>
      <c r="AB208" s="64">
        <f t="shared" ref="AB208:AB222" si="501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64">
        <f t="shared" si="496"/>
        <v>0</v>
      </c>
      <c r="AD208" s="64">
        <f t="shared" si="497"/>
        <v>0</v>
      </c>
      <c r="AE208" s="64">
        <f t="shared" si="498"/>
        <v>0</v>
      </c>
      <c r="AF208" s="64">
        <f t="shared" si="499"/>
        <v>0</v>
      </c>
      <c r="AG208" s="64">
        <f t="shared" si="500"/>
        <v>1</v>
      </c>
      <c r="AH208" s="64"/>
      <c r="AI208" s="64"/>
      <c r="AJ208" s="64"/>
      <c r="AK208" s="64"/>
      <c r="AL208" s="64"/>
      <c r="AM208" s="64"/>
      <c r="AN208" s="64"/>
      <c r="AO208" s="64"/>
      <c r="AP208" s="64"/>
      <c r="AQ208" s="64"/>
      <c r="AR208" s="64" t="s">
        <v>333</v>
      </c>
      <c r="AS208" s="64">
        <v>1</v>
      </c>
      <c r="AT208" s="64">
        <v>2</v>
      </c>
      <c r="AU208" s="64">
        <v>3</v>
      </c>
      <c r="AV208" s="64">
        <v>4</v>
      </c>
      <c r="AW208" s="64">
        <v>5</v>
      </c>
      <c r="AX208" s="64"/>
      <c r="AY208" s="64"/>
      <c r="AZ208" s="64"/>
      <c r="BA208" s="64"/>
      <c r="BB208" s="64"/>
      <c r="BC208" s="64"/>
      <c r="BD208" s="64"/>
      <c r="BE208" s="64"/>
      <c r="BF208" s="64"/>
      <c r="BG208" s="64"/>
      <c r="BH208" s="69" t="s">
        <v>240</v>
      </c>
      <c r="BI208" s="64">
        <v>0</v>
      </c>
      <c r="BJ208" s="64">
        <v>5</v>
      </c>
      <c r="BK208" s="64">
        <v>0</v>
      </c>
      <c r="BL208" s="64">
        <v>5</v>
      </c>
      <c r="BM208" s="64">
        <v>10</v>
      </c>
      <c r="BN208" s="64">
        <v>5</v>
      </c>
      <c r="BO208" s="64">
        <v>15</v>
      </c>
      <c r="BP208" s="64">
        <v>5</v>
      </c>
      <c r="BQ208" s="64">
        <v>15</v>
      </c>
      <c r="BR208" s="64">
        <v>20</v>
      </c>
      <c r="BS208" s="64">
        <v>15</v>
      </c>
      <c r="BT208" s="64">
        <v>25</v>
      </c>
      <c r="BU208" s="64">
        <v>15</v>
      </c>
      <c r="BV208" s="64"/>
      <c r="BW208" s="64" t="s">
        <v>240</v>
      </c>
      <c r="BX208" s="64">
        <v>0</v>
      </c>
      <c r="BY208" s="64">
        <v>5</v>
      </c>
      <c r="BZ208" s="64">
        <v>0</v>
      </c>
      <c r="CA208" s="64">
        <v>10</v>
      </c>
      <c r="CB208" s="64">
        <v>5</v>
      </c>
      <c r="CC208" s="68">
        <v>15</v>
      </c>
      <c r="CD208" s="68">
        <v>10</v>
      </c>
      <c r="CE208" s="68">
        <v>15</v>
      </c>
      <c r="CF208" s="68">
        <v>10</v>
      </c>
      <c r="CG208" s="68">
        <v>20</v>
      </c>
      <c r="CH208" s="68">
        <v>15</v>
      </c>
      <c r="CI208" s="68">
        <v>25</v>
      </c>
      <c r="CJ208" s="68">
        <v>20</v>
      </c>
      <c r="CK208" s="64"/>
      <c r="CL208" s="64"/>
      <c r="CM208" s="64"/>
      <c r="CN208" s="68" t="s">
        <v>240</v>
      </c>
      <c r="CO208" s="68">
        <v>0</v>
      </c>
      <c r="CP208" s="68">
        <v>0</v>
      </c>
      <c r="CQ208" s="68">
        <v>5</v>
      </c>
      <c r="CR208" s="68">
        <v>0</v>
      </c>
      <c r="CS208" s="68">
        <v>10</v>
      </c>
      <c r="CT208" s="68">
        <v>5</v>
      </c>
      <c r="CU208" s="68">
        <v>15</v>
      </c>
      <c r="CV208" s="68">
        <v>15</v>
      </c>
      <c r="CW208" s="68">
        <v>25</v>
      </c>
      <c r="CX208" s="68">
        <v>20</v>
      </c>
      <c r="CY208" s="68">
        <v>30</v>
      </c>
      <c r="CZ208" s="68">
        <v>25</v>
      </c>
      <c r="DA208" s="71">
        <v>35</v>
      </c>
      <c r="DB208" s="64"/>
      <c r="DC208" s="64"/>
      <c r="DD208" s="64"/>
      <c r="DE208" s="64"/>
      <c r="DF208" s="64"/>
      <c r="DG208" s="64"/>
      <c r="DH208" s="64"/>
      <c r="DI208" s="64"/>
      <c r="DJ208" s="64"/>
      <c r="DK208" s="64"/>
      <c r="DL208" s="64"/>
      <c r="DM208" s="64"/>
      <c r="DN208" s="64"/>
      <c r="DO208" s="64"/>
      <c r="DP208" s="64"/>
      <c r="DQ208" s="80"/>
      <c r="DR208" s="80"/>
      <c r="DS208" s="80"/>
      <c r="DT208" s="64"/>
      <c r="DU208" s="64"/>
      <c r="DV208" s="64"/>
      <c r="DW208" s="64"/>
      <c r="DX208" s="64"/>
      <c r="DY208" s="64"/>
      <c r="DZ208" s="64"/>
      <c r="EA208" s="64"/>
      <c r="EB208" s="64"/>
      <c r="EC208" s="64"/>
      <c r="ED208" s="64"/>
      <c r="EE208" s="64"/>
      <c r="EF208" s="64"/>
      <c r="EG208" s="64"/>
      <c r="EH208" s="64"/>
      <c r="EI208" s="64"/>
      <c r="EJ208" s="73"/>
      <c r="EK208" s="74"/>
      <c r="EL208" s="74"/>
      <c r="EM208" s="74"/>
      <c r="EN208" s="74"/>
      <c r="EO208" s="74"/>
      <c r="EP208" s="74"/>
      <c r="EQ208" s="74"/>
      <c r="ER208" s="74"/>
      <c r="ES208" s="74"/>
      <c r="ET208" s="74"/>
      <c r="EU208" s="74"/>
      <c r="EV208" s="74"/>
      <c r="EW208" s="74"/>
      <c r="EX208" s="74"/>
      <c r="EY208" s="74"/>
      <c r="EZ208" s="74"/>
      <c r="FA208" s="74"/>
      <c r="FB208" s="74"/>
      <c r="FC208" s="74"/>
      <c r="FD208" s="74"/>
      <c r="FE208" s="74"/>
      <c r="FF208" s="74"/>
      <c r="FG208" s="74"/>
      <c r="FH208" s="74"/>
      <c r="FI208" s="74"/>
      <c r="FJ208" s="74"/>
      <c r="FK208" s="74"/>
      <c r="FL208" s="74"/>
      <c r="FM208" s="74"/>
      <c r="FN208" s="74"/>
      <c r="FO208" s="74"/>
      <c r="FP208" s="74"/>
      <c r="FQ208" s="74"/>
      <c r="FR208" s="74"/>
      <c r="FS208" s="74"/>
      <c r="FT208" s="74"/>
      <c r="FU208" s="74"/>
      <c r="FV208" s="74"/>
      <c r="FW208" s="74"/>
      <c r="FX208" s="74"/>
      <c r="FY208" s="74"/>
      <c r="FZ208" s="74"/>
      <c r="GA208" s="74"/>
      <c r="GB208" s="74"/>
      <c r="GC208" s="74"/>
      <c r="GD208" s="74"/>
      <c r="GE208" s="74"/>
      <c r="GF208" s="74"/>
      <c r="GG208" s="74"/>
      <c r="GH208" s="74"/>
      <c r="GI208" s="74"/>
      <c r="GJ208" s="74"/>
      <c r="GK208" s="74"/>
      <c r="GL208" s="74"/>
      <c r="GM208" s="74"/>
      <c r="GN208" s="74"/>
      <c r="GO208" s="74"/>
      <c r="GP208" s="74"/>
      <c r="GQ208" s="74"/>
      <c r="GR208" s="74"/>
      <c r="GS208" s="74"/>
      <c r="GT208" s="74"/>
      <c r="GU208" s="74"/>
      <c r="GV208" s="74"/>
      <c r="GW208" s="74"/>
      <c r="GX208" s="74"/>
      <c r="GY208" s="74"/>
      <c r="GZ208" s="74"/>
      <c r="HA208" s="74"/>
      <c r="HB208" s="74"/>
      <c r="HC208" s="74"/>
      <c r="HD208" s="74"/>
      <c r="HE208" s="74"/>
      <c r="HF208" s="74"/>
      <c r="HG208" s="74"/>
      <c r="HH208" s="74"/>
      <c r="HI208" s="78"/>
      <c r="HJ208" s="78"/>
      <c r="HK208" s="78"/>
      <c r="HL208" s="78"/>
      <c r="HM208" s="78"/>
      <c r="HN208" s="78"/>
      <c r="HO208" s="78"/>
      <c r="HP208" s="78"/>
      <c r="HQ208" s="78"/>
      <c r="HR208" s="78"/>
      <c r="HS208" s="78"/>
      <c r="HT208" s="78"/>
      <c r="HU208" s="78"/>
      <c r="HV208" s="78"/>
      <c r="HW208" s="78"/>
      <c r="HX208" s="78"/>
      <c r="HY208" s="78"/>
      <c r="HZ208" s="78"/>
      <c r="IA208" s="78"/>
      <c r="IB208" s="78"/>
      <c r="IC208" s="78"/>
      <c r="ID208" s="78"/>
      <c r="IE208" s="78"/>
      <c r="IF208" s="78"/>
      <c r="IG208" s="78"/>
      <c r="IH208" s="78"/>
      <c r="II208" s="78"/>
      <c r="IJ208" s="78"/>
      <c r="IK208" s="78"/>
      <c r="IL208" s="78"/>
      <c r="IM208" s="78"/>
      <c r="IN208" s="78"/>
      <c r="IO208" s="78"/>
      <c r="IP208" s="78"/>
      <c r="IQ208" s="78"/>
      <c r="IR208" s="78"/>
      <c r="IS208" s="78"/>
      <c r="IT208" s="79"/>
    </row>
    <row r="209" spans="1:216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150</v>
      </c>
      <c r="M209" s="11">
        <f>INDEX(cenník!$C$2:$I$568,MATCH($L209,cenník!$B$2:$B$557,0),MATCH(M$2,cenník!$C$1:$I$1,0))</f>
        <v>651643</v>
      </c>
      <c r="N209" s="11" t="str">
        <f>INDEX(cenník!$C$2:$I$568,MATCH($L209,cenník!$B$2:$B$557,0),MATCH(N$2,cenník!$C$1:$I$1,0))</f>
        <v>100ks</v>
      </c>
      <c r="O209" s="11">
        <f>ROUNDUP(((O195*12)+(O199*2)+(O203*4)+O211+(O194*6)+(O214*2)+E198)/100,0)</f>
        <v>0</v>
      </c>
      <c r="P209" s="36">
        <f>INDEX(cenník!$C$2:$I$568,MATCH($L209,cenník!$B$2:$B$557,0),MATCH(P$2,cenník!$C$1:$I$1,0))</f>
        <v>49.87</v>
      </c>
      <c r="Q209" s="36">
        <f t="shared" si="493"/>
        <v>0</v>
      </c>
      <c r="R209" s="37">
        <f t="shared" si="462"/>
        <v>0</v>
      </c>
      <c r="S209" s="36">
        <f t="shared" si="463"/>
        <v>49.87</v>
      </c>
      <c r="T209" s="36">
        <f t="shared" si="464"/>
        <v>0</v>
      </c>
      <c r="U209" s="36">
        <f>INDEX(cenník!$C$2:$I$568,MATCH($L209,cenník!$B$2:$B$557,0),MATCH(U$2,cenník!$C$1:$I$1,0))*O209</f>
        <v>0</v>
      </c>
      <c r="V209" s="64"/>
      <c r="W209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64">
        <f t="shared" si="495"/>
        <v>0</v>
      </c>
      <c r="AB209" s="64">
        <f t="shared" si="501"/>
        <v>0</v>
      </c>
      <c r="AC209" s="64">
        <f t="shared" si="496"/>
        <v>0</v>
      </c>
      <c r="AD209" s="64">
        <f t="shared" si="497"/>
        <v>0</v>
      </c>
      <c r="AE209" s="64">
        <f t="shared" si="498"/>
        <v>0</v>
      </c>
      <c r="AF209" s="64">
        <f t="shared" si="499"/>
        <v>0</v>
      </c>
      <c r="AG209" s="64">
        <f t="shared" si="500"/>
        <v>1</v>
      </c>
      <c r="AH209" s="64"/>
      <c r="AI209" s="64"/>
      <c r="AJ209" s="64"/>
      <c r="AK209" s="64"/>
      <c r="AL209" s="64"/>
      <c r="AM209" s="64"/>
      <c r="AN209" s="64"/>
      <c r="AO209" s="64"/>
      <c r="AP209" s="64"/>
      <c r="AQ209" s="64"/>
      <c r="AR209" s="64">
        <v>1</v>
      </c>
      <c r="AS209" s="64" t="s">
        <v>523</v>
      </c>
      <c r="AT209" s="64" t="s">
        <v>523</v>
      </c>
      <c r="AU209" s="64" t="s">
        <v>523</v>
      </c>
      <c r="AV209" s="64" t="s">
        <v>523</v>
      </c>
      <c r="AW209" s="64" t="s">
        <v>522</v>
      </c>
      <c r="AX209" s="64"/>
      <c r="AY209" s="64"/>
      <c r="AZ209" s="64"/>
      <c r="BA209" s="64"/>
      <c r="BB209" s="64"/>
      <c r="BC209" s="64"/>
      <c r="BD209" s="64"/>
      <c r="BE209" s="64"/>
      <c r="BF209" s="64"/>
      <c r="BG209" s="64"/>
      <c r="BH209" s="69" t="s">
        <v>241</v>
      </c>
      <c r="BI209" s="64">
        <v>0</v>
      </c>
      <c r="BJ209" s="64">
        <v>0</v>
      </c>
      <c r="BK209" s="64">
        <v>10</v>
      </c>
      <c r="BL209" s="64">
        <v>5</v>
      </c>
      <c r="BM209" s="64">
        <v>0</v>
      </c>
      <c r="BN209" s="64">
        <v>10</v>
      </c>
      <c r="BO209" s="64">
        <v>0</v>
      </c>
      <c r="BP209" s="64">
        <v>15</v>
      </c>
      <c r="BQ209" s="64">
        <v>5</v>
      </c>
      <c r="BR209" s="64">
        <v>0</v>
      </c>
      <c r="BS209" s="64">
        <v>10</v>
      </c>
      <c r="BT209" s="64">
        <v>0</v>
      </c>
      <c r="BU209" s="64">
        <v>15</v>
      </c>
      <c r="BV209" s="64"/>
      <c r="BW209" s="64" t="s">
        <v>241</v>
      </c>
      <c r="BX209" s="64">
        <v>0</v>
      </c>
      <c r="BY209" s="64">
        <v>0</v>
      </c>
      <c r="BZ209" s="64">
        <v>10</v>
      </c>
      <c r="CA209" s="64">
        <v>0</v>
      </c>
      <c r="CB209" s="64">
        <v>10</v>
      </c>
      <c r="CC209" s="64">
        <v>0</v>
      </c>
      <c r="CD209" s="64">
        <v>10</v>
      </c>
      <c r="CE209" s="64">
        <v>5</v>
      </c>
      <c r="CF209" s="64">
        <v>15</v>
      </c>
      <c r="CG209" s="64">
        <v>5</v>
      </c>
      <c r="CH209" s="64">
        <v>15</v>
      </c>
      <c r="CI209" s="64">
        <v>5</v>
      </c>
      <c r="CJ209" s="64">
        <v>15</v>
      </c>
      <c r="CK209" s="64"/>
      <c r="CL209" s="64"/>
      <c r="CM209" s="64"/>
      <c r="CN209" s="68" t="s">
        <v>241</v>
      </c>
      <c r="CO209" s="68">
        <v>0</v>
      </c>
      <c r="CP209" s="68">
        <v>0</v>
      </c>
      <c r="CQ209" s="68">
        <v>5</v>
      </c>
      <c r="CR209" s="68">
        <v>15</v>
      </c>
      <c r="CS209" s="68">
        <v>5</v>
      </c>
      <c r="CT209" s="68">
        <v>15</v>
      </c>
      <c r="CU209" s="68">
        <v>5</v>
      </c>
      <c r="CV209" s="68">
        <v>10</v>
      </c>
      <c r="CW209" s="68">
        <v>0</v>
      </c>
      <c r="CX209" s="68">
        <v>10</v>
      </c>
      <c r="CY209" s="68">
        <v>0</v>
      </c>
      <c r="CZ209" s="68">
        <v>10</v>
      </c>
      <c r="DA209" s="71">
        <v>0</v>
      </c>
      <c r="DB209" s="64"/>
      <c r="DC209" s="64"/>
      <c r="DD209" s="64"/>
      <c r="DE209" s="64"/>
      <c r="DF209" s="64"/>
      <c r="DG209" s="64"/>
      <c r="DH209" s="64"/>
      <c r="DI209" s="64"/>
      <c r="DJ209" s="64"/>
      <c r="DK209" s="64"/>
      <c r="DL209" s="64"/>
      <c r="DM209" s="64"/>
      <c r="DN209" s="64"/>
      <c r="DO209" s="64"/>
      <c r="DP209" s="64"/>
      <c r="DQ209" s="80"/>
      <c r="DR209" s="80"/>
      <c r="DS209" s="80"/>
      <c r="DT209" s="64"/>
      <c r="DU209" s="64"/>
      <c r="DV209" s="64"/>
      <c r="DW209" s="64"/>
      <c r="DX209" s="64"/>
      <c r="DY209" s="64"/>
      <c r="DZ209" s="64"/>
      <c r="EA209" s="64"/>
      <c r="EB209" s="64"/>
      <c r="EC209" s="64"/>
      <c r="ED209" s="64"/>
      <c r="EE209" s="64"/>
      <c r="EF209" s="64"/>
      <c r="EG209" s="64"/>
      <c r="EH209" s="64"/>
      <c r="EI209" s="64"/>
      <c r="EJ209" s="64"/>
      <c r="EK209" s="64"/>
      <c r="EL209" s="64"/>
      <c r="EM209" s="64"/>
      <c r="EN209" s="64"/>
      <c r="EO209" s="64"/>
      <c r="EP209" s="64"/>
      <c r="EQ209" s="64"/>
      <c r="ER209" s="64"/>
      <c r="ES209" s="64"/>
      <c r="ET209" s="64"/>
      <c r="EU209" s="64"/>
      <c r="EV209" s="64"/>
      <c r="EW209" s="64"/>
      <c r="EX209" s="64"/>
      <c r="EY209" s="64"/>
      <c r="EZ209" s="64"/>
      <c r="FA209" s="64"/>
      <c r="FB209" s="64"/>
      <c r="FC209" s="64"/>
      <c r="FD209" s="64"/>
      <c r="FE209" s="64"/>
      <c r="FF209" s="64"/>
      <c r="FG209" s="64"/>
      <c r="FH209" s="64"/>
      <c r="FI209" s="64"/>
      <c r="FJ209" s="64"/>
      <c r="FK209" s="64"/>
      <c r="FL209" s="64"/>
      <c r="FM209" s="64"/>
      <c r="FN209" s="64"/>
      <c r="FO209" s="64"/>
      <c r="FP209" s="64"/>
      <c r="FQ209" s="64"/>
      <c r="FR209" s="64"/>
      <c r="FS209" s="64"/>
      <c r="FT209" s="64"/>
      <c r="FU209" s="64"/>
      <c r="FV209" s="64"/>
      <c r="FW209" s="64"/>
      <c r="FX209" s="64"/>
      <c r="FY209" s="64"/>
      <c r="FZ209" s="64"/>
      <c r="GA209" s="64"/>
      <c r="GB209" s="64"/>
      <c r="GC209" s="64"/>
      <c r="GD209" s="64"/>
      <c r="GE209" s="64"/>
      <c r="GF209" s="64"/>
      <c r="GG209" s="64"/>
      <c r="GH209" s="64"/>
      <c r="GI209" s="64"/>
      <c r="GJ209" s="64"/>
      <c r="GK209" s="64"/>
      <c r="GL209" s="64"/>
      <c r="GM209" s="64"/>
      <c r="GN209" s="64"/>
      <c r="GO209" s="64"/>
      <c r="GP209" s="64"/>
      <c r="GQ209" s="64"/>
      <c r="GR209" s="64"/>
      <c r="GS209" s="64"/>
      <c r="GT209" s="64"/>
      <c r="GU209" s="64"/>
      <c r="GV209" s="64"/>
      <c r="GW209" s="64"/>
      <c r="GX209" s="64"/>
      <c r="GY209" s="64"/>
      <c r="GZ209" s="64"/>
      <c r="HA209" s="64"/>
      <c r="HB209" s="64"/>
      <c r="HC209" s="64"/>
      <c r="HD209" s="64"/>
      <c r="HE209" s="64"/>
      <c r="HF209" s="64"/>
      <c r="HG209" s="64"/>
      <c r="HH209" s="64"/>
    </row>
    <row r="210" spans="1:216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65</v>
      </c>
      <c r="M210" s="11">
        <f>INDEX(cenník!$C$2:$I$568,MATCH($L210,cenník!$B$2:$B$557,0),MATCH(M$2,cenník!$C$1:$I$1,0))</f>
        <v>897303</v>
      </c>
      <c r="N210" s="11" t="str">
        <f>INDEX(cenník!$C$2:$I$568,MATCH($L210,cenník!$B$2:$B$557,0),MATCH(N$2,cenník!$C$1:$I$1,0))</f>
        <v>ks</v>
      </c>
      <c r="O210" s="11">
        <f>0.25*SUM(O204:O206)</f>
        <v>0</v>
      </c>
      <c r="P210" s="36">
        <f>INDEX(cenník!$C$2:$I$568,MATCH($L210,cenník!$B$2:$B$557,0),MATCH(P$2,cenník!$C$1:$I$1,0))</f>
        <v>0.83</v>
      </c>
      <c r="Q210" s="36">
        <f t="shared" si="493"/>
        <v>0</v>
      </c>
      <c r="R210" s="37">
        <f t="shared" si="462"/>
        <v>0</v>
      </c>
      <c r="S210" s="36">
        <f t="shared" si="463"/>
        <v>0.83</v>
      </c>
      <c r="T210" s="36">
        <f t="shared" si="464"/>
        <v>0</v>
      </c>
      <c r="U210" s="36">
        <f>INDEX(cenník!$C$2:$I$568,MATCH($L210,cenník!$B$2:$B$557,0),MATCH(U$2,cenník!$C$1:$I$1,0))*O210</f>
        <v>0</v>
      </c>
      <c r="V210" s="64"/>
      <c r="W210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64">
        <f t="shared" si="495"/>
        <v>0</v>
      </c>
      <c r="AB210" s="64">
        <f t="shared" si="501"/>
        <v>0</v>
      </c>
      <c r="AC210" s="64">
        <f t="shared" si="496"/>
        <v>0</v>
      </c>
      <c r="AD210" s="64">
        <f t="shared" si="497"/>
        <v>0</v>
      </c>
      <c r="AE210" s="64">
        <f t="shared" si="498"/>
        <v>0</v>
      </c>
      <c r="AF210" s="64">
        <f t="shared" si="499"/>
        <v>0</v>
      </c>
      <c r="AG210" s="64">
        <f t="shared" si="500"/>
        <v>1</v>
      </c>
      <c r="AH210" s="64"/>
      <c r="AI210" s="64"/>
      <c r="AJ210" s="64"/>
      <c r="AK210" s="64"/>
      <c r="AL210" s="64"/>
      <c r="AM210" s="64"/>
      <c r="AN210" s="64"/>
      <c r="AO210" s="64"/>
      <c r="AP210" s="64"/>
      <c r="AQ210" s="64"/>
      <c r="AR210" s="64">
        <v>2</v>
      </c>
      <c r="AS210" s="64" t="s">
        <v>522</v>
      </c>
      <c r="AT210" s="64" t="s">
        <v>523</v>
      </c>
      <c r="AU210" s="64" t="s">
        <v>523</v>
      </c>
      <c r="AV210" s="64" t="s">
        <v>522</v>
      </c>
      <c r="AW210" s="64" t="s">
        <v>522</v>
      </c>
      <c r="AX210" s="64"/>
      <c r="AY210" s="64"/>
      <c r="AZ210" s="64"/>
      <c r="BA210" s="64"/>
      <c r="BB210" s="64"/>
      <c r="BC210" s="64"/>
      <c r="BD210" s="64"/>
      <c r="BE210" s="64"/>
      <c r="BF210" s="64"/>
      <c r="BG210" s="64"/>
      <c r="BH210" s="72" t="s">
        <v>364</v>
      </c>
      <c r="BI210" s="64">
        <v>0</v>
      </c>
      <c r="BJ210" s="64">
        <v>0</v>
      </c>
      <c r="BK210" s="64">
        <v>5</v>
      </c>
      <c r="BL210" s="64">
        <v>5</v>
      </c>
      <c r="BM210" s="64">
        <v>5</v>
      </c>
      <c r="BN210" s="64">
        <v>10</v>
      </c>
      <c r="BO210" s="64">
        <v>10</v>
      </c>
      <c r="BP210" s="64">
        <v>15</v>
      </c>
      <c r="BQ210" s="64">
        <v>15</v>
      </c>
      <c r="BR210" s="64">
        <v>15</v>
      </c>
      <c r="BS210" s="64">
        <v>20</v>
      </c>
      <c r="BT210" s="64">
        <v>20</v>
      </c>
      <c r="BU210" s="64">
        <v>25</v>
      </c>
      <c r="BV210" s="64"/>
      <c r="BW210" s="72" t="s">
        <v>364</v>
      </c>
      <c r="BX210" s="64">
        <v>0</v>
      </c>
      <c r="BY210" s="64">
        <v>0</v>
      </c>
      <c r="BZ210" s="64">
        <v>5</v>
      </c>
      <c r="CA210" s="64">
        <v>5</v>
      </c>
      <c r="CB210" s="64">
        <v>10</v>
      </c>
      <c r="CC210" s="64">
        <v>10</v>
      </c>
      <c r="CD210" s="64">
        <v>15</v>
      </c>
      <c r="CE210" s="64">
        <v>15</v>
      </c>
      <c r="CF210" s="64">
        <v>20</v>
      </c>
      <c r="CG210" s="64">
        <v>20</v>
      </c>
      <c r="CH210" s="64">
        <v>25</v>
      </c>
      <c r="CI210" s="64">
        <v>25</v>
      </c>
      <c r="CJ210" s="64">
        <v>30</v>
      </c>
      <c r="CK210" s="64"/>
      <c r="CL210" s="64"/>
      <c r="CM210" s="64"/>
      <c r="CN210" s="72" t="s">
        <v>364</v>
      </c>
      <c r="CO210" s="68">
        <v>0</v>
      </c>
      <c r="CP210" s="68">
        <v>0</v>
      </c>
      <c r="CQ210" s="68">
        <v>5</v>
      </c>
      <c r="CR210" s="68">
        <v>10</v>
      </c>
      <c r="CS210" s="68">
        <v>10</v>
      </c>
      <c r="CT210" s="68">
        <v>15</v>
      </c>
      <c r="CU210" s="68">
        <v>15</v>
      </c>
      <c r="CV210" s="68">
        <v>20</v>
      </c>
      <c r="CW210" s="68">
        <v>20</v>
      </c>
      <c r="CX210" s="68">
        <v>25</v>
      </c>
      <c r="CY210" s="68">
        <v>25</v>
      </c>
      <c r="CZ210" s="68">
        <v>30</v>
      </c>
      <c r="DA210" s="71">
        <v>30</v>
      </c>
      <c r="DB210" s="64"/>
      <c r="DC210" s="64"/>
      <c r="DD210" s="64"/>
      <c r="DE210" s="64"/>
      <c r="DF210" s="64"/>
      <c r="DG210" s="64"/>
      <c r="DH210" s="64"/>
      <c r="DI210" s="64"/>
      <c r="DJ210" s="64"/>
      <c r="DK210" s="64"/>
      <c r="DL210" s="64"/>
      <c r="DM210" s="64"/>
      <c r="DN210" s="64"/>
      <c r="DO210" s="64"/>
      <c r="DP210" s="64"/>
      <c r="DQ210" s="80"/>
      <c r="DR210" s="80"/>
      <c r="DS210" s="80"/>
      <c r="DT210" s="64"/>
      <c r="DU210" s="64"/>
      <c r="DV210" s="64"/>
      <c r="DW210" s="64"/>
      <c r="DX210" s="64"/>
      <c r="DY210" s="64"/>
      <c r="DZ210" s="64"/>
      <c r="EA210" s="64"/>
      <c r="EB210" s="64"/>
      <c r="EC210" s="64"/>
      <c r="ED210" s="64"/>
      <c r="EE210" s="64"/>
      <c r="EF210" s="64"/>
      <c r="EG210" s="64"/>
      <c r="EH210" s="64"/>
      <c r="EI210" s="64"/>
      <c r="EJ210" s="64"/>
      <c r="EK210" s="64"/>
      <c r="EL210" s="64"/>
      <c r="EM210" s="64"/>
      <c r="EN210" s="64"/>
      <c r="EO210" s="64"/>
      <c r="EP210" s="64"/>
      <c r="EQ210" s="64"/>
      <c r="ER210" s="64"/>
      <c r="ES210" s="64"/>
      <c r="ET210" s="64"/>
      <c r="EU210" s="64"/>
      <c r="EV210" s="64"/>
      <c r="EW210" s="64"/>
      <c r="EX210" s="64"/>
      <c r="EY210" s="64"/>
      <c r="EZ210" s="64"/>
      <c r="FA210" s="64"/>
      <c r="FB210" s="64"/>
      <c r="FC210" s="64"/>
      <c r="FD210" s="64"/>
      <c r="FE210" s="64"/>
      <c r="FF210" s="64"/>
      <c r="FG210" s="64"/>
      <c r="FH210" s="64"/>
      <c r="FI210" s="64"/>
      <c r="FJ210" s="64"/>
      <c r="FK210" s="64"/>
      <c r="FL210" s="64"/>
      <c r="FM210" s="64"/>
      <c r="FN210" s="64"/>
      <c r="FO210" s="64"/>
      <c r="FP210" s="64"/>
      <c r="FQ210" s="64"/>
      <c r="FR210" s="64"/>
      <c r="FS210" s="64"/>
      <c r="FT210" s="64"/>
      <c r="FU210" s="64"/>
      <c r="FV210" s="64"/>
      <c r="FW210" s="64"/>
      <c r="FX210" s="64"/>
      <c r="FY210" s="64"/>
      <c r="FZ210" s="64"/>
      <c r="GA210" s="64"/>
      <c r="GB210" s="64"/>
      <c r="GC210" s="64"/>
      <c r="GD210" s="64"/>
      <c r="GE210" s="64"/>
      <c r="GF210" s="64"/>
      <c r="GG210" s="64"/>
      <c r="GH210" s="64"/>
      <c r="GI210" s="64"/>
      <c r="GJ210" s="64"/>
      <c r="GK210" s="64"/>
      <c r="GL210" s="64"/>
      <c r="GM210" s="64"/>
      <c r="GN210" s="64"/>
      <c r="GO210" s="64"/>
      <c r="GP210" s="64"/>
      <c r="GQ210" s="64"/>
      <c r="GR210" s="64"/>
      <c r="GS210" s="64"/>
      <c r="GT210" s="64"/>
      <c r="GU210" s="64"/>
      <c r="GV210" s="64"/>
      <c r="GW210" s="64"/>
      <c r="GX210" s="64"/>
      <c r="GY210" s="64"/>
      <c r="GZ210" s="64"/>
      <c r="HA210" s="64"/>
      <c r="HB210" s="64"/>
      <c r="HC210" s="64"/>
      <c r="HD210" s="64"/>
      <c r="HE210" s="64"/>
      <c r="HF210" s="64"/>
      <c r="HG210" s="64"/>
      <c r="HH210" s="64"/>
    </row>
    <row r="211" spans="1:216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193</v>
      </c>
      <c r="M211" s="11">
        <f>INDEX(cenník!$C$2:$I$568,MATCH($L211,cenník!$B$2:$B$557,0),MATCH(M$2,cenník!$C$1:$I$1,0))</f>
        <v>858022</v>
      </c>
      <c r="N211" s="11" t="str">
        <f>INDEX(cenník!$C$2:$I$568,MATCH($L211,cenník!$B$2:$B$557,0),MATCH(N$2,cenník!$C$1:$I$1,0))</f>
        <v>ks</v>
      </c>
      <c r="O211" s="11">
        <f>2*O196</f>
        <v>0</v>
      </c>
      <c r="P211" s="36">
        <f>INDEX(cenník!$C$2:$I$568,MATCH($L211,cenník!$B$2:$B$557,0),MATCH(P$2,cenník!$C$1:$I$1,0))</f>
        <v>1.56</v>
      </c>
      <c r="Q211" s="36">
        <f t="shared" si="493"/>
        <v>0</v>
      </c>
      <c r="R211" s="37">
        <f t="shared" si="462"/>
        <v>0</v>
      </c>
      <c r="S211" s="36">
        <f t="shared" si="463"/>
        <v>1.56</v>
      </c>
      <c r="T211" s="36">
        <f t="shared" si="464"/>
        <v>0</v>
      </c>
      <c r="U211" s="36">
        <f>INDEX(cenník!$C$2:$I$568,MATCH($L211,cenník!$B$2:$B$557,0),MATCH(U$2,cenník!$C$1:$I$1,0))*O211</f>
        <v>0</v>
      </c>
      <c r="V211" s="64"/>
      <c r="W211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64">
        <f t="shared" si="495"/>
        <v>0</v>
      </c>
      <c r="AB211" s="64">
        <f t="shared" si="501"/>
        <v>0</v>
      </c>
      <c r="AC211" s="64">
        <f t="shared" si="496"/>
        <v>0</v>
      </c>
      <c r="AD211" s="64">
        <f t="shared" si="497"/>
        <v>0</v>
      </c>
      <c r="AE211" s="64">
        <f t="shared" si="498"/>
        <v>0</v>
      </c>
      <c r="AF211" s="64">
        <f t="shared" si="499"/>
        <v>0</v>
      </c>
      <c r="AG211" s="64">
        <f t="shared" si="500"/>
        <v>1</v>
      </c>
      <c r="AH211" s="64"/>
      <c r="AI211" s="64"/>
      <c r="AJ211" s="64"/>
      <c r="AK211" s="64"/>
      <c r="AL211" s="64"/>
      <c r="AM211" s="64"/>
      <c r="AN211" s="64"/>
      <c r="AO211" s="64"/>
      <c r="AP211" s="64"/>
      <c r="AQ211" s="64"/>
      <c r="AR211" s="64" t="s">
        <v>339</v>
      </c>
      <c r="AS211" s="64" t="s">
        <v>523</v>
      </c>
      <c r="AT211" s="64" t="s">
        <v>522</v>
      </c>
      <c r="AU211" s="64" t="s">
        <v>523</v>
      </c>
      <c r="AV211" s="64" t="s">
        <v>522</v>
      </c>
      <c r="AW211" s="64" t="s">
        <v>347</v>
      </c>
      <c r="AX211" s="64"/>
      <c r="AY211" s="64"/>
      <c r="AZ211" s="64"/>
      <c r="BA211" s="64"/>
      <c r="BB211" s="64"/>
      <c r="BC211" s="64"/>
      <c r="BD211" s="64"/>
      <c r="BE211" s="64"/>
      <c r="BF211" s="64"/>
      <c r="BG211" s="64"/>
      <c r="BH211" s="69"/>
      <c r="BI211" s="64"/>
      <c r="BJ211" s="64"/>
      <c r="BK211" s="64"/>
      <c r="BL211" s="64"/>
      <c r="BM211" s="64"/>
      <c r="BN211" s="64"/>
      <c r="BO211" s="64"/>
      <c r="BP211" s="64"/>
      <c r="BQ211" s="64"/>
      <c r="BR211" s="64"/>
      <c r="BS211" s="64"/>
      <c r="BT211" s="64"/>
      <c r="BU211" s="64"/>
      <c r="BV211" s="64"/>
      <c r="BW211" s="64"/>
      <c r="BX211" s="64"/>
      <c r="BY211" s="64"/>
      <c r="BZ211" s="64"/>
      <c r="CA211" s="64"/>
      <c r="CB211" s="64"/>
      <c r="CC211" s="64"/>
      <c r="CD211" s="64"/>
      <c r="CE211" s="64"/>
      <c r="CF211" s="64"/>
      <c r="CG211" s="64"/>
      <c r="CH211" s="64"/>
      <c r="CI211" s="64"/>
      <c r="CJ211" s="64"/>
      <c r="CK211" s="64"/>
      <c r="CL211" s="64"/>
      <c r="CM211" s="64"/>
      <c r="DA211" s="71"/>
      <c r="DB211" s="64"/>
      <c r="DC211" s="64"/>
      <c r="DD211" s="64"/>
      <c r="DE211" s="64"/>
      <c r="DF211" s="64"/>
      <c r="DG211" s="64"/>
      <c r="DH211" s="64"/>
      <c r="DI211" s="64"/>
      <c r="DJ211" s="64"/>
      <c r="DK211" s="64"/>
      <c r="DL211" s="64"/>
      <c r="DM211" s="64"/>
      <c r="DN211" s="64"/>
      <c r="DO211" s="64"/>
      <c r="DP211" s="64"/>
      <c r="DQ211" s="80"/>
      <c r="DR211" s="80"/>
      <c r="DS211" s="80"/>
      <c r="DT211" s="64"/>
      <c r="DU211" s="64"/>
      <c r="DV211" s="64"/>
      <c r="DW211" s="64"/>
      <c r="DX211" s="64"/>
      <c r="DY211" s="64"/>
      <c r="DZ211" s="64"/>
      <c r="EA211" s="64"/>
      <c r="EB211" s="64"/>
      <c r="EC211" s="64"/>
      <c r="ED211" s="64"/>
      <c r="EE211" s="64"/>
      <c r="EF211" s="64"/>
      <c r="EG211" s="64"/>
      <c r="EH211" s="64"/>
      <c r="EI211" s="64"/>
      <c r="EJ211" s="64"/>
      <c r="EK211" s="64"/>
      <c r="EL211" s="64"/>
      <c r="EM211" s="64"/>
      <c r="EN211" s="64"/>
      <c r="EO211" s="64"/>
      <c r="EP211" s="64"/>
      <c r="EQ211" s="64"/>
      <c r="ER211" s="64"/>
      <c r="ES211" s="64"/>
      <c r="ET211" s="64"/>
      <c r="EU211" s="64"/>
      <c r="EV211" s="64"/>
      <c r="EW211" s="64"/>
      <c r="EX211" s="64"/>
      <c r="EY211" s="64"/>
      <c r="EZ211" s="64"/>
      <c r="FA211" s="64"/>
      <c r="FB211" s="64"/>
      <c r="FC211" s="64"/>
      <c r="FD211" s="64"/>
      <c r="FE211" s="64"/>
      <c r="FF211" s="64"/>
      <c r="FG211" s="64"/>
      <c r="FH211" s="64"/>
      <c r="FI211" s="64"/>
      <c r="FJ211" s="64"/>
      <c r="FK211" s="64"/>
      <c r="FL211" s="64"/>
      <c r="FM211" s="64"/>
      <c r="FN211" s="64"/>
      <c r="FO211" s="64"/>
      <c r="FP211" s="64"/>
      <c r="FQ211" s="64"/>
      <c r="FR211" s="64"/>
      <c r="FS211" s="64"/>
      <c r="FT211" s="64"/>
      <c r="FU211" s="64"/>
      <c r="FV211" s="64"/>
      <c r="FW211" s="64"/>
      <c r="FX211" s="64"/>
      <c r="FY211" s="64"/>
      <c r="FZ211" s="64"/>
      <c r="GA211" s="64"/>
      <c r="GB211" s="64"/>
      <c r="GC211" s="64"/>
      <c r="GD211" s="64"/>
      <c r="GE211" s="64"/>
      <c r="GF211" s="64"/>
      <c r="GG211" s="64"/>
      <c r="GH211" s="64"/>
      <c r="GI211" s="64"/>
      <c r="GJ211" s="64"/>
      <c r="GK211" s="64"/>
      <c r="GL211" s="64"/>
      <c r="GM211" s="64"/>
      <c r="GN211" s="64"/>
      <c r="GO211" s="64"/>
      <c r="GP211" s="64"/>
      <c r="GQ211" s="64"/>
      <c r="GR211" s="64"/>
      <c r="GS211" s="64"/>
      <c r="GT211" s="64"/>
      <c r="GU211" s="64"/>
      <c r="GV211" s="64"/>
      <c r="GW211" s="64"/>
      <c r="GX211" s="64"/>
      <c r="GY211" s="64"/>
      <c r="GZ211" s="64"/>
      <c r="HA211" s="64"/>
      <c r="HB211" s="64"/>
      <c r="HC211" s="64"/>
      <c r="HD211" s="64"/>
      <c r="HE211" s="64"/>
      <c r="HF211" s="64"/>
      <c r="HG211" s="64"/>
      <c r="HH211" s="64"/>
    </row>
    <row r="212" spans="1:216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127</v>
      </c>
      <c r="M212" s="11">
        <f>INDEX(cenník!$C$2:$I$568,MATCH($L212,cenník!$B$2:$B$557,0),MATCH(M$2,cenník!$C$1:$I$1,0))</f>
        <v>890111</v>
      </c>
      <c r="N212" s="11" t="str">
        <f>INDEX(cenník!$C$2:$I$568,MATCH($L212,cenník!$B$2:$B$557,0),MATCH(N$2,cenník!$C$1:$I$1,0))</f>
        <v>100ks</v>
      </c>
      <c r="O212" s="11">
        <f>ROUNDUP((O193*4)/100,0)</f>
        <v>0</v>
      </c>
      <c r="P212" s="36">
        <f>INDEX(cenník!$C$2:$I$568,MATCH($L212,cenník!$B$2:$B$557,0),MATCH(P$2,cenník!$C$1:$I$1,0))</f>
        <v>60.37</v>
      </c>
      <c r="Q212" s="36">
        <f t="shared" si="493"/>
        <v>0</v>
      </c>
      <c r="R212" s="37">
        <f t="shared" si="462"/>
        <v>0</v>
      </c>
      <c r="S212" s="36">
        <f t="shared" si="463"/>
        <v>60.37</v>
      </c>
      <c r="T212" s="36">
        <f t="shared" si="464"/>
        <v>0</v>
      </c>
      <c r="U212" s="36">
        <f>INDEX(cenník!$C$2:$I$568,MATCH($L212,cenník!$B$2:$B$557,0),MATCH(U$2,cenník!$C$1:$I$1,0))*O212</f>
        <v>0</v>
      </c>
      <c r="V212" s="64"/>
      <c r="W212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64">
        <f t="shared" si="495"/>
        <v>0</v>
      </c>
      <c r="AB212" s="64">
        <f t="shared" si="501"/>
        <v>0</v>
      </c>
      <c r="AC212" s="64">
        <f t="shared" si="496"/>
        <v>0</v>
      </c>
      <c r="AD212" s="64">
        <f t="shared" si="497"/>
        <v>0</v>
      </c>
      <c r="AE212" s="64">
        <f t="shared" si="498"/>
        <v>0</v>
      </c>
      <c r="AF212" s="64">
        <f t="shared" si="499"/>
        <v>0</v>
      </c>
      <c r="AG212" s="64">
        <f t="shared" si="500"/>
        <v>1</v>
      </c>
      <c r="AH212" s="64"/>
      <c r="AI212" s="64"/>
      <c r="AJ212" s="64"/>
      <c r="AK212" s="64"/>
      <c r="AL212" s="64"/>
      <c r="AM212" s="64"/>
      <c r="AN212" s="64"/>
      <c r="AO212" s="64"/>
      <c r="AP212" s="64"/>
      <c r="AQ212" s="64"/>
      <c r="AR212" s="64"/>
      <c r="AS212" s="64"/>
      <c r="AT212" s="64"/>
      <c r="AU212" s="64"/>
      <c r="AV212" s="64"/>
      <c r="AW212" s="64"/>
      <c r="AX212" s="64"/>
      <c r="AY212" s="64"/>
      <c r="AZ212" s="64"/>
      <c r="BA212" s="64"/>
      <c r="BB212" s="64"/>
      <c r="BC212" s="64"/>
      <c r="BD212" s="64"/>
      <c r="BE212" s="64"/>
      <c r="BF212" s="64"/>
      <c r="BG212" s="64"/>
      <c r="BH212" s="69" t="s">
        <v>67</v>
      </c>
      <c r="BI212" s="64">
        <v>0</v>
      </c>
      <c r="BJ212" s="64">
        <v>8</v>
      </c>
      <c r="BK212" s="64">
        <v>12</v>
      </c>
      <c r="BL212" s="64">
        <v>16</v>
      </c>
      <c r="BM212" s="64">
        <v>20</v>
      </c>
      <c r="BN212" s="64">
        <v>24</v>
      </c>
      <c r="BO212" s="64">
        <v>28</v>
      </c>
      <c r="BP212" s="64">
        <v>32</v>
      </c>
      <c r="BQ212" s="64">
        <v>36</v>
      </c>
      <c r="BR212" s="64">
        <v>40</v>
      </c>
      <c r="BS212" s="64">
        <v>44</v>
      </c>
      <c r="BT212" s="64">
        <v>48</v>
      </c>
      <c r="BU212" s="64">
        <v>52</v>
      </c>
      <c r="BV212" s="64"/>
      <c r="BW212" s="64" t="s">
        <v>71</v>
      </c>
      <c r="BX212" s="64">
        <v>0</v>
      </c>
      <c r="BY212" s="64">
        <v>8</v>
      </c>
      <c r="BZ212" s="64">
        <v>12</v>
      </c>
      <c r="CA212" s="64">
        <v>16</v>
      </c>
      <c r="CB212" s="64">
        <v>20</v>
      </c>
      <c r="CC212" s="64">
        <v>24</v>
      </c>
      <c r="CD212" s="64">
        <v>28</v>
      </c>
      <c r="CE212" s="64">
        <v>32</v>
      </c>
      <c r="CF212" s="64">
        <v>36</v>
      </c>
      <c r="CG212" s="64">
        <v>40</v>
      </c>
      <c r="CH212" s="64">
        <v>44</v>
      </c>
      <c r="CI212" s="64">
        <v>48</v>
      </c>
      <c r="CJ212" s="64">
        <v>52</v>
      </c>
      <c r="CK212" s="64"/>
      <c r="CL212" s="64"/>
      <c r="CM212" s="64"/>
      <c r="CN212" s="68" t="s">
        <v>351</v>
      </c>
      <c r="CO212" s="68">
        <v>0</v>
      </c>
      <c r="CP212" s="68">
        <v>8</v>
      </c>
      <c r="CQ212" s="68">
        <v>12</v>
      </c>
      <c r="CR212" s="68">
        <v>16</v>
      </c>
      <c r="CS212" s="68">
        <v>20</v>
      </c>
      <c r="CT212" s="68">
        <v>24</v>
      </c>
      <c r="CU212" s="68">
        <v>28</v>
      </c>
      <c r="CV212" s="68">
        <v>32</v>
      </c>
      <c r="CW212" s="68">
        <v>36</v>
      </c>
      <c r="CX212" s="68">
        <v>40</v>
      </c>
      <c r="CY212" s="68">
        <v>44</v>
      </c>
      <c r="CZ212" s="68">
        <v>48</v>
      </c>
      <c r="DA212" s="71">
        <v>52</v>
      </c>
      <c r="DB212" s="64"/>
      <c r="DC212" s="64"/>
      <c r="DD212" s="64"/>
      <c r="DE212" s="64"/>
      <c r="DF212" s="64"/>
      <c r="DG212" s="64"/>
      <c r="DH212" s="64"/>
      <c r="DI212" s="64"/>
      <c r="DJ212" s="64"/>
      <c r="DK212" s="64"/>
      <c r="DL212" s="64"/>
      <c r="DM212" s="64"/>
      <c r="DN212" s="64"/>
      <c r="DO212" s="64"/>
      <c r="DP212" s="64"/>
      <c r="DQ212" s="80"/>
      <c r="DR212" s="80"/>
      <c r="DS212" s="80"/>
      <c r="DT212" s="64"/>
      <c r="DU212" s="64"/>
      <c r="DV212" s="64"/>
      <c r="DW212" s="64"/>
      <c r="DX212" s="64"/>
      <c r="DY212" s="64"/>
      <c r="DZ212" s="64"/>
      <c r="EA212" s="64"/>
      <c r="EB212" s="64"/>
      <c r="EC212" s="64"/>
      <c r="ED212" s="64"/>
      <c r="EE212" s="64"/>
      <c r="EF212" s="64"/>
      <c r="EG212" s="64"/>
      <c r="EH212" s="64"/>
      <c r="EI212" s="64"/>
      <c r="EJ212" s="64"/>
      <c r="EK212" s="64"/>
      <c r="EL212" s="64"/>
      <c r="EM212" s="64"/>
      <c r="EN212" s="64"/>
      <c r="EO212" s="64"/>
      <c r="EP212" s="64"/>
      <c r="EQ212" s="64"/>
      <c r="ER212" s="64"/>
      <c r="ES212" s="64"/>
      <c r="ET212" s="64"/>
      <c r="EU212" s="64"/>
      <c r="EV212" s="64"/>
      <c r="EW212" s="64"/>
      <c r="EX212" s="64"/>
      <c r="EY212" s="64"/>
      <c r="EZ212" s="64"/>
      <c r="FA212" s="64"/>
      <c r="FB212" s="64"/>
      <c r="FC212" s="64"/>
      <c r="FD212" s="64"/>
      <c r="FE212" s="64"/>
      <c r="FF212" s="64"/>
      <c r="FG212" s="64"/>
      <c r="FH212" s="64"/>
      <c r="FI212" s="64"/>
      <c r="FJ212" s="64"/>
      <c r="FK212" s="64"/>
      <c r="FL212" s="64"/>
      <c r="FM212" s="64"/>
      <c r="FN212" s="64"/>
      <c r="FO212" s="64"/>
      <c r="FP212" s="64"/>
      <c r="FQ212" s="64"/>
      <c r="FR212" s="64"/>
      <c r="FS212" s="64"/>
      <c r="FT212" s="64"/>
      <c r="FU212" s="64"/>
      <c r="FV212" s="64"/>
      <c r="FW212" s="64"/>
      <c r="FX212" s="64"/>
      <c r="FY212" s="64"/>
      <c r="FZ212" s="64"/>
      <c r="GA212" s="64"/>
      <c r="GB212" s="64"/>
      <c r="GC212" s="64"/>
      <c r="GD212" s="64"/>
      <c r="GE212" s="64"/>
      <c r="GF212" s="64"/>
      <c r="GG212" s="64"/>
      <c r="GH212" s="64"/>
      <c r="GI212" s="64"/>
      <c r="GJ212" s="64"/>
      <c r="GK212" s="64"/>
      <c r="GL212" s="64"/>
      <c r="GM212" s="64"/>
      <c r="GN212" s="64"/>
      <c r="GO212" s="64"/>
      <c r="GP212" s="64"/>
      <c r="GQ212" s="64"/>
      <c r="GR212" s="64"/>
      <c r="GS212" s="64"/>
      <c r="GT212" s="64"/>
      <c r="GU212" s="64"/>
      <c r="GV212" s="64"/>
      <c r="GW212" s="64"/>
      <c r="GX212" s="64"/>
      <c r="GY212" s="64"/>
      <c r="GZ212" s="64"/>
      <c r="HA212" s="64"/>
      <c r="HB212" s="64"/>
      <c r="HC212" s="64"/>
      <c r="HD212" s="64"/>
      <c r="HE212" s="64"/>
      <c r="HF212" s="64"/>
      <c r="HG212" s="64"/>
      <c r="HH212" s="64"/>
    </row>
    <row r="213" spans="1:216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514</v>
      </c>
      <c r="M213" s="11"/>
      <c r="N213" s="11"/>
      <c r="O213" s="11"/>
      <c r="P213" s="36"/>
      <c r="Q213" s="36"/>
      <c r="R213" s="37"/>
      <c r="S213" s="36"/>
      <c r="T213" s="36"/>
      <c r="U213" s="36"/>
      <c r="V213" s="64"/>
      <c r="W213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64">
        <f t="shared" si="495"/>
        <v>0</v>
      </c>
      <c r="AB213" s="64">
        <f t="shared" si="501"/>
        <v>0</v>
      </c>
      <c r="AC213" s="64">
        <f t="shared" si="496"/>
        <v>0</v>
      </c>
      <c r="AD213" s="64">
        <f t="shared" si="497"/>
        <v>0</v>
      </c>
      <c r="AE213" s="64">
        <f t="shared" si="498"/>
        <v>0</v>
      </c>
      <c r="AF213" s="64">
        <f t="shared" si="499"/>
        <v>0</v>
      </c>
      <c r="AG213" s="64">
        <f t="shared" si="500"/>
        <v>1</v>
      </c>
      <c r="AH213" s="64"/>
      <c r="AI213" s="64"/>
      <c r="AJ213" s="64"/>
      <c r="AK213" s="64"/>
      <c r="AL213" s="64"/>
      <c r="AM213" s="64"/>
      <c r="AN213" s="64"/>
      <c r="AO213" s="64"/>
      <c r="AP213" s="64"/>
      <c r="AQ213" s="64"/>
      <c r="AR213" s="64" t="s">
        <v>332</v>
      </c>
      <c r="AS213" s="64"/>
      <c r="AT213" s="64"/>
      <c r="AU213" s="64"/>
      <c r="AV213" s="64"/>
      <c r="AW213" s="64"/>
      <c r="AX213" s="64"/>
      <c r="AY213" s="64"/>
      <c r="AZ213" s="64"/>
      <c r="BA213" s="64"/>
      <c r="BB213" s="64"/>
      <c r="BC213" s="64"/>
      <c r="BD213" s="64"/>
      <c r="BE213" s="64"/>
      <c r="BF213" s="64"/>
      <c r="BG213" s="64"/>
      <c r="BH213" s="69" t="s">
        <v>286</v>
      </c>
      <c r="BI213" s="64">
        <v>0</v>
      </c>
      <c r="BJ213" s="64">
        <v>0</v>
      </c>
      <c r="BK213" s="64">
        <v>0</v>
      </c>
      <c r="BL213" s="64">
        <v>0</v>
      </c>
      <c r="BM213" s="64">
        <v>0</v>
      </c>
      <c r="BN213" s="64">
        <v>0</v>
      </c>
      <c r="BO213" s="64">
        <v>0</v>
      </c>
      <c r="BP213" s="64">
        <v>0</v>
      </c>
      <c r="BQ213" s="64">
        <v>0</v>
      </c>
      <c r="BR213" s="64">
        <v>0</v>
      </c>
      <c r="BS213" s="64">
        <v>0</v>
      </c>
      <c r="BT213" s="64">
        <v>0</v>
      </c>
      <c r="BU213" s="64">
        <v>0</v>
      </c>
      <c r="BV213" s="64"/>
      <c r="BW213" s="64" t="s">
        <v>286</v>
      </c>
      <c r="BX213" s="64">
        <v>0</v>
      </c>
      <c r="BY213" s="64">
        <v>0</v>
      </c>
      <c r="BZ213" s="64">
        <v>0</v>
      </c>
      <c r="CA213" s="64">
        <v>0</v>
      </c>
      <c r="CB213" s="64">
        <v>0</v>
      </c>
      <c r="CC213" s="64">
        <v>0</v>
      </c>
      <c r="CD213" s="64">
        <v>0</v>
      </c>
      <c r="CE213" s="64">
        <v>0</v>
      </c>
      <c r="CF213" s="64">
        <v>0</v>
      </c>
      <c r="CG213" s="64">
        <v>0</v>
      </c>
      <c r="CH213" s="64">
        <v>0</v>
      </c>
      <c r="CI213" s="64">
        <v>0</v>
      </c>
      <c r="CJ213" s="64">
        <v>0</v>
      </c>
      <c r="CK213" s="64"/>
      <c r="CL213" s="64"/>
      <c r="CM213" s="64"/>
      <c r="CN213" s="68" t="s">
        <v>286</v>
      </c>
      <c r="CO213" s="68">
        <v>0</v>
      </c>
      <c r="CP213" s="68">
        <v>5</v>
      </c>
      <c r="CQ213" s="68">
        <v>0</v>
      </c>
      <c r="CR213" s="68">
        <v>0</v>
      </c>
      <c r="CS213" s="68">
        <v>0</v>
      </c>
      <c r="CT213" s="68">
        <v>0</v>
      </c>
      <c r="CU213" s="68">
        <v>0</v>
      </c>
      <c r="CV213" s="68">
        <v>0</v>
      </c>
      <c r="CW213" s="68">
        <v>0</v>
      </c>
      <c r="CX213" s="68">
        <v>0</v>
      </c>
      <c r="CY213" s="68">
        <v>0</v>
      </c>
      <c r="CZ213" s="68">
        <v>0</v>
      </c>
      <c r="DA213" s="71">
        <v>0</v>
      </c>
      <c r="DB213" s="64"/>
      <c r="DC213" s="64"/>
      <c r="DD213" s="64"/>
      <c r="DE213" s="64"/>
      <c r="DF213" s="64"/>
      <c r="DG213" s="64"/>
      <c r="DH213" s="64"/>
      <c r="DI213" s="64"/>
      <c r="DJ213" s="64"/>
      <c r="DK213" s="64"/>
      <c r="DL213" s="64"/>
      <c r="DM213" s="64"/>
      <c r="DN213" s="64"/>
      <c r="DO213" s="64"/>
      <c r="DP213" s="64"/>
      <c r="DQ213" s="80"/>
      <c r="DR213" s="80"/>
      <c r="DS213" s="80"/>
      <c r="DT213" s="64"/>
      <c r="DU213" s="64"/>
      <c r="DV213" s="64"/>
      <c r="DW213" s="64"/>
      <c r="DX213" s="64"/>
      <c r="DY213" s="64"/>
      <c r="DZ213" s="64"/>
      <c r="EA213" s="64"/>
      <c r="EB213" s="64"/>
      <c r="EC213" s="64"/>
      <c r="ED213" s="64"/>
      <c r="EE213" s="64"/>
      <c r="EF213" s="64"/>
      <c r="EG213" s="64"/>
      <c r="EH213" s="64"/>
      <c r="EI213" s="64"/>
      <c r="EJ213" s="64"/>
      <c r="EK213" s="64"/>
      <c r="EL213" s="64"/>
      <c r="EM213" s="64"/>
      <c r="EN213" s="64"/>
      <c r="EO213" s="64"/>
      <c r="EP213" s="64"/>
      <c r="EQ213" s="64"/>
      <c r="ER213" s="64"/>
      <c r="ES213" s="64"/>
      <c r="ET213" s="64"/>
      <c r="EU213" s="64"/>
      <c r="EV213" s="64"/>
      <c r="EW213" s="64"/>
      <c r="EX213" s="64"/>
      <c r="EY213" s="64"/>
      <c r="EZ213" s="64"/>
      <c r="FA213" s="64"/>
      <c r="FB213" s="64"/>
      <c r="FC213" s="64"/>
      <c r="FD213" s="64"/>
      <c r="FE213" s="64"/>
      <c r="FF213" s="64"/>
      <c r="FG213" s="64"/>
      <c r="FH213" s="64"/>
      <c r="FI213" s="64"/>
      <c r="FJ213" s="64"/>
      <c r="FK213" s="64"/>
      <c r="FL213" s="64"/>
      <c r="FM213" s="64"/>
      <c r="FN213" s="64"/>
      <c r="FO213" s="64"/>
      <c r="FP213" s="64"/>
      <c r="FQ213" s="64"/>
      <c r="FR213" s="64"/>
      <c r="FS213" s="64"/>
      <c r="FT213" s="64"/>
      <c r="FU213" s="64"/>
      <c r="FV213" s="64"/>
      <c r="FW213" s="64"/>
      <c r="FX213" s="64"/>
      <c r="FY213" s="64"/>
      <c r="FZ213" s="64"/>
      <c r="GA213" s="64"/>
      <c r="GB213" s="64"/>
      <c r="GC213" s="64"/>
      <c r="GD213" s="64"/>
      <c r="GE213" s="64"/>
      <c r="GF213" s="64"/>
      <c r="GG213" s="64"/>
      <c r="GH213" s="64"/>
      <c r="GI213" s="64"/>
      <c r="GJ213" s="64"/>
      <c r="GK213" s="64"/>
      <c r="GL213" s="64"/>
      <c r="GM213" s="64"/>
      <c r="GN213" s="64"/>
      <c r="GO213" s="64"/>
      <c r="GP213" s="64"/>
      <c r="GQ213" s="64"/>
      <c r="GR213" s="64"/>
      <c r="GS213" s="64"/>
      <c r="GT213" s="64"/>
      <c r="GU213" s="64"/>
      <c r="GV213" s="64"/>
      <c r="GW213" s="64"/>
      <c r="GX213" s="64"/>
      <c r="GY213" s="64"/>
      <c r="GZ213" s="64"/>
      <c r="HA213" s="64"/>
      <c r="HB213" s="64"/>
      <c r="HC213" s="64"/>
      <c r="HD213" s="64"/>
      <c r="HE213" s="64"/>
      <c r="HF213" s="64"/>
      <c r="HG213" s="64"/>
      <c r="HH213" s="64"/>
    </row>
    <row r="214" spans="1:216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247</v>
      </c>
      <c r="M214" s="11">
        <f>INDEX(cenník!$C$2:$I$568,MATCH($L214,cenník!$B$2:$B$557,0),MATCH(M$2,cenník!$C$1:$I$1,0))</f>
        <v>867832</v>
      </c>
      <c r="N214" s="11" t="str">
        <f>INDEX(cenník!$C$2:$I$568,MATCH($L214,cenník!$B$2:$B$557,0),MATCH(N$2,cenník!$C$1:$I$1,0))</f>
        <v>ks</v>
      </c>
      <c r="O214" s="11">
        <f>E196*2</f>
        <v>0</v>
      </c>
      <c r="P214" s="36">
        <f>INDEX(cenník!$C$2:$I$568,MATCH($L214,cenník!$B$2:$B$557,0),MATCH(P$2,cenník!$C$1:$I$1,0))</f>
        <v>56</v>
      </c>
      <c r="Q214" s="36">
        <f>O214*P214</f>
        <v>0</v>
      </c>
      <c r="R214" s="37">
        <f>$E$7</f>
        <v>0</v>
      </c>
      <c r="S214" s="36">
        <f>P214*((100-$E$197)/100)</f>
        <v>56</v>
      </c>
      <c r="T214" s="36">
        <f>O214*S214</f>
        <v>0</v>
      </c>
      <c r="U214" s="36">
        <f>INDEX(cenník!$C$2:$I$568,MATCH($L214,cenník!$B$2:$B$557,0),MATCH(U$2,cenník!$C$1:$I$1,0))*O214</f>
        <v>0</v>
      </c>
      <c r="V214" s="64"/>
      <c r="W214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64">
        <f t="shared" si="495"/>
        <v>0</v>
      </c>
      <c r="AB214" s="64">
        <f t="shared" si="501"/>
        <v>0</v>
      </c>
      <c r="AC214" s="64">
        <f t="shared" si="496"/>
        <v>0</v>
      </c>
      <c r="AD214" s="64">
        <f t="shared" si="497"/>
        <v>0</v>
      </c>
      <c r="AE214" s="64">
        <f t="shared" si="498"/>
        <v>0</v>
      </c>
      <c r="AF214" s="64">
        <f t="shared" si="499"/>
        <v>0</v>
      </c>
      <c r="AG214" s="64">
        <f t="shared" si="500"/>
        <v>1</v>
      </c>
      <c r="AH214" s="64"/>
      <c r="AI214" s="64"/>
      <c r="AJ214" s="64"/>
      <c r="AK214" s="64"/>
      <c r="AL214" s="64"/>
      <c r="AM214" s="64"/>
      <c r="AN214" s="64"/>
      <c r="AO214" s="64"/>
      <c r="AP214" s="64"/>
      <c r="AQ214" s="64"/>
      <c r="AR214" s="64"/>
      <c r="AS214" s="64" t="s">
        <v>515</v>
      </c>
      <c r="AT214" s="64" t="s">
        <v>516</v>
      </c>
      <c r="AU214" s="64" t="s">
        <v>483</v>
      </c>
      <c r="AV214" s="64" t="s">
        <v>517</v>
      </c>
      <c r="AW214" s="64"/>
      <c r="AX214" s="64"/>
      <c r="AY214" s="64"/>
      <c r="AZ214" s="64"/>
      <c r="BA214" s="64"/>
      <c r="BB214" s="64"/>
      <c r="BC214" s="64"/>
      <c r="BD214" s="64"/>
      <c r="BE214" s="64"/>
      <c r="BF214" s="64"/>
      <c r="BG214" s="64"/>
      <c r="BH214" s="69" t="s">
        <v>240</v>
      </c>
      <c r="BI214" s="64">
        <v>0</v>
      </c>
      <c r="BJ214" s="64">
        <v>5</v>
      </c>
      <c r="BK214" s="64">
        <v>0</v>
      </c>
      <c r="BL214" s="64">
        <v>5</v>
      </c>
      <c r="BM214" s="64">
        <v>0</v>
      </c>
      <c r="BN214" s="64">
        <v>5</v>
      </c>
      <c r="BO214" s="64">
        <v>15</v>
      </c>
      <c r="BP214" s="64">
        <v>10</v>
      </c>
      <c r="BQ214" s="64">
        <v>15</v>
      </c>
      <c r="BR214" s="64">
        <v>10</v>
      </c>
      <c r="BS214" s="64">
        <v>15</v>
      </c>
      <c r="BT214" s="64">
        <v>25</v>
      </c>
      <c r="BU214" s="64">
        <v>20</v>
      </c>
      <c r="BV214" s="64"/>
      <c r="BW214" s="64" t="s">
        <v>240</v>
      </c>
      <c r="BX214" s="64">
        <v>0</v>
      </c>
      <c r="BY214" s="64">
        <v>5</v>
      </c>
      <c r="BZ214" s="64">
        <v>0</v>
      </c>
      <c r="CA214" s="64">
        <v>10</v>
      </c>
      <c r="CB214" s="64">
        <v>5</v>
      </c>
      <c r="CC214" s="64">
        <v>15</v>
      </c>
      <c r="CD214" s="64">
        <v>10</v>
      </c>
      <c r="CE214" s="64">
        <v>20</v>
      </c>
      <c r="CF214" s="64">
        <v>15</v>
      </c>
      <c r="CG214" s="64">
        <v>25</v>
      </c>
      <c r="CH214" s="64">
        <v>20</v>
      </c>
      <c r="CI214" s="64">
        <v>25</v>
      </c>
      <c r="CJ214" s="64">
        <v>20</v>
      </c>
      <c r="CK214" s="64"/>
      <c r="CL214" s="64"/>
      <c r="CM214" s="64"/>
      <c r="CN214" s="68" t="s">
        <v>240</v>
      </c>
      <c r="CO214" s="68">
        <v>0</v>
      </c>
      <c r="CP214" s="68">
        <v>0</v>
      </c>
      <c r="CQ214" s="68">
        <v>5</v>
      </c>
      <c r="CR214" s="68">
        <v>0</v>
      </c>
      <c r="CS214" s="68">
        <v>10</v>
      </c>
      <c r="CT214" s="68">
        <v>10</v>
      </c>
      <c r="CU214" s="68">
        <v>20</v>
      </c>
      <c r="CV214" s="68">
        <v>15</v>
      </c>
      <c r="CW214" s="68">
        <v>25</v>
      </c>
      <c r="CX214" s="68">
        <v>20</v>
      </c>
      <c r="CY214" s="68">
        <v>20</v>
      </c>
      <c r="CZ214" s="68">
        <v>30</v>
      </c>
      <c r="DA214" s="71">
        <v>25</v>
      </c>
      <c r="DB214" s="64"/>
      <c r="DC214" s="64"/>
      <c r="DD214" s="64"/>
      <c r="DE214" s="64"/>
      <c r="DF214" s="64"/>
      <c r="DG214" s="64"/>
      <c r="DH214" s="64"/>
      <c r="DI214" s="64"/>
      <c r="DJ214" s="64"/>
      <c r="DK214" s="64"/>
      <c r="DL214" s="64"/>
      <c r="DM214" s="64"/>
      <c r="DN214" s="64"/>
      <c r="DO214" s="64"/>
      <c r="DP214" s="64"/>
      <c r="DQ214" s="80"/>
      <c r="DR214" s="80"/>
      <c r="DS214" s="80"/>
      <c r="DT214" s="64"/>
      <c r="DU214" s="64"/>
      <c r="DV214" s="64"/>
      <c r="DW214" s="64"/>
      <c r="DX214" s="64"/>
      <c r="DY214" s="64"/>
      <c r="DZ214" s="64"/>
      <c r="EA214" s="64"/>
      <c r="EB214" s="64"/>
      <c r="EC214" s="64"/>
      <c r="ED214" s="64"/>
      <c r="EE214" s="64"/>
      <c r="EF214" s="64"/>
      <c r="EG214" s="64"/>
      <c r="EH214" s="64"/>
      <c r="EI214" s="64"/>
      <c r="EJ214" s="64"/>
      <c r="EK214" s="64"/>
      <c r="EL214" s="64"/>
      <c r="EM214" s="64"/>
      <c r="EN214" s="64"/>
      <c r="EO214" s="64"/>
      <c r="EP214" s="64"/>
      <c r="EQ214" s="64"/>
      <c r="ER214" s="64"/>
      <c r="ES214" s="64"/>
      <c r="ET214" s="64"/>
      <c r="EU214" s="64"/>
      <c r="EV214" s="64"/>
      <c r="EW214" s="64"/>
      <c r="EX214" s="64"/>
      <c r="EY214" s="64"/>
      <c r="EZ214" s="64"/>
      <c r="FA214" s="64"/>
      <c r="FB214" s="64"/>
      <c r="FC214" s="64"/>
      <c r="FD214" s="64"/>
      <c r="FE214" s="64"/>
      <c r="FF214" s="64"/>
      <c r="FG214" s="64"/>
      <c r="FH214" s="64"/>
      <c r="FI214" s="64"/>
      <c r="FJ214" s="64"/>
      <c r="FK214" s="64"/>
      <c r="FL214" s="64"/>
      <c r="FM214" s="64"/>
      <c r="FN214" s="64"/>
      <c r="FO214" s="64"/>
      <c r="FP214" s="64"/>
      <c r="FQ214" s="64"/>
      <c r="FR214" s="64"/>
      <c r="FS214" s="64"/>
      <c r="FT214" s="64"/>
      <c r="FU214" s="64"/>
      <c r="FV214" s="64"/>
      <c r="FW214" s="64"/>
      <c r="FX214" s="64"/>
      <c r="FY214" s="64"/>
      <c r="FZ214" s="64"/>
      <c r="GA214" s="64"/>
      <c r="GB214" s="64"/>
      <c r="GC214" s="64"/>
      <c r="GD214" s="64"/>
      <c r="GE214" s="64"/>
      <c r="GF214" s="64"/>
      <c r="GG214" s="64"/>
      <c r="GH214" s="64"/>
      <c r="GI214" s="64"/>
      <c r="GJ214" s="64"/>
      <c r="GK214" s="64"/>
      <c r="GL214" s="64"/>
      <c r="GM214" s="64"/>
      <c r="GN214" s="64"/>
      <c r="GO214" s="64"/>
      <c r="GP214" s="64"/>
      <c r="GQ214" s="64"/>
      <c r="GR214" s="64"/>
      <c r="GS214" s="64"/>
      <c r="GT214" s="64"/>
      <c r="GU214" s="64"/>
      <c r="GV214" s="64"/>
      <c r="GW214" s="64"/>
      <c r="GX214" s="64"/>
      <c r="GY214" s="64"/>
      <c r="GZ214" s="64"/>
      <c r="HA214" s="64"/>
      <c r="HB214" s="64"/>
      <c r="HC214" s="64"/>
      <c r="HD214" s="64"/>
      <c r="HE214" s="64"/>
      <c r="HF214" s="64"/>
      <c r="HG214" s="64"/>
      <c r="HH214" s="64"/>
    </row>
    <row r="215" spans="1:216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6"/>
      <c r="Q215" s="36"/>
      <c r="R215" s="36"/>
      <c r="S215" s="36"/>
      <c r="T215" s="36" t="e">
        <f>SUM(T193:T214)</f>
        <v>#N/A</v>
      </c>
      <c r="U215" s="36" t="e">
        <f>SUM(U193:U214)</f>
        <v>#N/A</v>
      </c>
      <c r="V215" s="64"/>
      <c r="W215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64">
        <f t="shared" si="495"/>
        <v>0</v>
      </c>
      <c r="AB215" s="64">
        <f t="shared" si="501"/>
        <v>0</v>
      </c>
      <c r="AC215" s="64">
        <f t="shared" si="496"/>
        <v>0</v>
      </c>
      <c r="AD215" s="64">
        <f t="shared" si="497"/>
        <v>0</v>
      </c>
      <c r="AE215" s="64">
        <f t="shared" si="498"/>
        <v>0</v>
      </c>
      <c r="AF215" s="64">
        <f t="shared" si="499"/>
        <v>0</v>
      </c>
      <c r="AG215" s="64">
        <f t="shared" si="500"/>
        <v>1</v>
      </c>
      <c r="AH215" s="64"/>
      <c r="AI215" s="64"/>
      <c r="AJ215" s="64"/>
      <c r="AK215" s="64"/>
      <c r="AL215" s="64"/>
      <c r="AM215" s="64"/>
      <c r="AN215" s="64"/>
      <c r="AO215" s="64"/>
      <c r="AP215" s="64"/>
      <c r="AQ215" s="64"/>
      <c r="AR215" s="64" t="s">
        <v>59</v>
      </c>
      <c r="AS215" s="64" t="s">
        <v>295</v>
      </c>
      <c r="AT215" s="64" t="s">
        <v>294</v>
      </c>
      <c r="AU215" s="64" t="s">
        <v>292</v>
      </c>
      <c r="AV215" s="64" t="s">
        <v>292</v>
      </c>
      <c r="AW215" s="64"/>
      <c r="AX215" s="64"/>
      <c r="AY215" s="64"/>
      <c r="AZ215" s="64"/>
      <c r="BA215" s="64"/>
      <c r="BB215" s="64"/>
      <c r="BC215" s="64"/>
      <c r="BD215" s="64"/>
      <c r="BE215" s="64"/>
      <c r="BF215" s="64"/>
      <c r="BG215" s="64"/>
      <c r="BH215" s="69" t="s">
        <v>241</v>
      </c>
      <c r="BI215" s="64">
        <v>0</v>
      </c>
      <c r="BJ215" s="64">
        <v>0</v>
      </c>
      <c r="BK215" s="64">
        <v>10</v>
      </c>
      <c r="BL215" s="64">
        <v>5</v>
      </c>
      <c r="BM215" s="64">
        <v>15</v>
      </c>
      <c r="BN215" s="64">
        <v>10</v>
      </c>
      <c r="BO215" s="64">
        <v>0</v>
      </c>
      <c r="BP215" s="64">
        <v>10</v>
      </c>
      <c r="BQ215" s="64">
        <v>5</v>
      </c>
      <c r="BR215" s="64">
        <v>15</v>
      </c>
      <c r="BS215" s="64">
        <v>10</v>
      </c>
      <c r="BT215" s="64">
        <v>0</v>
      </c>
      <c r="BU215" s="64">
        <v>10</v>
      </c>
      <c r="BV215" s="64"/>
      <c r="BW215" s="64" t="s">
        <v>241</v>
      </c>
      <c r="BX215" s="64">
        <v>0</v>
      </c>
      <c r="BY215" s="64">
        <v>0</v>
      </c>
      <c r="BZ215" s="64">
        <v>10</v>
      </c>
      <c r="CA215" s="64">
        <v>0</v>
      </c>
      <c r="CB215" s="64">
        <v>10</v>
      </c>
      <c r="CC215" s="64">
        <v>0</v>
      </c>
      <c r="CD215" s="64">
        <v>10</v>
      </c>
      <c r="CE215" s="64">
        <v>0</v>
      </c>
      <c r="CF215" s="64">
        <v>10</v>
      </c>
      <c r="CG215" s="64">
        <v>0</v>
      </c>
      <c r="CH215" s="64">
        <v>10</v>
      </c>
      <c r="CI215" s="64">
        <v>5</v>
      </c>
      <c r="CJ215" s="64">
        <v>15</v>
      </c>
      <c r="CK215" s="64"/>
      <c r="CL215" s="64"/>
      <c r="CM215" s="64"/>
      <c r="CN215" s="68" t="s">
        <v>241</v>
      </c>
      <c r="CO215" s="68">
        <v>0</v>
      </c>
      <c r="CP215" s="68">
        <v>0</v>
      </c>
      <c r="CQ215" s="68">
        <v>5</v>
      </c>
      <c r="CR215" s="68">
        <v>15</v>
      </c>
      <c r="CS215" s="68">
        <v>5</v>
      </c>
      <c r="CT215" s="68">
        <v>10</v>
      </c>
      <c r="CU215" s="68">
        <v>0</v>
      </c>
      <c r="CV215" s="68">
        <v>10</v>
      </c>
      <c r="CW215" s="68">
        <v>0</v>
      </c>
      <c r="CX215" s="68">
        <v>10</v>
      </c>
      <c r="CY215" s="68">
        <v>15</v>
      </c>
      <c r="CZ215" s="68">
        <v>5</v>
      </c>
      <c r="DA215" s="71">
        <v>15</v>
      </c>
      <c r="DB215" s="64"/>
      <c r="DC215" s="64"/>
      <c r="DD215" s="64"/>
      <c r="DE215" s="64"/>
      <c r="DF215" s="64"/>
      <c r="DG215" s="64"/>
      <c r="DH215" s="64"/>
      <c r="DI215" s="64"/>
      <c r="DJ215" s="64"/>
      <c r="DK215" s="64"/>
      <c r="DL215" s="64"/>
      <c r="DM215" s="64"/>
      <c r="DN215" s="64"/>
      <c r="DO215" s="64"/>
      <c r="DP215" s="64"/>
      <c r="DQ215" s="80"/>
      <c r="DR215" s="80"/>
      <c r="DS215" s="80"/>
      <c r="DT215" s="64"/>
      <c r="DU215" s="64"/>
      <c r="DV215" s="64"/>
      <c r="DW215" s="64"/>
      <c r="DX215" s="64"/>
      <c r="DY215" s="64"/>
      <c r="DZ215" s="64"/>
      <c r="EA215" s="64"/>
      <c r="EB215" s="64"/>
      <c r="EC215" s="64"/>
      <c r="ED215" s="64"/>
      <c r="EE215" s="64"/>
      <c r="EF215" s="64"/>
      <c r="EG215" s="64"/>
      <c r="EH215" s="64"/>
      <c r="EI215" s="64"/>
      <c r="EJ215" s="64"/>
      <c r="EK215" s="64"/>
      <c r="EL215" s="64"/>
      <c r="EM215" s="64"/>
      <c r="EN215" s="64"/>
      <c r="EO215" s="64"/>
      <c r="EP215" s="64"/>
      <c r="EQ215" s="64"/>
      <c r="ER215" s="64"/>
      <c r="ES215" s="64"/>
      <c r="ET215" s="64"/>
      <c r="EU215" s="64"/>
      <c r="EV215" s="64"/>
      <c r="EW215" s="64"/>
      <c r="EX215" s="64"/>
      <c r="EY215" s="64"/>
      <c r="EZ215" s="64"/>
      <c r="FA215" s="64"/>
      <c r="FB215" s="64"/>
      <c r="FC215" s="64"/>
      <c r="FD215" s="64"/>
      <c r="FE215" s="64"/>
      <c r="FF215" s="64"/>
      <c r="FG215" s="64"/>
      <c r="FH215" s="64"/>
      <c r="FI215" s="64"/>
      <c r="FJ215" s="64"/>
      <c r="FK215" s="64"/>
      <c r="FL215" s="64"/>
      <c r="FM215" s="64"/>
      <c r="FN215" s="64"/>
      <c r="FO215" s="64"/>
      <c r="FP215" s="64"/>
      <c r="FQ215" s="64"/>
      <c r="FR215" s="64"/>
      <c r="FS215" s="64"/>
      <c r="FT215" s="64"/>
      <c r="FU215" s="64"/>
      <c r="FV215" s="64"/>
      <c r="FW215" s="64"/>
      <c r="FX215" s="64"/>
      <c r="FY215" s="64"/>
      <c r="FZ215" s="64"/>
      <c r="GA215" s="64"/>
      <c r="GB215" s="64"/>
      <c r="GC215" s="64"/>
      <c r="GD215" s="64"/>
      <c r="GE215" s="64"/>
      <c r="GF215" s="64"/>
      <c r="GG215" s="64"/>
      <c r="GH215" s="64"/>
      <c r="GI215" s="64"/>
      <c r="GJ215" s="64"/>
      <c r="GK215" s="64"/>
      <c r="GL215" s="64"/>
      <c r="GM215" s="64"/>
      <c r="GN215" s="64"/>
      <c r="GO215" s="64"/>
      <c r="GP215" s="64"/>
      <c r="GQ215" s="64"/>
      <c r="GR215" s="64"/>
      <c r="GS215" s="64"/>
      <c r="GT215" s="64"/>
      <c r="GU215" s="64"/>
      <c r="GV215" s="64"/>
      <c r="GW215" s="64"/>
      <c r="GX215" s="64"/>
      <c r="GY215" s="64"/>
      <c r="GZ215" s="64"/>
      <c r="HA215" s="64"/>
      <c r="HB215" s="64"/>
      <c r="HC215" s="64"/>
      <c r="HD215" s="64"/>
      <c r="HE215" s="64"/>
      <c r="HF215" s="64"/>
      <c r="HG215" s="64"/>
      <c r="HH215" s="64"/>
    </row>
    <row r="216" spans="1:216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3"/>
      <c r="N216" s="23"/>
      <c r="O216" s="23"/>
      <c r="P216" s="23"/>
      <c r="Q216" s="23"/>
      <c r="R216" s="23"/>
      <c r="S216" s="23"/>
      <c r="T216" s="23"/>
      <c r="U216" s="23"/>
      <c r="V216" s="64"/>
      <c r="W216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64">
        <f t="shared" si="495"/>
        <v>0</v>
      </c>
      <c r="AB216" s="64">
        <f t="shared" si="501"/>
        <v>0</v>
      </c>
      <c r="AC216" s="64">
        <f t="shared" si="496"/>
        <v>0</v>
      </c>
      <c r="AD216" s="64">
        <f t="shared" si="497"/>
        <v>0</v>
      </c>
      <c r="AE216" s="64">
        <f t="shared" si="498"/>
        <v>0</v>
      </c>
      <c r="AF216" s="64">
        <f t="shared" si="499"/>
        <v>0</v>
      </c>
      <c r="AG216" s="64">
        <f t="shared" si="500"/>
        <v>1</v>
      </c>
      <c r="AH216" s="64"/>
      <c r="AI216" s="64"/>
      <c r="AJ216" s="64"/>
      <c r="AK216" s="64"/>
      <c r="AL216" s="64"/>
      <c r="AM216" s="64"/>
      <c r="AN216" s="64"/>
      <c r="AO216" s="64"/>
      <c r="AP216" s="64"/>
      <c r="AQ216" s="64"/>
      <c r="AR216" s="64" t="s">
        <v>60</v>
      </c>
      <c r="AS216" s="64" t="s">
        <v>295</v>
      </c>
      <c r="AT216" s="64" t="s">
        <v>294</v>
      </c>
      <c r="AU216" s="64" t="s">
        <v>292</v>
      </c>
      <c r="AV216" s="64" t="s">
        <v>292</v>
      </c>
      <c r="AW216" s="64"/>
      <c r="AX216" s="64"/>
      <c r="AY216" s="64"/>
      <c r="AZ216" s="64"/>
      <c r="BA216" s="64"/>
      <c r="BB216" s="64"/>
      <c r="BC216" s="64"/>
      <c r="BD216" s="64"/>
      <c r="BE216" s="64"/>
      <c r="BF216" s="64"/>
      <c r="BG216" s="64"/>
      <c r="BH216" s="72" t="s">
        <v>364</v>
      </c>
      <c r="BI216" s="64">
        <v>0</v>
      </c>
      <c r="BJ216" s="64">
        <v>0</v>
      </c>
      <c r="BK216" s="64">
        <v>5</v>
      </c>
      <c r="BL216" s="64">
        <v>5</v>
      </c>
      <c r="BM216" s="64">
        <v>10</v>
      </c>
      <c r="BN216" s="64">
        <v>10</v>
      </c>
      <c r="BO216" s="64">
        <v>10</v>
      </c>
      <c r="BP216" s="64">
        <v>15</v>
      </c>
      <c r="BQ216" s="64">
        <v>15</v>
      </c>
      <c r="BR216" s="64">
        <v>20</v>
      </c>
      <c r="BS216" s="64">
        <v>20</v>
      </c>
      <c r="BT216" s="64">
        <v>20</v>
      </c>
      <c r="BU216" s="64">
        <v>25</v>
      </c>
      <c r="BV216" s="64"/>
      <c r="BW216" s="72" t="s">
        <v>364</v>
      </c>
      <c r="BX216" s="64">
        <v>0</v>
      </c>
      <c r="BY216" s="64">
        <v>0</v>
      </c>
      <c r="BZ216" s="64">
        <v>5</v>
      </c>
      <c r="CA216" s="64">
        <v>5</v>
      </c>
      <c r="CB216" s="64">
        <v>10</v>
      </c>
      <c r="CC216" s="64">
        <v>10</v>
      </c>
      <c r="CD216" s="64">
        <v>15</v>
      </c>
      <c r="CE216" s="64">
        <v>15</v>
      </c>
      <c r="CF216" s="64">
        <v>20</v>
      </c>
      <c r="CG216" s="64">
        <v>20</v>
      </c>
      <c r="CH216" s="64">
        <v>25</v>
      </c>
      <c r="CI216" s="64">
        <v>25</v>
      </c>
      <c r="CJ216" s="64">
        <v>30</v>
      </c>
      <c r="CK216" s="64"/>
      <c r="CL216" s="64"/>
      <c r="CM216" s="64"/>
      <c r="CN216" s="72" t="s">
        <v>364</v>
      </c>
      <c r="CO216" s="68">
        <v>0</v>
      </c>
      <c r="CP216" s="68">
        <v>0</v>
      </c>
      <c r="CQ216" s="68">
        <v>5</v>
      </c>
      <c r="CR216" s="68">
        <v>10</v>
      </c>
      <c r="CS216" s="68">
        <v>10</v>
      </c>
      <c r="CT216" s="68">
        <v>15</v>
      </c>
      <c r="CU216" s="68">
        <v>15</v>
      </c>
      <c r="CV216" s="68">
        <v>20</v>
      </c>
      <c r="CW216" s="68">
        <v>20</v>
      </c>
      <c r="CX216" s="68">
        <v>25</v>
      </c>
      <c r="CY216" s="68">
        <v>30</v>
      </c>
      <c r="CZ216" s="68">
        <v>30</v>
      </c>
      <c r="DA216" s="71">
        <v>35</v>
      </c>
      <c r="DB216" s="64"/>
      <c r="DC216" s="64"/>
      <c r="DD216" s="64"/>
      <c r="DE216" s="64"/>
      <c r="DF216" s="64"/>
      <c r="DG216" s="64"/>
      <c r="DH216" s="64"/>
      <c r="DI216" s="64"/>
      <c r="DJ216" s="64"/>
      <c r="DK216" s="64"/>
      <c r="DL216" s="64"/>
      <c r="DM216" s="64"/>
      <c r="DN216" s="64"/>
      <c r="DO216" s="64"/>
      <c r="DP216" s="64"/>
      <c r="DQ216" s="80"/>
      <c r="DR216" s="80"/>
      <c r="DS216" s="80"/>
      <c r="DT216" s="64"/>
      <c r="DU216" s="64"/>
      <c r="DV216" s="64"/>
      <c r="DW216" s="64"/>
      <c r="DX216" s="64"/>
      <c r="DY216" s="64"/>
      <c r="DZ216" s="64"/>
      <c r="EA216" s="64"/>
      <c r="EB216" s="64"/>
      <c r="EC216" s="64"/>
      <c r="ED216" s="64"/>
      <c r="EE216" s="64"/>
      <c r="EF216" s="64"/>
      <c r="EG216" s="64"/>
      <c r="EH216" s="64"/>
      <c r="EI216" s="64"/>
      <c r="EJ216" s="64"/>
      <c r="EK216" s="64"/>
      <c r="EL216" s="64"/>
      <c r="EM216" s="64"/>
      <c r="EN216" s="64"/>
      <c r="EO216" s="64"/>
      <c r="EP216" s="64"/>
      <c r="EQ216" s="64"/>
      <c r="ER216" s="64"/>
      <c r="ES216" s="64"/>
      <c r="ET216" s="64"/>
      <c r="EU216" s="64"/>
      <c r="EV216" s="64"/>
      <c r="EW216" s="64"/>
      <c r="EX216" s="64"/>
      <c r="EY216" s="64"/>
      <c r="EZ216" s="64"/>
      <c r="FA216" s="64"/>
      <c r="FB216" s="64"/>
      <c r="FC216" s="64"/>
      <c r="FD216" s="64"/>
      <c r="FE216" s="64"/>
      <c r="FF216" s="64"/>
      <c r="FG216" s="64"/>
      <c r="FH216" s="64"/>
      <c r="FI216" s="64"/>
      <c r="FJ216" s="64"/>
      <c r="FK216" s="64"/>
      <c r="FL216" s="64"/>
      <c r="FM216" s="64"/>
      <c r="FN216" s="64"/>
      <c r="FO216" s="64"/>
      <c r="FP216" s="64"/>
      <c r="FQ216" s="64"/>
      <c r="FR216" s="64"/>
      <c r="FS216" s="64"/>
      <c r="FT216" s="64"/>
      <c r="FU216" s="64"/>
      <c r="FV216" s="64"/>
      <c r="FW216" s="64"/>
      <c r="FX216" s="64"/>
      <c r="FY216" s="64"/>
      <c r="FZ216" s="64"/>
      <c r="GA216" s="64"/>
      <c r="GB216" s="64"/>
      <c r="GC216" s="64"/>
      <c r="GD216" s="64"/>
      <c r="GE216" s="64"/>
      <c r="GF216" s="64"/>
      <c r="GG216" s="64"/>
      <c r="GH216" s="64"/>
      <c r="GI216" s="64"/>
      <c r="GJ216" s="64"/>
      <c r="GK216" s="64"/>
      <c r="GL216" s="64"/>
      <c r="GM216" s="64"/>
      <c r="GN216" s="64"/>
      <c r="GO216" s="64"/>
      <c r="GP216" s="64"/>
      <c r="GQ216" s="64"/>
      <c r="GR216" s="64"/>
      <c r="GS216" s="64"/>
      <c r="GT216" s="64"/>
      <c r="GU216" s="64"/>
      <c r="GV216" s="64"/>
      <c r="GW216" s="64"/>
      <c r="GX216" s="64"/>
      <c r="GY216" s="64"/>
      <c r="GZ216" s="64"/>
      <c r="HA216" s="64"/>
      <c r="HB216" s="64"/>
      <c r="HC216" s="64"/>
      <c r="HD216" s="64"/>
      <c r="HE216" s="64"/>
      <c r="HF216" s="64"/>
      <c r="HG216" s="64"/>
      <c r="HH216" s="64"/>
    </row>
    <row r="217" spans="1:216" x14ac:dyDescent="0.2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3"/>
      <c r="N217" s="23"/>
      <c r="O217" s="23"/>
      <c r="P217" s="23"/>
      <c r="Q217" s="23"/>
      <c r="R217" s="23"/>
      <c r="S217" s="23"/>
      <c r="T217" s="23"/>
      <c r="U217" s="23"/>
      <c r="V217" s="64"/>
      <c r="W217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64">
        <f t="shared" si="495"/>
        <v>0</v>
      </c>
      <c r="AB217" s="64">
        <f t="shared" si="501"/>
        <v>0</v>
      </c>
      <c r="AC217" s="64">
        <f t="shared" si="496"/>
        <v>0</v>
      </c>
      <c r="AD217" s="64">
        <f t="shared" si="497"/>
        <v>0</v>
      </c>
      <c r="AE217" s="64">
        <f t="shared" si="498"/>
        <v>0</v>
      </c>
      <c r="AF217" s="64">
        <f t="shared" si="499"/>
        <v>0</v>
      </c>
      <c r="AG217" s="64">
        <f t="shared" si="500"/>
        <v>1</v>
      </c>
      <c r="AH217" s="64"/>
      <c r="AI217" s="64"/>
      <c r="AJ217" s="64"/>
      <c r="AK217" s="64"/>
      <c r="AL217" s="64"/>
      <c r="AM217" s="64"/>
      <c r="AN217" s="64"/>
      <c r="AO217" s="64"/>
      <c r="AP217" s="64"/>
      <c r="AQ217" s="64"/>
      <c r="AR217" s="64" t="s">
        <v>199</v>
      </c>
      <c r="AS217" s="64" t="s">
        <v>295</v>
      </c>
      <c r="AT217" s="64" t="s">
        <v>294</v>
      </c>
      <c r="AU217" s="64" t="s">
        <v>293</v>
      </c>
      <c r="AV217" s="64" t="s">
        <v>293</v>
      </c>
      <c r="AW217" s="64"/>
      <c r="AX217" s="64"/>
      <c r="AY217" s="64"/>
      <c r="AZ217" s="64"/>
      <c r="BA217" s="64"/>
      <c r="BB217" s="64"/>
      <c r="BC217" s="64"/>
      <c r="BD217" s="64"/>
      <c r="BE217" s="64"/>
      <c r="BF217" s="64"/>
      <c r="BG217" s="64"/>
      <c r="BH217" s="69"/>
      <c r="BI217" s="64"/>
      <c r="BJ217" s="64"/>
      <c r="BK217" s="64"/>
      <c r="BL217" s="64"/>
      <c r="BM217" s="64"/>
      <c r="BN217" s="64"/>
      <c r="BO217" s="64"/>
      <c r="BP217" s="64"/>
      <c r="BQ217" s="64"/>
      <c r="BR217" s="64"/>
      <c r="BS217" s="64"/>
      <c r="BT217" s="64"/>
      <c r="BU217" s="64"/>
      <c r="BV217" s="64"/>
      <c r="BW217" s="64"/>
      <c r="BX217" s="64"/>
      <c r="BY217" s="64"/>
      <c r="BZ217" s="64"/>
      <c r="CA217" s="64"/>
      <c r="CB217" s="64"/>
      <c r="CC217" s="64"/>
      <c r="CD217" s="64"/>
      <c r="CE217" s="64"/>
      <c r="CF217" s="64"/>
      <c r="CG217" s="64"/>
      <c r="CH217" s="64"/>
      <c r="CI217" s="64"/>
      <c r="CJ217" s="64"/>
      <c r="CK217" s="64"/>
      <c r="CL217" s="64"/>
      <c r="CM217" s="64"/>
      <c r="CN217" s="64"/>
      <c r="CO217" s="64"/>
      <c r="CP217" s="64"/>
      <c r="CQ217" s="64"/>
      <c r="CR217" s="64"/>
      <c r="CS217" s="64"/>
      <c r="CT217" s="64"/>
      <c r="CU217" s="64"/>
      <c r="CV217" s="64"/>
      <c r="CW217" s="64"/>
      <c r="CX217" s="64"/>
      <c r="CY217" s="64"/>
      <c r="CZ217" s="64"/>
      <c r="DA217" s="70"/>
      <c r="DB217" s="64"/>
      <c r="DC217" s="64"/>
      <c r="DD217" s="64"/>
      <c r="DE217" s="64"/>
      <c r="DF217" s="64"/>
      <c r="DG217" s="64"/>
      <c r="DH217" s="64"/>
      <c r="DI217" s="64"/>
      <c r="DJ217" s="64"/>
      <c r="DK217" s="64"/>
      <c r="DL217" s="64"/>
      <c r="DM217" s="64"/>
      <c r="DN217" s="64"/>
      <c r="DO217" s="64"/>
      <c r="DP217" s="64"/>
      <c r="DQ217" s="80"/>
      <c r="DR217" s="80"/>
      <c r="DS217" s="80"/>
      <c r="DT217" s="64"/>
      <c r="DU217" s="64"/>
      <c r="DV217" s="64"/>
      <c r="DW217" s="64"/>
      <c r="DX217" s="64"/>
      <c r="DY217" s="64"/>
      <c r="DZ217" s="64"/>
      <c r="EA217" s="64"/>
      <c r="EB217" s="64"/>
      <c r="EC217" s="64"/>
      <c r="ED217" s="64"/>
      <c r="EE217" s="64"/>
      <c r="EF217" s="64"/>
      <c r="EG217" s="64"/>
      <c r="EH217" s="64"/>
      <c r="EI217" s="64"/>
      <c r="EJ217" s="64"/>
      <c r="EK217" s="64"/>
      <c r="EL217" s="64"/>
      <c r="EM217" s="64"/>
      <c r="EN217" s="64"/>
      <c r="EO217" s="64"/>
      <c r="EP217" s="64"/>
      <c r="EQ217" s="64"/>
      <c r="ER217" s="64"/>
      <c r="ES217" s="64"/>
      <c r="ET217" s="64"/>
      <c r="EU217" s="64"/>
      <c r="EV217" s="64"/>
      <c r="EW217" s="64"/>
      <c r="EX217" s="64"/>
      <c r="EY217" s="64"/>
      <c r="EZ217" s="64"/>
      <c r="FA217" s="64"/>
      <c r="FB217" s="64"/>
      <c r="FC217" s="64"/>
      <c r="FD217" s="64"/>
      <c r="FE217" s="64"/>
      <c r="FF217" s="64"/>
      <c r="FG217" s="64"/>
      <c r="FH217" s="64"/>
      <c r="FI217" s="64"/>
      <c r="FJ217" s="64"/>
      <c r="FK217" s="64"/>
      <c r="FL217" s="64"/>
      <c r="FM217" s="64"/>
      <c r="FN217" s="64"/>
      <c r="FO217" s="64"/>
      <c r="FP217" s="64"/>
      <c r="FQ217" s="64"/>
      <c r="FR217" s="64"/>
      <c r="FS217" s="64"/>
      <c r="FT217" s="64"/>
      <c r="FU217" s="64"/>
      <c r="FV217" s="64"/>
      <c r="FW217" s="64"/>
      <c r="FX217" s="64"/>
      <c r="FY217" s="64"/>
      <c r="FZ217" s="64"/>
      <c r="GA217" s="64"/>
      <c r="GB217" s="64"/>
      <c r="GC217" s="64"/>
      <c r="GD217" s="64"/>
      <c r="GE217" s="64"/>
      <c r="GF217" s="64"/>
      <c r="GG217" s="64"/>
      <c r="GH217" s="64"/>
      <c r="GI217" s="64"/>
      <c r="GJ217" s="64"/>
      <c r="GK217" s="64"/>
      <c r="GL217" s="64"/>
      <c r="GM217" s="64"/>
      <c r="GN217" s="64"/>
      <c r="GO217" s="64"/>
      <c r="GP217" s="64"/>
      <c r="GQ217" s="64"/>
      <c r="GR217" s="64"/>
      <c r="GS217" s="64"/>
      <c r="GT217" s="64"/>
      <c r="GU217" s="64"/>
      <c r="GV217" s="64"/>
      <c r="GW217" s="64"/>
      <c r="GX217" s="64"/>
      <c r="GY217" s="64"/>
      <c r="GZ217" s="64"/>
      <c r="HA217" s="64"/>
      <c r="HB217" s="64"/>
      <c r="HC217" s="64"/>
      <c r="HD217" s="64"/>
      <c r="HE217" s="64"/>
      <c r="HF217" s="64"/>
      <c r="HG217" s="64"/>
      <c r="HH217" s="64"/>
    </row>
    <row r="218" spans="1:216" ht="39" x14ac:dyDescent="0.25">
      <c r="A218" s="3" t="s">
        <v>554</v>
      </c>
      <c r="B218" s="3"/>
      <c r="C218" s="3" t="s">
        <v>555</v>
      </c>
      <c r="D218" s="9"/>
      <c r="E218" s="9"/>
      <c r="F218" s="9"/>
      <c r="G218" s="9"/>
      <c r="H218" s="9"/>
      <c r="I218" s="9"/>
      <c r="J218" s="9"/>
      <c r="K218" s="9"/>
      <c r="L218" s="221" t="str">
        <f>IF(E222="zatĺkaná","KONŠTRUKCIA W-H4G2-BI-25°/30°",IF(E222="betónovaná","KONŠTRUKCIA W-H4B2-BI-25°/30°",IF(E222="kotvená","KONŠTRUKCIA W-H4K2-BI-25°/30°",IF(E222="na zemných skrutkach","KONŠTRUKCIA W-H4S2-BI-25°/30°"))))</f>
        <v>KONŠTRUKCIA W-H4G2-BI-25°/30°</v>
      </c>
      <c r="M218" s="221"/>
      <c r="N218" s="221"/>
      <c r="O218" s="221"/>
      <c r="P218" s="221"/>
      <c r="Q218" s="221"/>
      <c r="R218" s="221"/>
      <c r="S218" s="221"/>
      <c r="T218" s="221"/>
      <c r="U218" s="221"/>
      <c r="V218" s="64"/>
      <c r="W218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64">
        <f t="shared" si="495"/>
        <v>0</v>
      </c>
      <c r="AB218" s="64">
        <f t="shared" si="501"/>
        <v>0</v>
      </c>
      <c r="AC218" s="64">
        <f t="shared" si="496"/>
        <v>0</v>
      </c>
      <c r="AD218" s="64">
        <f t="shared" si="497"/>
        <v>0</v>
      </c>
      <c r="AE218" s="64">
        <f t="shared" si="498"/>
        <v>0</v>
      </c>
      <c r="AF218" s="64">
        <f t="shared" si="499"/>
        <v>0</v>
      </c>
      <c r="AG218" s="64">
        <f t="shared" si="500"/>
        <v>1</v>
      </c>
      <c r="AH218" s="64"/>
      <c r="AI218" s="64"/>
      <c r="AJ218" s="64"/>
      <c r="AK218" s="64"/>
      <c r="AL218" s="64"/>
      <c r="AM218" s="64"/>
      <c r="AN218" s="64"/>
      <c r="AO218" s="64"/>
      <c r="AP218" s="64"/>
      <c r="AQ218" s="64"/>
      <c r="AR218" s="64" t="s">
        <v>205</v>
      </c>
      <c r="AS218" s="64" t="s">
        <v>295</v>
      </c>
      <c r="AT218" s="64" t="s">
        <v>294</v>
      </c>
      <c r="AU218" s="64" t="s">
        <v>293</v>
      </c>
      <c r="AV218" s="64" t="s">
        <v>293</v>
      </c>
      <c r="AW218" s="64"/>
      <c r="AX218" s="64"/>
      <c r="AY218" s="64"/>
      <c r="AZ218" s="64"/>
      <c r="BA218" s="64"/>
      <c r="BB218" s="64"/>
      <c r="BC218" s="64"/>
      <c r="BD218" s="64"/>
      <c r="BE218" s="64"/>
      <c r="BF218" s="64"/>
      <c r="BG218" s="64"/>
      <c r="BH218" s="69" t="s">
        <v>195</v>
      </c>
      <c r="BI218" s="64">
        <v>0</v>
      </c>
      <c r="BJ218" s="64">
        <v>8</v>
      </c>
      <c r="BK218" s="64">
        <v>12</v>
      </c>
      <c r="BL218" s="64">
        <v>16</v>
      </c>
      <c r="BM218" s="64">
        <v>20</v>
      </c>
      <c r="BN218" s="64">
        <v>24</v>
      </c>
      <c r="BO218" s="64">
        <v>28</v>
      </c>
      <c r="BP218" s="64">
        <v>32</v>
      </c>
      <c r="BQ218" s="64">
        <v>36</v>
      </c>
      <c r="BR218" s="64">
        <v>40</v>
      </c>
      <c r="BS218" s="64">
        <v>44</v>
      </c>
      <c r="BT218" s="64">
        <v>48</v>
      </c>
      <c r="BU218" s="64">
        <v>52</v>
      </c>
      <c r="BW218" s="68" t="s">
        <v>72</v>
      </c>
      <c r="BX218" s="68">
        <v>0</v>
      </c>
      <c r="BY218" s="68">
        <v>8</v>
      </c>
      <c r="BZ218" s="68">
        <v>12</v>
      </c>
      <c r="CA218" s="68">
        <v>16</v>
      </c>
      <c r="CB218" s="68">
        <v>20</v>
      </c>
      <c r="CC218" s="68">
        <v>24</v>
      </c>
      <c r="CD218" s="68">
        <v>28</v>
      </c>
      <c r="CE218" s="68">
        <v>32</v>
      </c>
      <c r="CF218" s="68">
        <v>36</v>
      </c>
      <c r="CG218" s="68">
        <v>40</v>
      </c>
      <c r="CH218" s="68">
        <v>44</v>
      </c>
      <c r="CI218" s="68">
        <v>48</v>
      </c>
      <c r="CJ218" s="68">
        <v>52</v>
      </c>
      <c r="DA218" s="71"/>
      <c r="DQ218" s="80"/>
      <c r="DR218" s="80"/>
      <c r="DS218" s="80"/>
      <c r="DT218" s="64"/>
      <c r="DU218" s="64"/>
      <c r="DV218" s="64"/>
      <c r="DW218" s="64"/>
      <c r="DX218" s="64"/>
      <c r="DY218" s="64"/>
      <c r="DZ218" s="64"/>
      <c r="EA218" s="64"/>
      <c r="EB218" s="64"/>
      <c r="EC218" s="64"/>
      <c r="ED218" s="64"/>
      <c r="EE218" s="64"/>
      <c r="EF218" s="64"/>
      <c r="EG218" s="64"/>
      <c r="EH218" s="64"/>
      <c r="EI218" s="64"/>
      <c r="EJ218" s="64"/>
      <c r="EK218" s="64"/>
      <c r="EL218" s="64"/>
      <c r="EM218" s="64"/>
      <c r="EN218" s="64"/>
      <c r="EO218" s="64"/>
      <c r="EP218" s="64"/>
      <c r="EQ218" s="64"/>
      <c r="ER218" s="64"/>
      <c r="ES218" s="64"/>
      <c r="ET218" s="64"/>
      <c r="EU218" s="64"/>
      <c r="EV218" s="64"/>
      <c r="EW218" s="64"/>
      <c r="EX218" s="64"/>
      <c r="EY218" s="64"/>
      <c r="EZ218" s="64"/>
      <c r="FA218" s="64"/>
      <c r="FB218" s="64"/>
      <c r="FC218" s="64"/>
      <c r="FD218" s="64"/>
      <c r="FE218" s="64"/>
      <c r="FF218" s="64"/>
      <c r="FG218" s="64"/>
      <c r="FH218" s="64"/>
      <c r="FI218" s="64"/>
      <c r="FJ218" s="64"/>
      <c r="FK218" s="64"/>
      <c r="FL218" s="64"/>
      <c r="FM218" s="64"/>
      <c r="FN218" s="64"/>
      <c r="FO218" s="64"/>
      <c r="FP218" s="64"/>
      <c r="FQ218" s="64"/>
      <c r="FR218" s="64"/>
      <c r="FS218" s="64"/>
      <c r="FT218" s="64"/>
      <c r="FU218" s="64"/>
      <c r="FV218" s="64"/>
      <c r="FW218" s="64"/>
      <c r="FX218" s="64"/>
      <c r="FY218" s="64"/>
      <c r="FZ218" s="64"/>
      <c r="GA218" s="64"/>
      <c r="GB218" s="64"/>
      <c r="GC218" s="64"/>
      <c r="GD218" s="64"/>
      <c r="GE218" s="64"/>
      <c r="GF218" s="64"/>
      <c r="GG218" s="64"/>
      <c r="GH218" s="64"/>
      <c r="GI218" s="64"/>
      <c r="GJ218" s="64"/>
      <c r="GK218" s="64"/>
      <c r="GL218" s="64"/>
      <c r="GM218" s="64"/>
      <c r="GN218" s="64"/>
      <c r="GO218" s="64"/>
      <c r="GP218" s="64"/>
      <c r="GQ218" s="64"/>
      <c r="GR218" s="64"/>
      <c r="GS218" s="64"/>
      <c r="GT218" s="64"/>
      <c r="GU218" s="64"/>
      <c r="GV218" s="64"/>
      <c r="GW218" s="64"/>
      <c r="GX218" s="64"/>
      <c r="GY218" s="64"/>
      <c r="GZ218" s="64"/>
      <c r="HA218" s="64"/>
      <c r="HB218" s="64"/>
      <c r="HC218" s="64"/>
      <c r="HD218" s="64"/>
      <c r="HE218" s="64"/>
      <c r="HF218" s="64"/>
      <c r="HG218" s="64"/>
      <c r="HH218" s="64"/>
    </row>
    <row r="219" spans="1:216" x14ac:dyDescent="0.25">
      <c r="A219" s="8"/>
      <c r="B219" s="5" t="s">
        <v>61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53</v>
      </c>
      <c r="M219" s="5" t="s">
        <v>559</v>
      </c>
      <c r="N219" s="5" t="s">
        <v>436</v>
      </c>
      <c r="O219" s="5" t="s">
        <v>442</v>
      </c>
      <c r="P219" s="5" t="s">
        <v>443</v>
      </c>
      <c r="Q219" s="5" t="s">
        <v>444</v>
      </c>
      <c r="R219" s="5" t="s">
        <v>445</v>
      </c>
      <c r="S219" s="5" t="s">
        <v>446</v>
      </c>
      <c r="T219" s="5" t="s">
        <v>447</v>
      </c>
      <c r="U219" s="5" t="s">
        <v>438</v>
      </c>
      <c r="V219" s="64"/>
      <c r="W219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64">
        <f t="shared" si="495"/>
        <v>0</v>
      </c>
      <c r="AB219" s="64">
        <f t="shared" si="501"/>
        <v>0</v>
      </c>
      <c r="AC219" s="64">
        <f t="shared" si="496"/>
        <v>0</v>
      </c>
      <c r="AD219" s="64">
        <f t="shared" si="497"/>
        <v>0</v>
      </c>
      <c r="AE219" s="64">
        <f t="shared" si="498"/>
        <v>0</v>
      </c>
      <c r="AF219" s="64">
        <f t="shared" si="499"/>
        <v>0</v>
      </c>
      <c r="AG219" s="64">
        <f t="shared" si="500"/>
        <v>1</v>
      </c>
      <c r="AH219" s="64"/>
      <c r="AI219" s="64"/>
      <c r="AJ219" s="64"/>
      <c r="AK219" s="64"/>
      <c r="AL219" s="64"/>
      <c r="AM219" s="64"/>
      <c r="AN219" s="64"/>
      <c r="AO219" s="64"/>
      <c r="AP219" s="64"/>
      <c r="AQ219" s="64"/>
      <c r="AR219" s="64" t="s">
        <v>329</v>
      </c>
      <c r="AS219" s="64" t="s">
        <v>293</v>
      </c>
      <c r="AT219" s="64" t="s">
        <v>295</v>
      </c>
      <c r="AU219" s="64" t="s">
        <v>293</v>
      </c>
      <c r="AV219" s="64" t="s">
        <v>293</v>
      </c>
      <c r="AW219" s="64"/>
      <c r="AX219" s="64"/>
      <c r="AY219" s="64"/>
      <c r="AZ219" s="64"/>
      <c r="BA219" s="64"/>
      <c r="BB219" s="64"/>
      <c r="BC219" s="64"/>
      <c r="BD219" s="64"/>
      <c r="BE219" s="64"/>
      <c r="BF219" s="64"/>
      <c r="BG219" s="64"/>
      <c r="BH219" s="69" t="s">
        <v>286</v>
      </c>
      <c r="BI219" s="64">
        <v>0</v>
      </c>
      <c r="BJ219" s="64">
        <v>0</v>
      </c>
      <c r="BK219" s="64">
        <v>0</v>
      </c>
      <c r="BL219" s="64">
        <v>0</v>
      </c>
      <c r="BM219" s="64">
        <v>0</v>
      </c>
      <c r="BN219" s="64">
        <v>0</v>
      </c>
      <c r="BO219" s="64">
        <v>0</v>
      </c>
      <c r="BP219" s="64">
        <v>0</v>
      </c>
      <c r="BQ219" s="64">
        <v>0</v>
      </c>
      <c r="BR219" s="64">
        <v>0</v>
      </c>
      <c r="BS219" s="64">
        <v>0</v>
      </c>
      <c r="BT219" s="64">
        <v>0</v>
      </c>
      <c r="BU219" s="64">
        <v>0</v>
      </c>
      <c r="BW219" s="68" t="s">
        <v>286</v>
      </c>
      <c r="BX219" s="68">
        <v>0</v>
      </c>
      <c r="BY219" s="68">
        <v>0</v>
      </c>
      <c r="BZ219" s="68">
        <v>0</v>
      </c>
      <c r="CA219" s="68">
        <v>0</v>
      </c>
      <c r="CB219" s="68">
        <v>0</v>
      </c>
      <c r="CC219" s="68">
        <v>0</v>
      </c>
      <c r="CD219" s="68">
        <v>0</v>
      </c>
      <c r="CE219" s="68">
        <v>0</v>
      </c>
      <c r="CF219" s="68">
        <v>0</v>
      </c>
      <c r="CG219" s="68">
        <v>0</v>
      </c>
      <c r="CH219" s="68">
        <v>0</v>
      </c>
      <c r="CI219" s="68">
        <v>0</v>
      </c>
      <c r="CJ219" s="68">
        <v>0</v>
      </c>
      <c r="DA219" s="71"/>
      <c r="EH219" s="64"/>
      <c r="EI219" s="64"/>
      <c r="EJ219" s="64"/>
      <c r="EK219" s="64"/>
      <c r="EL219" s="64"/>
      <c r="EM219" s="64"/>
      <c r="EN219" s="64"/>
      <c r="EO219" s="64"/>
      <c r="EP219" s="64"/>
      <c r="EQ219" s="64"/>
      <c r="ER219" s="64"/>
      <c r="ES219" s="64"/>
      <c r="ET219" s="64"/>
      <c r="EU219" s="64"/>
      <c r="EV219" s="64"/>
      <c r="EW219" s="64"/>
      <c r="EX219" s="64"/>
      <c r="EY219" s="64"/>
      <c r="EZ219" s="64"/>
      <c r="FA219" s="64"/>
      <c r="FB219" s="64"/>
      <c r="FC219" s="64"/>
      <c r="FD219" s="64"/>
      <c r="FE219" s="64"/>
      <c r="FF219" s="64"/>
      <c r="FG219" s="64"/>
      <c r="FH219" s="64"/>
      <c r="FI219" s="64"/>
      <c r="FJ219" s="64"/>
      <c r="FK219" s="64"/>
      <c r="FL219" s="64"/>
      <c r="FM219" s="64"/>
      <c r="FN219" s="64"/>
      <c r="FO219" s="64"/>
      <c r="FP219" s="64"/>
      <c r="FQ219" s="64"/>
      <c r="FR219" s="64"/>
      <c r="FS219" s="64"/>
      <c r="FT219" s="64"/>
      <c r="FU219" s="64"/>
      <c r="FV219" s="64"/>
      <c r="FW219" s="64"/>
      <c r="FX219" s="64"/>
      <c r="FY219" s="64"/>
      <c r="FZ219" s="64"/>
      <c r="GA219" s="64"/>
      <c r="GB219" s="64"/>
      <c r="GC219" s="64"/>
      <c r="GD219" s="64"/>
      <c r="GE219" s="64"/>
      <c r="GF219" s="64"/>
      <c r="GG219" s="64"/>
      <c r="GH219" s="64"/>
      <c r="GI219" s="64"/>
      <c r="GJ219" s="64"/>
      <c r="GK219" s="64"/>
      <c r="GL219" s="64"/>
      <c r="GM219" s="64"/>
      <c r="GN219" s="64"/>
      <c r="GO219" s="64"/>
      <c r="GP219" s="64"/>
      <c r="GQ219" s="64"/>
      <c r="GR219" s="64"/>
      <c r="GS219" s="64"/>
      <c r="GT219" s="64"/>
      <c r="GU219" s="64"/>
      <c r="GV219" s="64"/>
      <c r="GW219" s="64"/>
      <c r="GX219" s="64"/>
      <c r="GY219" s="64"/>
      <c r="GZ219" s="64"/>
      <c r="HA219" s="64"/>
      <c r="HB219" s="64"/>
      <c r="HC219" s="64"/>
      <c r="HD219" s="64"/>
      <c r="HE219" s="64"/>
      <c r="HF219" s="64"/>
      <c r="HG219" s="64"/>
      <c r="HH219" s="64"/>
    </row>
    <row r="220" spans="1:216" x14ac:dyDescent="0.25">
      <c r="A220" s="8"/>
      <c r="B220" s="5" t="s">
        <v>61</v>
      </c>
      <c r="C220" s="8"/>
      <c r="D220" s="6" t="s">
        <v>452</v>
      </c>
      <c r="E220" s="8" t="s">
        <v>351</v>
      </c>
      <c r="F220" s="5" t="s">
        <v>61</v>
      </c>
      <c r="G220" s="8" t="s">
        <v>331</v>
      </c>
      <c r="H220" s="5" t="s">
        <v>61</v>
      </c>
      <c r="I220" s="8">
        <v>30</v>
      </c>
      <c r="J220" s="5" t="s">
        <v>62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str">
        <f>INDEX(cenník!$C$2:$I$570,MATCH($L220,cenník!$B$2:$B$559,0),MATCH(M$2,cenník!$C$1:$I$1,0))</f>
        <v>-------</v>
      </c>
      <c r="N220" s="11">
        <f>INDEX(cenník!$C$2:$I$570,MATCH($L220,cenník!$B$2:$B$559,0),MATCH(N$2,cenník!$C$1:$I$1,0))</f>
        <v>0</v>
      </c>
      <c r="O220" s="11">
        <f>IF(L220="-------",0,SUM(O222:O223))</f>
        <v>0</v>
      </c>
      <c r="P220" s="36">
        <f>INDEX(cenník!$C$2:$I$570,MATCH($L220,cenník!$B$2:$B$559,0),MATCH(P$2,cenník!$C$1:$I$1,0))</f>
        <v>0</v>
      </c>
      <c r="Q220" s="36">
        <f>O220*P220</f>
        <v>0</v>
      </c>
      <c r="R220" s="37">
        <f t="shared" ref="R220:R247" si="502">$E$224</f>
        <v>0</v>
      </c>
      <c r="S220" s="36">
        <f t="shared" ref="S220:S247" si="503">P220*((100-$E$224)/100)</f>
        <v>0</v>
      </c>
      <c r="T220" s="36">
        <f>O220*S220</f>
        <v>0</v>
      </c>
      <c r="U220" s="36">
        <f>INDEX(cenník!$C$2:$I$570,MATCH($L220,cenník!$B$2:$B$559,0),MATCH(U$2,cenník!$C$1:$I$1,0))*O220</f>
        <v>0</v>
      </c>
      <c r="V220" s="64"/>
      <c r="W220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64">
        <f t="shared" si="495"/>
        <v>0</v>
      </c>
      <c r="AB220" s="64">
        <f t="shared" si="501"/>
        <v>0</v>
      </c>
      <c r="AC220" s="64">
        <f t="shared" si="496"/>
        <v>0</v>
      </c>
      <c r="AD220" s="64">
        <f t="shared" si="497"/>
        <v>0</v>
      </c>
      <c r="AE220" s="64">
        <f t="shared" si="498"/>
        <v>0</v>
      </c>
      <c r="AF220" s="64">
        <f t="shared" si="499"/>
        <v>0</v>
      </c>
      <c r="AG220" s="64">
        <f t="shared" si="500"/>
        <v>1</v>
      </c>
      <c r="AH220" s="64"/>
      <c r="AI220" s="64"/>
      <c r="AJ220" s="64"/>
      <c r="AR220" s="68" t="s">
        <v>330</v>
      </c>
      <c r="AS220" s="68" t="s">
        <v>293</v>
      </c>
      <c r="AT220" s="68" t="s">
        <v>295</v>
      </c>
      <c r="AU220" s="68" t="s">
        <v>293</v>
      </c>
      <c r="AV220" s="68" t="s">
        <v>293</v>
      </c>
      <c r="BG220" s="64"/>
      <c r="BH220" s="69" t="s">
        <v>240</v>
      </c>
      <c r="BI220" s="64">
        <v>0</v>
      </c>
      <c r="BJ220" s="64">
        <v>5</v>
      </c>
      <c r="BK220" s="64">
        <v>0</v>
      </c>
      <c r="BL220" s="64">
        <v>5</v>
      </c>
      <c r="BM220" s="64">
        <v>0</v>
      </c>
      <c r="BN220" s="64">
        <v>10</v>
      </c>
      <c r="BO220" s="64">
        <v>15</v>
      </c>
      <c r="BP220" s="64">
        <v>10</v>
      </c>
      <c r="BQ220" s="64">
        <v>20</v>
      </c>
      <c r="BR220" s="64">
        <v>10</v>
      </c>
      <c r="BS220" s="64">
        <v>20</v>
      </c>
      <c r="BT220" s="64">
        <v>15</v>
      </c>
      <c r="BU220" s="64">
        <v>20</v>
      </c>
      <c r="BW220" s="68" t="s">
        <v>240</v>
      </c>
      <c r="BX220" s="68">
        <v>0</v>
      </c>
      <c r="BY220" s="68">
        <v>5</v>
      </c>
      <c r="BZ220" s="68">
        <v>0</v>
      </c>
      <c r="CA220" s="68">
        <v>10</v>
      </c>
      <c r="CB220" s="68">
        <v>5</v>
      </c>
      <c r="CC220" s="68">
        <v>15</v>
      </c>
      <c r="CD220" s="68">
        <v>10</v>
      </c>
      <c r="CE220" s="68">
        <v>20</v>
      </c>
      <c r="CF220" s="68">
        <v>15</v>
      </c>
      <c r="CG220" s="68">
        <v>25</v>
      </c>
      <c r="CH220" s="68">
        <v>20</v>
      </c>
      <c r="CI220" s="68">
        <v>30</v>
      </c>
      <c r="CJ220" s="68">
        <v>25</v>
      </c>
      <c r="DA220" s="71"/>
      <c r="EH220" s="64"/>
      <c r="EI220" s="64"/>
      <c r="EJ220" s="64"/>
      <c r="EK220" s="64"/>
      <c r="EL220" s="64"/>
      <c r="EM220" s="64"/>
      <c r="EN220" s="64"/>
      <c r="EO220" s="64"/>
      <c r="EP220" s="64"/>
      <c r="EQ220" s="64"/>
      <c r="ER220" s="64"/>
      <c r="ES220" s="64"/>
      <c r="ET220" s="64"/>
      <c r="EU220" s="64"/>
      <c r="EV220" s="64"/>
      <c r="EW220" s="64"/>
      <c r="EX220" s="64"/>
      <c r="EY220" s="64"/>
      <c r="EZ220" s="64"/>
      <c r="FA220" s="64"/>
      <c r="FB220" s="64"/>
      <c r="FC220" s="64"/>
      <c r="FD220" s="64"/>
      <c r="FE220" s="64"/>
      <c r="FF220" s="64"/>
      <c r="FG220" s="64"/>
      <c r="FH220" s="64"/>
      <c r="FI220" s="64"/>
      <c r="FJ220" s="64"/>
      <c r="FK220" s="64"/>
      <c r="FL220" s="64"/>
      <c r="FM220" s="64"/>
      <c r="FN220" s="64"/>
      <c r="FO220" s="64"/>
      <c r="FP220" s="64"/>
      <c r="FQ220" s="64"/>
      <c r="FR220" s="64"/>
      <c r="FS220" s="64"/>
      <c r="FT220" s="64"/>
      <c r="FU220" s="64"/>
      <c r="FV220" s="64"/>
      <c r="FW220" s="64"/>
      <c r="FX220" s="64"/>
      <c r="FY220" s="64"/>
      <c r="FZ220" s="64"/>
      <c r="GA220" s="64"/>
      <c r="GB220" s="64"/>
      <c r="GC220" s="64"/>
      <c r="GD220" s="64"/>
      <c r="GE220" s="64"/>
      <c r="GF220" s="64"/>
      <c r="GG220" s="64"/>
      <c r="GH220" s="64"/>
      <c r="GI220" s="64"/>
      <c r="GJ220" s="64"/>
      <c r="GK220" s="64"/>
      <c r="GL220" s="64"/>
      <c r="GM220" s="64"/>
      <c r="GN220" s="64"/>
      <c r="GO220" s="64"/>
      <c r="GP220" s="64"/>
      <c r="GQ220" s="64"/>
      <c r="GR220" s="64"/>
      <c r="GS220" s="64"/>
      <c r="GT220" s="64"/>
      <c r="GU220" s="64"/>
      <c r="GV220" s="64"/>
      <c r="GW220" s="64"/>
      <c r="GX220" s="64"/>
      <c r="GY220" s="64"/>
      <c r="GZ220" s="64"/>
      <c r="HA220" s="64"/>
      <c r="HB220" s="64"/>
      <c r="HC220" s="64"/>
      <c r="HD220" s="64"/>
      <c r="HE220" s="64"/>
      <c r="HF220" s="64"/>
      <c r="HG220" s="64"/>
      <c r="HH220" s="64"/>
    </row>
    <row r="221" spans="1:216" x14ac:dyDescent="0.25">
      <c r="A221" s="8"/>
      <c r="B221" s="5" t="s">
        <v>61</v>
      </c>
      <c r="C221" s="8"/>
      <c r="D221" s="6" t="s">
        <v>456</v>
      </c>
      <c r="E221" s="8" t="s">
        <v>466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str">
        <f>INDEX(cenník!$C$2:$I$570,MATCH($L221,cenník!$B$2:$B$559,0),MATCH(M$2,cenník!$C$1:$I$1,0))</f>
        <v>-------</v>
      </c>
      <c r="N221" s="11">
        <f>INDEX(cenník!$C$2:$I$570,MATCH($L221,cenník!$B$2:$B$559,0),MATCH(N$2,cenník!$C$1:$I$1,0))</f>
        <v>0</v>
      </c>
      <c r="O221" s="11">
        <f>IF(E222=AC7,SUM(O222:O223),IF(E222=AC8,SUM(O222:O223),IF(E222=AC5,0,IF(E222=AC6,0,0))))</f>
        <v>0</v>
      </c>
      <c r="P221" s="36">
        <f>INDEX(cenník!$C$2:$I$570,MATCH($L221,cenník!$B$2:$B$559,0),MATCH(P$2,cenník!$C$1:$I$1,0))</f>
        <v>0</v>
      </c>
      <c r="Q221" s="36">
        <f>O221*P221</f>
        <v>0</v>
      </c>
      <c r="R221" s="37">
        <f t="shared" si="502"/>
        <v>0</v>
      </c>
      <c r="S221" s="36">
        <f t="shared" si="503"/>
        <v>0</v>
      </c>
      <c r="T221" s="36">
        <f>O221*S221</f>
        <v>0</v>
      </c>
      <c r="U221" s="36">
        <f>INDEX(cenník!$C$2:$I$570,MATCH($L221,cenník!$B$2:$B$559,0),MATCH(U$2,cenník!$C$1:$I$1,0))*O221</f>
        <v>0</v>
      </c>
      <c r="W221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64">
        <f t="shared" si="495"/>
        <v>0</v>
      </c>
      <c r="AB221" s="64">
        <f t="shared" si="501"/>
        <v>0</v>
      </c>
      <c r="AC221" s="64">
        <f t="shared" si="496"/>
        <v>0</v>
      </c>
      <c r="AD221" s="64">
        <f t="shared" si="497"/>
        <v>0</v>
      </c>
      <c r="AE221" s="64">
        <f t="shared" si="498"/>
        <v>0</v>
      </c>
      <c r="AF221" s="64">
        <f t="shared" si="499"/>
        <v>0</v>
      </c>
      <c r="AG221" s="64">
        <f t="shared" si="500"/>
        <v>1</v>
      </c>
      <c r="AR221" s="68" t="s">
        <v>331</v>
      </c>
      <c r="AS221" s="68" t="s">
        <v>293</v>
      </c>
      <c r="AT221" s="68" t="s">
        <v>295</v>
      </c>
      <c r="AU221" s="68" t="s">
        <v>293</v>
      </c>
      <c r="AV221" s="68" t="s">
        <v>293</v>
      </c>
      <c r="BH221" s="69" t="s">
        <v>241</v>
      </c>
      <c r="BI221" s="64">
        <v>0</v>
      </c>
      <c r="BJ221" s="64">
        <v>0</v>
      </c>
      <c r="BK221" s="64">
        <v>10</v>
      </c>
      <c r="BL221" s="64">
        <v>5</v>
      </c>
      <c r="BM221" s="64">
        <v>15</v>
      </c>
      <c r="BN221" s="64">
        <v>5</v>
      </c>
      <c r="BO221" s="64">
        <v>0</v>
      </c>
      <c r="BP221" s="64">
        <v>10</v>
      </c>
      <c r="BQ221" s="64">
        <v>0</v>
      </c>
      <c r="BR221" s="64">
        <v>15</v>
      </c>
      <c r="BS221" s="64">
        <v>5</v>
      </c>
      <c r="BT221" s="64">
        <v>15</v>
      </c>
      <c r="BU221" s="64">
        <v>10</v>
      </c>
      <c r="BW221" s="68" t="s">
        <v>241</v>
      </c>
      <c r="BX221" s="68">
        <v>0</v>
      </c>
      <c r="BY221" s="68">
        <v>0</v>
      </c>
      <c r="BZ221" s="68">
        <v>10</v>
      </c>
      <c r="CA221" s="68">
        <v>0</v>
      </c>
      <c r="CB221" s="68">
        <v>10</v>
      </c>
      <c r="CC221" s="68">
        <v>0</v>
      </c>
      <c r="CD221" s="68">
        <v>10</v>
      </c>
      <c r="CE221" s="68">
        <v>0</v>
      </c>
      <c r="CF221" s="68">
        <v>10</v>
      </c>
      <c r="CG221" s="68">
        <v>0</v>
      </c>
      <c r="CH221" s="68">
        <v>10</v>
      </c>
      <c r="CI221" s="68">
        <v>0</v>
      </c>
      <c r="CJ221" s="68">
        <v>10</v>
      </c>
      <c r="DA221" s="71"/>
    </row>
    <row r="222" spans="1:216" x14ac:dyDescent="0.25">
      <c r="A222" s="8"/>
      <c r="B222" s="5" t="s">
        <v>61</v>
      </c>
      <c r="C222" s="8"/>
      <c r="D222" s="6" t="s">
        <v>475</v>
      </c>
      <c r="E222" s="8" t="s">
        <v>515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>
        <f>INDEX(cenník!$C$2:$I$570,MATCH($L222,cenník!$B$2:$B$559,0),MATCH(M$2,cenník!$C$1:$I$1,0))</f>
        <v>867830</v>
      </c>
      <c r="N222" s="11" t="str">
        <f>INDEX(cenník!$C$2:$I$570,MATCH($L222,cenník!$B$2:$B$559,0),MATCH(N$2,cenník!$C$1:$I$1,0))</f>
        <v>ks</v>
      </c>
      <c r="O222" s="11">
        <f>SUM(AE207:AE222)</f>
        <v>0</v>
      </c>
      <c r="P222" s="36">
        <f>INDEX(cenník!$C$2:$I$570,MATCH($L222,cenník!$B$2:$B$559,0),MATCH(P$2,cenník!$C$1:$I$1,0))</f>
        <v>52.49</v>
      </c>
      <c r="Q222" s="36">
        <f t="shared" ref="Q222:Q223" si="504">O222*P222</f>
        <v>0</v>
      </c>
      <c r="R222" s="37">
        <f t="shared" si="502"/>
        <v>0</v>
      </c>
      <c r="S222" s="36">
        <f t="shared" si="503"/>
        <v>52.49</v>
      </c>
      <c r="T222" s="36">
        <f t="shared" ref="T222:T223" si="505">O222*S222</f>
        <v>0</v>
      </c>
      <c r="U222" s="36">
        <f>INDEX(cenník!$C$2:$I$570,MATCH($L222,cenník!$B$2:$B$559,0),MATCH(U$2,cenník!$C$1:$I$1,0))*O222</f>
        <v>0</v>
      </c>
      <c r="W222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64">
        <f t="shared" si="495"/>
        <v>0</v>
      </c>
      <c r="AB222" s="64">
        <f t="shared" si="501"/>
        <v>0</v>
      </c>
      <c r="AC222" s="64">
        <f t="shared" si="496"/>
        <v>0</v>
      </c>
      <c r="AD222" s="64">
        <f t="shared" si="497"/>
        <v>0</v>
      </c>
      <c r="AE222" s="64">
        <f t="shared" si="498"/>
        <v>0</v>
      </c>
      <c r="AF222" s="64">
        <f t="shared" si="499"/>
        <v>0</v>
      </c>
      <c r="AG222" s="64">
        <f t="shared" si="500"/>
        <v>1</v>
      </c>
      <c r="BH222" s="72" t="s">
        <v>364</v>
      </c>
      <c r="BI222" s="64">
        <v>0</v>
      </c>
      <c r="BJ222" s="64">
        <v>0</v>
      </c>
      <c r="BK222" s="64">
        <v>5</v>
      </c>
      <c r="BL222" s="64">
        <v>5</v>
      </c>
      <c r="BM222" s="64">
        <v>10</v>
      </c>
      <c r="BN222" s="64">
        <v>10</v>
      </c>
      <c r="BO222" s="64">
        <v>10</v>
      </c>
      <c r="BP222" s="64">
        <v>15</v>
      </c>
      <c r="BQ222" s="64">
        <v>15</v>
      </c>
      <c r="BR222" s="64">
        <v>20</v>
      </c>
      <c r="BS222" s="64">
        <v>20</v>
      </c>
      <c r="BT222" s="64">
        <v>25</v>
      </c>
      <c r="BU222" s="64">
        <v>25</v>
      </c>
      <c r="BW222" s="72" t="s">
        <v>364</v>
      </c>
      <c r="BX222" s="68">
        <v>0</v>
      </c>
      <c r="BY222" s="68">
        <v>0</v>
      </c>
      <c r="BZ222" s="68">
        <v>5</v>
      </c>
      <c r="CA222" s="68">
        <v>5</v>
      </c>
      <c r="CB222" s="68">
        <v>10</v>
      </c>
      <c r="CC222" s="68">
        <v>10</v>
      </c>
      <c r="CD222" s="68">
        <v>15</v>
      </c>
      <c r="CE222" s="68">
        <v>15</v>
      </c>
      <c r="CF222" s="68">
        <v>20</v>
      </c>
      <c r="CG222" s="68">
        <v>20</v>
      </c>
      <c r="CH222" s="68">
        <v>25</v>
      </c>
      <c r="CI222" s="68">
        <v>25</v>
      </c>
      <c r="CJ222" s="68">
        <v>30</v>
      </c>
      <c r="DA222" s="71"/>
    </row>
    <row r="223" spans="1:216" x14ac:dyDescent="0.25">
      <c r="A223" s="8"/>
      <c r="B223" s="5" t="s">
        <v>61</v>
      </c>
      <c r="C223" s="8"/>
      <c r="D223" s="6" t="s">
        <v>488</v>
      </c>
      <c r="E223" s="8">
        <v>0</v>
      </c>
      <c r="F223" s="5"/>
      <c r="G223" s="5"/>
      <c r="H223" s="5"/>
      <c r="I223" s="5"/>
      <c r="J223" s="5" t="s">
        <v>461</v>
      </c>
      <c r="K223" s="9"/>
      <c r="L223" s="6" t="str">
        <f>INDEX((AS178:AV184,AS188:AV194),MATCH(G220,AR178:AR184,0),MATCH(E222,AS177:AV177,0),MATCH(E227,DS6:DS7,0))</f>
        <v>CWT70H50/3NMC</v>
      </c>
      <c r="M223" s="11">
        <f>INDEX(cenník!$C$2:$I$570,MATCH($L223,cenník!$B$2:$B$559,0),MATCH(M$2,cenník!$C$1:$I$1,0))</f>
        <v>867830</v>
      </c>
      <c r="N223" s="11" t="str">
        <f>INDEX(cenník!$C$2:$I$570,MATCH($L223,cenník!$B$2:$B$559,0),MATCH(N$2,cenník!$C$1:$I$1,0))</f>
        <v>ks</v>
      </c>
      <c r="O223" s="11">
        <f>O222</f>
        <v>0</v>
      </c>
      <c r="P223" s="36">
        <f>INDEX(cenník!$C$2:$I$570,MATCH($L223,cenník!$B$2:$B$559,0),MATCH(P$2,cenník!$C$1:$I$1,0))</f>
        <v>52.49</v>
      </c>
      <c r="Q223" s="36">
        <f t="shared" si="504"/>
        <v>0</v>
      </c>
      <c r="R223" s="37">
        <f t="shared" si="502"/>
        <v>0</v>
      </c>
      <c r="S223" s="36">
        <f t="shared" si="503"/>
        <v>52.49</v>
      </c>
      <c r="T223" s="36">
        <f t="shared" si="505"/>
        <v>0</v>
      </c>
      <c r="U223" s="36">
        <f>INDEX(cenník!$C$2:$I$570,MATCH($L223,cenník!$B$2:$B$559,0),MATCH(U$2,cenník!$C$1:$I$1,0))*O223</f>
        <v>0</v>
      </c>
      <c r="W223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64"/>
      <c r="AB223" s="64"/>
      <c r="AC223" s="64"/>
      <c r="AD223" s="64"/>
      <c r="AE223" s="64"/>
      <c r="AF223" s="64"/>
      <c r="AR223" s="68" t="s">
        <v>332</v>
      </c>
      <c r="BH223" s="95"/>
      <c r="DA223" s="71"/>
    </row>
    <row r="224" spans="1:216" x14ac:dyDescent="0.25">
      <c r="A224" s="8"/>
      <c r="B224" s="5" t="s">
        <v>61</v>
      </c>
      <c r="C224" s="8"/>
      <c r="D224" s="6" t="s">
        <v>458</v>
      </c>
      <c r="E224" s="8">
        <v>0</v>
      </c>
      <c r="F224" s="5"/>
      <c r="G224" s="5"/>
      <c r="H224" s="5"/>
      <c r="I224" s="5"/>
      <c r="J224" s="5" t="s">
        <v>95</v>
      </c>
      <c r="K224" s="9"/>
      <c r="L224" s="6" t="str">
        <f>IF(E227=25,"-------",IF(E227=30,(INDEX((BC188:BF194),MATCH(G220,BB188:BB194,0),MATCH(E222,BC187:BF187,0))),0))</f>
        <v>CWT70H50/2NMC</v>
      </c>
      <c r="M224" s="11">
        <f>INDEX(cenník!$C$2:$I$570,MATCH($L224,cenník!$B$2:$B$559,0),MATCH(M$2,cenník!$C$1:$I$1,0))</f>
        <v>867820</v>
      </c>
      <c r="N224" s="11" t="str">
        <f>INDEX(cenník!$C$2:$I$570,MATCH($L224,cenník!$B$2:$B$559,0),MATCH(N$2,cenník!$C$1:$I$1,0))</f>
        <v>ks</v>
      </c>
      <c r="O224" s="11">
        <f>IF(L224="CWT70H50/2NMC",O223,0)</f>
        <v>0</v>
      </c>
      <c r="P224" s="36">
        <f>INDEX(cenník!$C$2:$I$570,MATCH($L224,cenník!$B$2:$B$559,0),MATCH(P$2,cenník!$C$1:$I$1,0))</f>
        <v>35</v>
      </c>
      <c r="Q224" s="36">
        <f t="shared" ref="Q224:Q225" si="506">O224*P224</f>
        <v>0</v>
      </c>
      <c r="R224" s="37">
        <f t="shared" si="502"/>
        <v>0</v>
      </c>
      <c r="S224" s="36">
        <f t="shared" si="503"/>
        <v>35</v>
      </c>
      <c r="T224" s="36">
        <f t="shared" ref="T224:T225" si="507">O224*S224</f>
        <v>0</v>
      </c>
      <c r="U224" s="36">
        <f>INDEX(cenník!$C$2:$I$570,MATCH($L224,cenník!$B$2:$B$559,0),MATCH(U$2,cenník!$C$1:$I$1,0))*O224</f>
        <v>0</v>
      </c>
      <c r="W224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64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64"/>
      <c r="AB224" s="64"/>
      <c r="AC224" s="64"/>
      <c r="AD224" s="64"/>
      <c r="AE224" s="64"/>
      <c r="AF224" s="64"/>
      <c r="AS224" s="68" t="s">
        <v>515</v>
      </c>
      <c r="AT224" s="68" t="s">
        <v>516</v>
      </c>
      <c r="AU224" s="68" t="s">
        <v>483</v>
      </c>
      <c r="AV224" s="68" t="s">
        <v>517</v>
      </c>
      <c r="BH224" s="69" t="s">
        <v>197</v>
      </c>
      <c r="BI224" s="64">
        <v>0</v>
      </c>
      <c r="BJ224" s="64">
        <v>8</v>
      </c>
      <c r="BK224" s="64">
        <v>12</v>
      </c>
      <c r="BL224" s="64">
        <v>16</v>
      </c>
      <c r="BM224" s="64">
        <v>20</v>
      </c>
      <c r="BN224" s="64">
        <v>24</v>
      </c>
      <c r="BO224" s="64">
        <v>28</v>
      </c>
      <c r="BP224" s="64">
        <v>32</v>
      </c>
      <c r="BQ224" s="64">
        <v>36</v>
      </c>
      <c r="BR224" s="64">
        <v>40</v>
      </c>
      <c r="BS224" s="64">
        <v>44</v>
      </c>
      <c r="BT224" s="64">
        <v>48</v>
      </c>
      <c r="BU224" s="64">
        <v>52</v>
      </c>
      <c r="BW224" s="68" t="s">
        <v>203</v>
      </c>
      <c r="BX224" s="68">
        <v>0</v>
      </c>
      <c r="BY224" s="68">
        <v>8</v>
      </c>
      <c r="BZ224" s="68">
        <v>12</v>
      </c>
      <c r="CA224" s="68">
        <v>16</v>
      </c>
      <c r="CB224" s="68">
        <v>20</v>
      </c>
      <c r="CC224" s="68">
        <v>24</v>
      </c>
      <c r="CD224" s="68">
        <v>28</v>
      </c>
      <c r="CE224" s="68">
        <v>32</v>
      </c>
      <c r="CF224" s="68">
        <v>36</v>
      </c>
      <c r="CG224" s="68">
        <v>40</v>
      </c>
      <c r="CH224" s="68">
        <v>44</v>
      </c>
      <c r="CI224" s="68">
        <v>48</v>
      </c>
      <c r="CJ224" s="68">
        <v>52</v>
      </c>
      <c r="DA224" s="71"/>
    </row>
    <row r="225" spans="1:105" x14ac:dyDescent="0.25">
      <c r="A225" s="8"/>
      <c r="B225" s="5" t="s">
        <v>61</v>
      </c>
      <c r="C225" s="8"/>
      <c r="D225" s="6" t="s">
        <v>460</v>
      </c>
      <c r="E225" s="8">
        <v>0</v>
      </c>
      <c r="F225" s="5"/>
      <c r="G225" s="5"/>
      <c r="H225" s="5"/>
      <c r="I225" s="5"/>
      <c r="J225" s="5" t="s">
        <v>461</v>
      </c>
      <c r="K225" s="9"/>
      <c r="L225" s="38" t="str">
        <f>IF(L224="CWT70H50/2NMC","LCT70H50NMC","-------")</f>
        <v>LCT70H50NMC</v>
      </c>
      <c r="M225" s="11">
        <f>INDEX(cenník!$C$2:$I$570,MATCH($L225,cenník!$B$2:$B$559,0),MATCH(M$2,cenník!$C$1:$I$1,0))</f>
        <v>852002</v>
      </c>
      <c r="N225" s="11" t="str">
        <f>INDEX(cenník!$C$2:$I$570,MATCH($L225,cenník!$B$2:$B$559,0),MATCH(N$2,cenník!$C$1:$I$1,0))</f>
        <v>ks</v>
      </c>
      <c r="O225" s="11">
        <f>O224</f>
        <v>0</v>
      </c>
      <c r="P225" s="36">
        <f>INDEX(cenník!$C$2:$I$570,MATCH($L225,cenník!$B$2:$B$559,0),MATCH(P$2,cenník!$C$1:$I$1,0))</f>
        <v>7.8</v>
      </c>
      <c r="Q225" s="36">
        <f t="shared" si="506"/>
        <v>0</v>
      </c>
      <c r="R225" s="37">
        <f t="shared" si="502"/>
        <v>0</v>
      </c>
      <c r="S225" s="36">
        <f t="shared" si="503"/>
        <v>7.8</v>
      </c>
      <c r="T225" s="36">
        <f t="shared" si="507"/>
        <v>0</v>
      </c>
      <c r="U225" s="36">
        <f>INDEX(cenník!$C$2:$I$570,MATCH($L225,cenník!$B$2:$B$559,0),MATCH(U$2,cenník!$C$1:$I$1,0))*O225</f>
        <v>0</v>
      </c>
      <c r="W225" s="64"/>
      <c r="X225" s="64"/>
      <c r="Y225" s="64"/>
      <c r="Z225" s="64"/>
      <c r="AA225" s="64"/>
      <c r="AB225" s="64"/>
      <c r="AC225" s="64"/>
      <c r="AD225" s="64"/>
      <c r="AE225" s="64"/>
      <c r="AF225" s="64"/>
      <c r="AR225" s="68" t="s">
        <v>59</v>
      </c>
      <c r="AS225" s="68" t="s">
        <v>84</v>
      </c>
      <c r="AT225" s="68" t="s">
        <v>84</v>
      </c>
      <c r="AU225" s="68" t="s">
        <v>84</v>
      </c>
      <c r="AV225" s="68" t="s">
        <v>84</v>
      </c>
      <c r="BH225" s="69" t="s">
        <v>286</v>
      </c>
      <c r="BI225" s="64">
        <v>0</v>
      </c>
      <c r="BJ225" s="64">
        <v>0</v>
      </c>
      <c r="BK225" s="64">
        <v>0</v>
      </c>
      <c r="BL225" s="64">
        <v>0</v>
      </c>
      <c r="BM225" s="64">
        <v>0</v>
      </c>
      <c r="BN225" s="64">
        <v>0</v>
      </c>
      <c r="BO225" s="64">
        <v>0</v>
      </c>
      <c r="BP225" s="64">
        <v>0</v>
      </c>
      <c r="BQ225" s="64">
        <v>0</v>
      </c>
      <c r="BR225" s="64">
        <v>0</v>
      </c>
      <c r="BS225" s="64">
        <v>0</v>
      </c>
      <c r="BT225" s="64">
        <v>0</v>
      </c>
      <c r="BU225" s="64">
        <v>0</v>
      </c>
      <c r="BW225" s="68" t="s">
        <v>286</v>
      </c>
      <c r="BX225" s="68">
        <v>0</v>
      </c>
      <c r="BY225" s="68">
        <v>0</v>
      </c>
      <c r="BZ225" s="68">
        <v>0</v>
      </c>
      <c r="CA225" s="68">
        <v>0</v>
      </c>
      <c r="CB225" s="68">
        <v>0</v>
      </c>
      <c r="CC225" s="68">
        <v>0</v>
      </c>
      <c r="CD225" s="68">
        <v>0</v>
      </c>
      <c r="CE225" s="68">
        <v>0</v>
      </c>
      <c r="CF225" s="68">
        <v>0</v>
      </c>
      <c r="CG225" s="68">
        <v>0</v>
      </c>
      <c r="CH225" s="68">
        <v>0</v>
      </c>
      <c r="CI225" s="68">
        <v>0</v>
      </c>
      <c r="CJ225" s="68">
        <v>0</v>
      </c>
      <c r="DA225" s="71"/>
    </row>
    <row r="226" spans="1:105" x14ac:dyDescent="0.25">
      <c r="A226" s="8"/>
      <c r="B226" s="5" t="s">
        <v>61</v>
      </c>
      <c r="C226" s="8"/>
      <c r="D226" s="6" t="s">
        <v>474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>
        <f>INDEX(cenník!$C$2:$I$570,MATCH($L226,cenník!$B$2:$B$559,0),MATCH(M$2,cenník!$C$1:$I$1,0))</f>
        <v>863461</v>
      </c>
      <c r="N226" s="11" t="str">
        <f>INDEX(cenník!$C$2:$I$570,MATCH($L226,cenník!$B$2:$B$559,0),MATCH(N$2,cenník!$C$1:$I$1,0))</f>
        <v>ks</v>
      </c>
      <c r="O226" s="11">
        <f>O222</f>
        <v>0</v>
      </c>
      <c r="P226" s="36">
        <f>INDEX(cenník!$C$2:$I$570,MATCH($L226,cenník!$B$2:$B$559,0),MATCH(P$2,cenník!$C$1:$I$1,0))</f>
        <v>129.53</v>
      </c>
      <c r="Q226" s="36">
        <f t="shared" ref="Q226:Q232" si="508">O226*P226</f>
        <v>0</v>
      </c>
      <c r="R226" s="37">
        <f t="shared" si="502"/>
        <v>0</v>
      </c>
      <c r="S226" s="36">
        <f t="shared" si="503"/>
        <v>129.53</v>
      </c>
      <c r="T226" s="36">
        <f t="shared" ref="T226:T232" si="509">O226*S226</f>
        <v>0</v>
      </c>
      <c r="U226" s="36">
        <f>INDEX(cenník!$C$2:$I$570,MATCH($L226,cenník!$B$2:$B$559,0),MATCH(U$2,cenník!$C$1:$I$1,0))*O226</f>
        <v>0</v>
      </c>
      <c r="W226" s="64"/>
      <c r="X226" s="64"/>
      <c r="Y226" s="64"/>
      <c r="Z226" s="64"/>
      <c r="AA226" s="64"/>
      <c r="AB226" s="64"/>
      <c r="AC226" s="64"/>
      <c r="AD226" s="64"/>
      <c r="AE226" s="64"/>
      <c r="AF226" s="64"/>
      <c r="AR226" s="68" t="s">
        <v>60</v>
      </c>
      <c r="AS226" s="68" t="s">
        <v>84</v>
      </c>
      <c r="AT226" s="68" t="s">
        <v>84</v>
      </c>
      <c r="AU226" s="68" t="s">
        <v>84</v>
      </c>
      <c r="AV226" s="68" t="s">
        <v>84</v>
      </c>
      <c r="BH226" s="69" t="s">
        <v>240</v>
      </c>
      <c r="BI226" s="64">
        <v>0</v>
      </c>
      <c r="BJ226" s="64">
        <v>5</v>
      </c>
      <c r="BK226" s="64">
        <v>0</v>
      </c>
      <c r="BL226" s="64">
        <v>5</v>
      </c>
      <c r="BM226" s="64">
        <v>0</v>
      </c>
      <c r="BN226" s="64">
        <v>10</v>
      </c>
      <c r="BO226" s="64">
        <v>5</v>
      </c>
      <c r="BP226" s="64">
        <v>10</v>
      </c>
      <c r="BQ226" s="64">
        <v>20</v>
      </c>
      <c r="BR226" s="64">
        <v>15</v>
      </c>
      <c r="BS226" s="64">
        <v>20</v>
      </c>
      <c r="BT226" s="64">
        <v>15</v>
      </c>
      <c r="BU226" s="64">
        <v>25</v>
      </c>
      <c r="BW226" s="68" t="s">
        <v>240</v>
      </c>
      <c r="BX226" s="68">
        <v>0</v>
      </c>
      <c r="BY226" s="68">
        <v>0</v>
      </c>
      <c r="BZ226" s="68">
        <v>5</v>
      </c>
      <c r="CA226" s="68">
        <v>0</v>
      </c>
      <c r="CB226" s="68">
        <v>10</v>
      </c>
      <c r="CC226" s="68">
        <v>5</v>
      </c>
      <c r="CD226" s="68">
        <v>15</v>
      </c>
      <c r="CE226" s="68">
        <v>10</v>
      </c>
      <c r="CF226" s="68">
        <v>20</v>
      </c>
      <c r="CG226" s="68">
        <v>15</v>
      </c>
      <c r="CH226" s="68">
        <v>25</v>
      </c>
      <c r="CI226" s="68">
        <v>20</v>
      </c>
      <c r="CJ226" s="68">
        <v>30</v>
      </c>
      <c r="DA226" s="71"/>
    </row>
    <row r="227" spans="1:105" x14ac:dyDescent="0.25">
      <c r="A227" s="8"/>
      <c r="B227" s="5" t="s">
        <v>61</v>
      </c>
      <c r="C227" s="8"/>
      <c r="D227" s="6" t="s">
        <v>556</v>
      </c>
      <c r="E227" s="8">
        <v>30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>
        <f>INDEX(cenník!$C$2:$I$570,MATCH($L227,cenník!$B$2:$B$559,0),MATCH(M$2,cenník!$C$1:$I$1,0))</f>
        <v>851122</v>
      </c>
      <c r="N227" s="11" t="str">
        <f>INDEX(cenník!$C$2:$I$570,MATCH($L227,cenník!$B$2:$B$559,0),MATCH(N$2,cenník!$C$1:$I$1,0))</f>
        <v>ks</v>
      </c>
      <c r="O227" s="11">
        <f>O222</f>
        <v>0</v>
      </c>
      <c r="P227" s="36">
        <f>INDEX(cenník!$C$2:$I$570,MATCH($L227,cenník!$B$2:$B$559,0),MATCH(P$2,cenník!$C$1:$I$1,0))</f>
        <v>15.99</v>
      </c>
      <c r="Q227" s="36">
        <f t="shared" si="508"/>
        <v>0</v>
      </c>
      <c r="R227" s="37">
        <f t="shared" si="502"/>
        <v>0</v>
      </c>
      <c r="S227" s="36">
        <f t="shared" si="503"/>
        <v>15.99</v>
      </c>
      <c r="T227" s="36">
        <f t="shared" si="509"/>
        <v>0</v>
      </c>
      <c r="U227" s="36">
        <f>INDEX(cenník!$C$2:$I$570,MATCH($L227,cenník!$B$2:$B$559,0),MATCH(U$2,cenník!$C$1:$I$1,0))*O227</f>
        <v>0</v>
      </c>
      <c r="W227" s="64"/>
      <c r="X227" s="64"/>
      <c r="Y227" s="64"/>
      <c r="Z227" s="64"/>
      <c r="AA227" s="64"/>
      <c r="AB227" s="64"/>
      <c r="AC227" s="64"/>
      <c r="AD227" s="64"/>
      <c r="AE227" s="64"/>
      <c r="AF227" s="64"/>
      <c r="AR227" s="68" t="s">
        <v>199</v>
      </c>
      <c r="AS227" s="68" t="s">
        <v>84</v>
      </c>
      <c r="AT227" s="68" t="s">
        <v>84</v>
      </c>
      <c r="AU227" s="68" t="s">
        <v>84</v>
      </c>
      <c r="AV227" s="68" t="s">
        <v>84</v>
      </c>
      <c r="BH227" s="69" t="s">
        <v>241</v>
      </c>
      <c r="BI227" s="64">
        <v>0</v>
      </c>
      <c r="BJ227" s="64">
        <v>0</v>
      </c>
      <c r="BK227" s="64">
        <v>10</v>
      </c>
      <c r="BL227" s="64">
        <v>5</v>
      </c>
      <c r="BM227" s="64">
        <v>15</v>
      </c>
      <c r="BN227" s="64">
        <v>5</v>
      </c>
      <c r="BO227" s="64">
        <v>15</v>
      </c>
      <c r="BP227" s="64">
        <v>10</v>
      </c>
      <c r="BQ227" s="64">
        <v>0</v>
      </c>
      <c r="BR227" s="64">
        <v>10</v>
      </c>
      <c r="BS227" s="64">
        <v>5</v>
      </c>
      <c r="BT227" s="64">
        <v>15</v>
      </c>
      <c r="BU227" s="64">
        <v>5</v>
      </c>
      <c r="BW227" s="68" t="s">
        <v>241</v>
      </c>
      <c r="BX227" s="68">
        <v>0</v>
      </c>
      <c r="BY227" s="68">
        <v>10</v>
      </c>
      <c r="BZ227" s="68">
        <v>5</v>
      </c>
      <c r="CA227" s="68">
        <v>15</v>
      </c>
      <c r="CB227" s="68">
        <v>5</v>
      </c>
      <c r="CC227" s="68">
        <v>15</v>
      </c>
      <c r="CD227" s="68">
        <v>5</v>
      </c>
      <c r="CE227" s="68">
        <v>15</v>
      </c>
      <c r="CF227" s="68">
        <v>5</v>
      </c>
      <c r="CG227" s="68">
        <v>15</v>
      </c>
      <c r="CH227" s="68">
        <v>5</v>
      </c>
      <c r="CI227" s="68">
        <v>15</v>
      </c>
      <c r="CJ227" s="68">
        <v>5</v>
      </c>
      <c r="CM227" s="68" t="s">
        <v>359</v>
      </c>
      <c r="DA227" s="71"/>
    </row>
    <row r="228" spans="1:105" x14ac:dyDescent="0.25">
      <c r="A228" s="8"/>
      <c r="B228" s="5" t="s">
        <v>61</v>
      </c>
      <c r="C228" s="8"/>
      <c r="D228" s="6" t="s">
        <v>478</v>
      </c>
      <c r="E228" s="8">
        <v>1</v>
      </c>
      <c r="F228" s="43" t="s">
        <v>480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>
        <f>INDEX(cenník!$C$2:$I$570,MATCH($L228,cenník!$B$2:$B$559,0),MATCH(M$2,cenník!$C$1:$I$1,0))</f>
        <v>856211</v>
      </c>
      <c r="N228" s="11" t="str">
        <f>INDEX(cenník!$C$2:$I$570,MATCH($L228,cenník!$B$2:$B$559,0),MATCH(N$2,cenník!$C$1:$I$1,0))</f>
        <v>ks</v>
      </c>
      <c r="O228" s="11">
        <f>IF(L227="CMP41H41/2,2MC",O227,0)</f>
        <v>0</v>
      </c>
      <c r="P228" s="36">
        <f>INDEX(cenník!$C$2:$I$570,MATCH($L228,cenník!$B$2:$B$559,0),MATCH(P$2,cenník!$C$1:$I$1,0))</f>
        <v>8.7100000000000009</v>
      </c>
      <c r="Q228" s="36">
        <f t="shared" si="508"/>
        <v>0</v>
      </c>
      <c r="R228" s="37">
        <f t="shared" si="502"/>
        <v>0</v>
      </c>
      <c r="S228" s="36">
        <f t="shared" si="503"/>
        <v>8.7100000000000009</v>
      </c>
      <c r="T228" s="36">
        <f t="shared" si="509"/>
        <v>0</v>
      </c>
      <c r="U228" s="36">
        <f>INDEX(cenník!$C$2:$I$570,MATCH($L228,cenník!$B$2:$B$559,0),MATCH(U$2,cenník!$C$1:$I$1,0))*O228</f>
        <v>0</v>
      </c>
      <c r="W228" s="64"/>
      <c r="X228" s="64"/>
      <c r="Y228" s="64"/>
      <c r="Z228" s="64"/>
      <c r="AA228" s="64"/>
      <c r="AB228" s="64"/>
      <c r="AC228" s="64"/>
      <c r="AD228" s="64"/>
      <c r="AE228" s="64"/>
      <c r="AF228" s="64"/>
      <c r="AR228" s="68" t="s">
        <v>205</v>
      </c>
      <c r="AS228" s="68" t="s">
        <v>84</v>
      </c>
      <c r="AT228" s="68" t="s">
        <v>84</v>
      </c>
      <c r="AU228" s="68" t="s">
        <v>84</v>
      </c>
      <c r="AV228" s="68" t="s">
        <v>84</v>
      </c>
      <c r="BH228" s="72" t="s">
        <v>364</v>
      </c>
      <c r="BI228" s="64">
        <v>0</v>
      </c>
      <c r="BJ228" s="64">
        <v>0</v>
      </c>
      <c r="BK228" s="64">
        <v>5</v>
      </c>
      <c r="BL228" s="64">
        <v>5</v>
      </c>
      <c r="BM228" s="64">
        <v>10</v>
      </c>
      <c r="BN228" s="64">
        <v>10</v>
      </c>
      <c r="BO228" s="64">
        <v>15</v>
      </c>
      <c r="BP228" s="64">
        <v>15</v>
      </c>
      <c r="BQ228" s="64">
        <v>15</v>
      </c>
      <c r="BR228" s="64">
        <v>20</v>
      </c>
      <c r="BS228" s="64">
        <v>20</v>
      </c>
      <c r="BT228" s="64">
        <v>25</v>
      </c>
      <c r="BU228" s="64">
        <v>25</v>
      </c>
      <c r="BW228" s="72" t="s">
        <v>364</v>
      </c>
      <c r="BX228" s="68">
        <v>0</v>
      </c>
      <c r="BY228" s="68">
        <v>5</v>
      </c>
      <c r="BZ228" s="68">
        <v>5</v>
      </c>
      <c r="CA228" s="68">
        <v>10</v>
      </c>
      <c r="CB228" s="68">
        <v>10</v>
      </c>
      <c r="CC228" s="68">
        <v>15</v>
      </c>
      <c r="CD228" s="68">
        <v>15</v>
      </c>
      <c r="CE228" s="68">
        <v>20</v>
      </c>
      <c r="CF228" s="68">
        <v>20</v>
      </c>
      <c r="CG228" s="68">
        <v>25</v>
      </c>
      <c r="CH228" s="68">
        <v>25</v>
      </c>
      <c r="CI228" s="68">
        <v>30</v>
      </c>
      <c r="CJ228" s="68">
        <v>30</v>
      </c>
      <c r="DA228" s="71"/>
    </row>
    <row r="229" spans="1:105" x14ac:dyDescent="0.25">
      <c r="A229" s="8"/>
      <c r="B229" s="5" t="s">
        <v>61</v>
      </c>
      <c r="C229" s="8"/>
      <c r="D229" s="6" t="s">
        <v>479</v>
      </c>
      <c r="E229" s="8">
        <v>1</v>
      </c>
      <c r="F229" s="43" t="s">
        <v>481</v>
      </c>
      <c r="G229" s="9"/>
      <c r="H229" s="9"/>
      <c r="I229" s="9"/>
      <c r="J229" s="9"/>
      <c r="K229" s="9"/>
      <c r="L229" s="6" t="s">
        <v>311</v>
      </c>
      <c r="M229" s="11">
        <f>INDEX(cenník!$C$2:$I$570,MATCH($L229,cenník!$B$2:$B$559,0),MATCH(M$2,cenník!$C$1:$I$1,0))</f>
        <v>731305</v>
      </c>
      <c r="N229" s="11" t="str">
        <f>INDEX(cenník!$C$2:$I$570,MATCH($L229,cenník!$B$2:$B$559,0),MATCH(N$2,cenník!$C$1:$I$1,0))</f>
        <v>ks</v>
      </c>
      <c r="O229" s="11">
        <f>O230*2</f>
        <v>0</v>
      </c>
      <c r="P229" s="36">
        <f>INDEX(cenník!$C$2:$I$570,MATCH($L229,cenník!$B$2:$B$559,0),MATCH(P$2,cenník!$C$1:$I$1,0))</f>
        <v>1.77</v>
      </c>
      <c r="Q229" s="36">
        <f t="shared" si="508"/>
        <v>0</v>
      </c>
      <c r="R229" s="37">
        <f t="shared" si="502"/>
        <v>0</v>
      </c>
      <c r="S229" s="36">
        <f t="shared" si="503"/>
        <v>1.77</v>
      </c>
      <c r="T229" s="36">
        <f t="shared" si="509"/>
        <v>0</v>
      </c>
      <c r="U229" s="36">
        <f>INDEX(cenník!$C$2:$I$570,MATCH($L229,cenník!$B$2:$B$559,0),MATCH(U$2,cenník!$C$1:$I$1,0))*O229</f>
        <v>0</v>
      </c>
      <c r="W229" s="64"/>
      <c r="X229" s="64"/>
      <c r="Y229" s="64"/>
      <c r="Z229" s="64"/>
      <c r="AA229" s="64"/>
      <c r="AB229" s="64"/>
      <c r="AC229" s="64"/>
      <c r="AD229" s="64"/>
      <c r="AE229" s="64"/>
      <c r="AF229" s="64"/>
      <c r="AR229" s="68" t="s">
        <v>329</v>
      </c>
      <c r="AS229" s="68" t="s">
        <v>291</v>
      </c>
      <c r="AT229" s="68" t="s">
        <v>84</v>
      </c>
      <c r="AU229" s="68" t="s">
        <v>84</v>
      </c>
      <c r="AV229" s="68" t="s">
        <v>84</v>
      </c>
      <c r="BH229" s="69"/>
      <c r="BI229" s="64"/>
      <c r="BJ229" s="64"/>
      <c r="BK229" s="64"/>
      <c r="BL229" s="64"/>
      <c r="BM229" s="64"/>
      <c r="BN229" s="64"/>
      <c r="BO229" s="64"/>
      <c r="BP229" s="64"/>
      <c r="BQ229" s="64"/>
      <c r="BR229" s="64"/>
      <c r="BS229" s="64"/>
      <c r="BT229" s="64"/>
      <c r="BU229" s="64"/>
      <c r="DA229" s="71"/>
    </row>
    <row r="230" spans="1:105" x14ac:dyDescent="0.25">
      <c r="A230" s="8"/>
      <c r="B230" s="5" t="s">
        <v>61</v>
      </c>
      <c r="C230" s="8"/>
      <c r="D230" s="6" t="s">
        <v>557</v>
      </c>
      <c r="E230" s="63" t="str">
        <f>INDEX((AS209:AW211),MATCH(E228,AR209:AR211,0),MATCH(E229,AS208:AW208,0))</f>
        <v>Dĺžka modulu+50mm</v>
      </c>
      <c r="F230" s="9"/>
      <c r="G230" s="9"/>
      <c r="H230" s="9"/>
      <c r="I230" s="9"/>
      <c r="J230" s="31" t="s">
        <v>62</v>
      </c>
      <c r="K230" s="9"/>
      <c r="L230" s="6" t="s">
        <v>319</v>
      </c>
      <c r="M230" s="11">
        <f>INDEX(cenník!$C$2:$I$570,MATCH($L230,cenník!$B$2:$B$559,0),MATCH(M$2,cenník!$C$1:$I$1,0))</f>
        <v>650400</v>
      </c>
      <c r="N230" s="11" t="str">
        <f>INDEX(cenník!$C$2:$I$570,MATCH($L230,cenník!$B$2:$B$559,0),MATCH(N$2,cenník!$C$1:$I$1,0))</f>
        <v>ks</v>
      </c>
      <c r="O230" s="11">
        <f>SUM(AD207:AD222)</f>
        <v>0</v>
      </c>
      <c r="P230" s="36">
        <f>INDEX(cenník!$C$2:$I$570,MATCH($L230,cenník!$B$2:$B$559,0),MATCH(P$2,cenník!$C$1:$I$1,0))</f>
        <v>5.7777777777777777</v>
      </c>
      <c r="Q230" s="36">
        <f t="shared" si="508"/>
        <v>0</v>
      </c>
      <c r="R230" s="37">
        <f t="shared" si="502"/>
        <v>0</v>
      </c>
      <c r="S230" s="36">
        <f t="shared" si="503"/>
        <v>5.7777777777777777</v>
      </c>
      <c r="T230" s="36">
        <f t="shared" si="509"/>
        <v>0</v>
      </c>
      <c r="U230" s="36">
        <f>INDEX(cenník!$C$2:$I$570,MATCH($L230,cenník!$B$2:$B$559,0),MATCH(U$2,cenník!$C$1:$I$1,0))*O230</f>
        <v>0</v>
      </c>
      <c r="W230" s="64"/>
      <c r="X230" s="64"/>
      <c r="Y230" s="64"/>
      <c r="Z230" s="64"/>
      <c r="AA230" s="64"/>
      <c r="AB230" s="64"/>
      <c r="AC230" s="64"/>
      <c r="AD230" s="64"/>
      <c r="AE230" s="64"/>
      <c r="AF230" s="64"/>
      <c r="AR230" s="68" t="s">
        <v>330</v>
      </c>
      <c r="AS230" s="68" t="s">
        <v>291</v>
      </c>
      <c r="AT230" s="68" t="s">
        <v>84</v>
      </c>
      <c r="AU230" s="68" t="s">
        <v>84</v>
      </c>
      <c r="AV230" s="68" t="s">
        <v>84</v>
      </c>
      <c r="BH230" s="69" t="s">
        <v>196</v>
      </c>
      <c r="BI230" s="64">
        <v>0</v>
      </c>
      <c r="BJ230" s="64">
        <v>8</v>
      </c>
      <c r="BK230" s="64">
        <v>12</v>
      </c>
      <c r="BL230" s="64">
        <v>16</v>
      </c>
      <c r="BM230" s="64">
        <v>20</v>
      </c>
      <c r="BN230" s="64">
        <v>24</v>
      </c>
      <c r="BO230" s="64">
        <v>28</v>
      </c>
      <c r="BP230" s="64">
        <v>32</v>
      </c>
      <c r="BQ230" s="64">
        <v>36</v>
      </c>
      <c r="BR230" s="64">
        <v>40</v>
      </c>
      <c r="BS230" s="64">
        <v>44</v>
      </c>
      <c r="BT230" s="64">
        <v>48</v>
      </c>
      <c r="BU230" s="64">
        <v>52</v>
      </c>
      <c r="BW230" s="68" t="s">
        <v>204</v>
      </c>
      <c r="BX230" s="68">
        <v>0</v>
      </c>
      <c r="BY230" s="68">
        <v>8</v>
      </c>
      <c r="BZ230" s="68">
        <v>12</v>
      </c>
      <c r="CA230" s="68">
        <v>16</v>
      </c>
      <c r="CB230" s="68">
        <v>20</v>
      </c>
      <c r="CC230" s="68">
        <v>24</v>
      </c>
      <c r="CD230" s="68">
        <v>28</v>
      </c>
      <c r="CE230" s="68">
        <v>32</v>
      </c>
      <c r="CF230" s="68">
        <v>36</v>
      </c>
      <c r="CG230" s="68">
        <v>40</v>
      </c>
      <c r="CH230" s="68">
        <v>44</v>
      </c>
      <c r="CI230" s="68">
        <v>48</v>
      </c>
      <c r="CJ230" s="68">
        <v>52</v>
      </c>
      <c r="DA230" s="71"/>
    </row>
    <row r="231" spans="1:105" x14ac:dyDescent="0.25">
      <c r="A231" s="8"/>
      <c r="B231" s="5" t="s">
        <v>61</v>
      </c>
      <c r="C231" s="8"/>
      <c r="D231" s="6" t="str">
        <f>IF(E222=$AC$8,"Dĺžka skrutky GSW","")</f>
        <v/>
      </c>
      <c r="E231" s="42">
        <v>1600</v>
      </c>
      <c r="F231" s="9"/>
      <c r="G231" s="9"/>
      <c r="H231" s="9"/>
      <c r="I231" s="9"/>
      <c r="J231" s="31" t="str">
        <f>IF(E222=$AC$8,"[mm]","")</f>
        <v/>
      </c>
      <c r="K231" s="9"/>
      <c r="L231" s="6" t="s">
        <v>318</v>
      </c>
      <c r="M231" s="11">
        <f>INDEX(cenník!$C$2:$I$570,MATCH($L231,cenník!$B$2:$B$559,0),MATCH(M$2,cenník!$C$1:$I$1,0))</f>
        <v>6500451</v>
      </c>
      <c r="N231" s="11" t="str">
        <f>INDEX(cenník!$C$2:$I$570,MATCH($L231,cenník!$B$2:$B$559,0),MATCH(N$2,cenník!$C$1:$I$1,0))</f>
        <v>100ks</v>
      </c>
      <c r="O231" s="11">
        <f>ROUNDUP((O229*2)/100,0)</f>
        <v>0</v>
      </c>
      <c r="P231" s="36">
        <f>INDEX(cenník!$C$2:$I$570,MATCH($L231,cenník!$B$2:$B$559,0),MATCH(P$2,cenník!$C$1:$I$1,0))</f>
        <v>4.9400000000000004</v>
      </c>
      <c r="Q231" s="36">
        <f t="shared" si="508"/>
        <v>0</v>
      </c>
      <c r="R231" s="37">
        <f t="shared" si="502"/>
        <v>0</v>
      </c>
      <c r="S231" s="36">
        <f t="shared" si="503"/>
        <v>4.9400000000000004</v>
      </c>
      <c r="T231" s="36">
        <f t="shared" si="509"/>
        <v>0</v>
      </c>
      <c r="U231" s="36">
        <f>INDEX(cenník!$C$2:$I$570,MATCH($L231,cenník!$B$2:$B$559,0),MATCH(U$2,cenník!$C$1:$I$1,0))*O231</f>
        <v>0</v>
      </c>
      <c r="W231" s="64"/>
      <c r="X231" s="64"/>
      <c r="Y231" s="64"/>
      <c r="Z231" s="64"/>
      <c r="AA231" s="64"/>
      <c r="AB231" s="64"/>
      <c r="AC231" s="64"/>
      <c r="AD231" s="64"/>
      <c r="AE231" s="64"/>
      <c r="AF231" s="64"/>
      <c r="AR231" s="68" t="s">
        <v>331</v>
      </c>
      <c r="AS231" s="68" t="s">
        <v>291</v>
      </c>
      <c r="AT231" s="68" t="s">
        <v>84</v>
      </c>
      <c r="AU231" s="68" t="s">
        <v>84</v>
      </c>
      <c r="AV231" s="68" t="s">
        <v>84</v>
      </c>
      <c r="BH231" s="69" t="s">
        <v>286</v>
      </c>
      <c r="BI231" s="64">
        <v>0</v>
      </c>
      <c r="BJ231" s="64">
        <v>0</v>
      </c>
      <c r="BK231" s="64">
        <v>0</v>
      </c>
      <c r="BL231" s="64">
        <v>0</v>
      </c>
      <c r="BM231" s="64">
        <v>0</v>
      </c>
      <c r="BN231" s="64">
        <v>0</v>
      </c>
      <c r="BO231" s="64">
        <v>0</v>
      </c>
      <c r="BP231" s="64">
        <v>0</v>
      </c>
      <c r="BQ231" s="64">
        <v>0</v>
      </c>
      <c r="BR231" s="64">
        <v>0</v>
      </c>
      <c r="BS231" s="64">
        <v>0</v>
      </c>
      <c r="BT231" s="64">
        <v>0</v>
      </c>
      <c r="BU231" s="64">
        <v>0</v>
      </c>
      <c r="BW231" s="68" t="s">
        <v>286</v>
      </c>
      <c r="BX231" s="68">
        <v>0</v>
      </c>
      <c r="BY231" s="68">
        <v>5</v>
      </c>
      <c r="BZ231" s="68">
        <v>0</v>
      </c>
      <c r="CA231" s="68">
        <v>0</v>
      </c>
      <c r="CB231" s="68">
        <v>0</v>
      </c>
      <c r="CC231" s="68">
        <v>0</v>
      </c>
      <c r="CD231" s="68">
        <v>0</v>
      </c>
      <c r="CE231" s="68">
        <v>0</v>
      </c>
      <c r="CF231" s="68">
        <v>0</v>
      </c>
      <c r="CG231" s="68">
        <v>0</v>
      </c>
      <c r="CH231" s="68">
        <v>0</v>
      </c>
      <c r="CI231" s="68">
        <v>0</v>
      </c>
      <c r="CJ231" s="68">
        <v>0</v>
      </c>
      <c r="DA231" s="71"/>
    </row>
    <row r="232" spans="1:105" x14ac:dyDescent="0.25">
      <c r="A232" s="8"/>
      <c r="B232" s="5" t="s">
        <v>61</v>
      </c>
      <c r="C232" s="8"/>
      <c r="D232" s="44" t="s">
        <v>518</v>
      </c>
      <c r="E232" s="9"/>
      <c r="F232" s="9"/>
      <c r="G232" s="9"/>
      <c r="H232" s="9"/>
      <c r="I232" s="9"/>
      <c r="J232" s="9"/>
      <c r="K232" s="9"/>
      <c r="L232" s="6" t="s">
        <v>1457</v>
      </c>
      <c r="M232" s="11">
        <f>INDEX(cenník!$C$2:$I$570,MATCH($L232,cenník!$B$2:$B$559,0),MATCH(M$2,cenník!$C$1:$I$1,0))</f>
        <v>850252</v>
      </c>
      <c r="N232" s="11" t="str">
        <f>INDEX(cenník!$C$2:$I$570,MATCH($L232,cenník!$B$2:$B$559,0),MATCH(N$2,cenník!$C$1:$I$1,0))</f>
        <v>ks</v>
      </c>
      <c r="O232" s="11">
        <f>O222+O228</f>
        <v>0</v>
      </c>
      <c r="P232" s="36">
        <f>INDEX(cenník!$C$2:$I$570,MATCH($L232,cenník!$B$2:$B$559,0),MATCH(P$2,cenník!$C$1:$I$1,0))</f>
        <v>2.11</v>
      </c>
      <c r="Q232" s="36">
        <f t="shared" si="508"/>
        <v>0</v>
      </c>
      <c r="R232" s="37">
        <f t="shared" si="502"/>
        <v>0</v>
      </c>
      <c r="S232" s="36">
        <f t="shared" si="503"/>
        <v>2.11</v>
      </c>
      <c r="T232" s="36">
        <f t="shared" si="509"/>
        <v>0</v>
      </c>
      <c r="U232" s="36">
        <f>INDEX(cenník!$C$2:$I$570,MATCH($L232,cenník!$B$2:$B$559,0),MATCH(U$2,cenník!$C$1:$I$1,0))*O232</f>
        <v>0</v>
      </c>
      <c r="W232" s="64"/>
      <c r="X232" s="64"/>
      <c r="Y232" s="64"/>
      <c r="Z232" s="64"/>
      <c r="AA232" s="64"/>
      <c r="AB232" s="64"/>
      <c r="AC232" s="64"/>
      <c r="AD232" s="64"/>
      <c r="AE232" s="64"/>
      <c r="AF232" s="64"/>
      <c r="BH232" s="69" t="s">
        <v>240</v>
      </c>
      <c r="BI232" s="64">
        <v>0</v>
      </c>
      <c r="BJ232" s="64">
        <v>5</v>
      </c>
      <c r="BK232" s="64">
        <v>0</v>
      </c>
      <c r="BL232" s="64">
        <v>10</v>
      </c>
      <c r="BM232" s="64">
        <v>0</v>
      </c>
      <c r="BN232" s="64">
        <v>10</v>
      </c>
      <c r="BO232" s="64">
        <v>5</v>
      </c>
      <c r="BP232" s="64">
        <v>15</v>
      </c>
      <c r="BQ232" s="64">
        <v>20</v>
      </c>
      <c r="BR232" s="64">
        <v>15</v>
      </c>
      <c r="BS232" s="64">
        <v>25</v>
      </c>
      <c r="BT232" s="64">
        <v>20</v>
      </c>
      <c r="BU232" s="64">
        <v>30</v>
      </c>
      <c r="BW232" s="68" t="s">
        <v>240</v>
      </c>
      <c r="BX232" s="68">
        <v>0</v>
      </c>
      <c r="BY232" s="68">
        <v>0</v>
      </c>
      <c r="BZ232" s="68">
        <v>5</v>
      </c>
      <c r="CA232" s="68">
        <v>0</v>
      </c>
      <c r="CB232" s="68">
        <v>10</v>
      </c>
      <c r="CC232" s="68">
        <v>5</v>
      </c>
      <c r="CD232" s="68">
        <v>15</v>
      </c>
      <c r="CE232" s="68">
        <v>10</v>
      </c>
      <c r="CF232" s="68">
        <v>20</v>
      </c>
      <c r="CG232" s="68">
        <v>15</v>
      </c>
      <c r="CH232" s="68">
        <v>25</v>
      </c>
      <c r="CI232" s="68">
        <v>20</v>
      </c>
      <c r="CJ232" s="68">
        <v>30</v>
      </c>
      <c r="DA232" s="71"/>
    </row>
    <row r="233" spans="1:105" x14ac:dyDescent="0.25">
      <c r="A233" s="8"/>
      <c r="B233" s="5" t="s">
        <v>61</v>
      </c>
      <c r="C233" s="8"/>
      <c r="D233" s="44" t="s">
        <v>519</v>
      </c>
      <c r="E233" s="9"/>
      <c r="F233" s="9"/>
      <c r="G233" s="9"/>
      <c r="H233" s="9"/>
      <c r="I233" s="9"/>
      <c r="J233" s="9"/>
      <c r="K233" s="9"/>
      <c r="L233" s="6" t="s">
        <v>286</v>
      </c>
      <c r="M233" s="11">
        <f>INDEX(cenník!$C$2:$I$570,MATCH($L233,cenník!$B$2:$B$559,0),MATCH(M$2,cenník!$C$1:$I$1,0))</f>
        <v>867566</v>
      </c>
      <c r="N233" s="11" t="str">
        <f>INDEX(cenník!$C$2:$I$570,MATCH($L233,cenník!$B$2:$B$559,0),MATCH(N$2,cenník!$C$1:$I$1,0))</f>
        <v>ks</v>
      </c>
      <c r="O233" s="11">
        <f>SUM(X209:X224)</f>
        <v>0</v>
      </c>
      <c r="P233" s="36">
        <f>INDEX(cenník!$C$2:$I$570,MATCH($L233,cenník!$B$2:$B$559,0),MATCH(P$2,cenník!$C$1:$I$1,0))</f>
        <v>91.73</v>
      </c>
      <c r="Q233" s="36">
        <f t="shared" ref="Q233" si="510">O233*P233</f>
        <v>0</v>
      </c>
      <c r="R233" s="37">
        <f t="shared" si="502"/>
        <v>0</v>
      </c>
      <c r="S233" s="36">
        <f t="shared" si="503"/>
        <v>91.73</v>
      </c>
      <c r="T233" s="36">
        <f t="shared" ref="T233" si="511">O233*S233</f>
        <v>0</v>
      </c>
      <c r="U233" s="36">
        <f>INDEX(cenník!$C$2:$I$570,MATCH($L233,cenník!$B$2:$B$559,0),MATCH(U$2,cenník!$C$1:$I$1,0))*O233</f>
        <v>0</v>
      </c>
      <c r="W233" s="64"/>
      <c r="X233" s="64"/>
      <c r="Y233" s="64"/>
      <c r="Z233" s="64"/>
      <c r="AA233" s="64"/>
      <c r="AB233" s="64"/>
      <c r="AC233" s="64"/>
      <c r="AD233" s="64"/>
      <c r="AE233" s="64"/>
      <c r="AF233" s="64"/>
      <c r="AK233" s="68" t="s">
        <v>515</v>
      </c>
      <c r="AL233" s="68" t="s">
        <v>516</v>
      </c>
      <c r="AM233" s="68" t="s">
        <v>483</v>
      </c>
      <c r="AN233" s="68" t="s">
        <v>517</v>
      </c>
      <c r="AP233" s="68" t="s">
        <v>349</v>
      </c>
      <c r="BH233" s="69" t="s">
        <v>241</v>
      </c>
      <c r="BI233" s="64">
        <v>0</v>
      </c>
      <c r="BJ233" s="64">
        <v>0</v>
      </c>
      <c r="BK233" s="64">
        <v>10</v>
      </c>
      <c r="BL233" s="64">
        <v>0</v>
      </c>
      <c r="BM233" s="64">
        <v>15</v>
      </c>
      <c r="BN233" s="64">
        <v>5</v>
      </c>
      <c r="BO233" s="64">
        <v>15</v>
      </c>
      <c r="BP233" s="64">
        <v>5</v>
      </c>
      <c r="BQ233" s="64">
        <v>0</v>
      </c>
      <c r="BR233" s="64">
        <v>10</v>
      </c>
      <c r="BS233" s="64">
        <v>0</v>
      </c>
      <c r="BT233" s="64">
        <v>10</v>
      </c>
      <c r="BU233" s="64">
        <v>0</v>
      </c>
      <c r="BW233" s="68" t="s">
        <v>241</v>
      </c>
      <c r="BX233" s="68">
        <v>0</v>
      </c>
      <c r="BY233" s="68">
        <v>0</v>
      </c>
      <c r="BZ233" s="68">
        <v>5</v>
      </c>
      <c r="CA233" s="68">
        <v>15</v>
      </c>
      <c r="CB233" s="68">
        <v>5</v>
      </c>
      <c r="CC233" s="68">
        <v>15</v>
      </c>
      <c r="CD233" s="68">
        <v>5</v>
      </c>
      <c r="CE233" s="68">
        <v>15</v>
      </c>
      <c r="CF233" s="68">
        <v>5</v>
      </c>
      <c r="CG233" s="68">
        <v>15</v>
      </c>
      <c r="CH233" s="68">
        <v>5</v>
      </c>
      <c r="CI233" s="68">
        <v>15</v>
      </c>
      <c r="CJ233" s="68">
        <v>5</v>
      </c>
      <c r="DA233" s="71"/>
    </row>
    <row r="234" spans="1:105" x14ac:dyDescent="0.25">
      <c r="A234" s="8"/>
      <c r="B234" s="5" t="s">
        <v>61</v>
      </c>
      <c r="C234" s="8"/>
      <c r="D234" s="44" t="s">
        <v>520</v>
      </c>
      <c r="E234" s="9"/>
      <c r="F234" s="9"/>
      <c r="G234" s="9"/>
      <c r="H234" s="9"/>
      <c r="I234" s="9"/>
      <c r="J234" s="9"/>
      <c r="K234" s="9"/>
      <c r="L234" s="6" t="s">
        <v>240</v>
      </c>
      <c r="M234" s="11">
        <f>INDEX(cenník!$C$2:$I$570,MATCH($L234,cenník!$B$2:$B$559,0),MATCH(M$2,cenník!$C$1:$I$1,0))</f>
        <v>867644</v>
      </c>
      <c r="N234" s="11" t="str">
        <f>INDEX(cenník!$C$2:$I$570,MATCH($L234,cenník!$B$2:$B$559,0),MATCH(N$2,cenník!$C$1:$I$1,0))</f>
        <v>ks</v>
      </c>
      <c r="O234" s="11">
        <f>SUM(Y209:Y224)</f>
        <v>0</v>
      </c>
      <c r="P234" s="36">
        <f>INDEX(cenník!$C$2:$I$570,MATCH($L234,cenník!$B$2:$B$559,0),MATCH(P$2,cenník!$C$1:$I$1,0))</f>
        <v>61.15</v>
      </c>
      <c r="Q234" s="36">
        <f t="shared" ref="Q234:Q247" si="512">O234*P234</f>
        <v>0</v>
      </c>
      <c r="R234" s="37">
        <f t="shared" si="502"/>
        <v>0</v>
      </c>
      <c r="S234" s="36">
        <f t="shared" si="503"/>
        <v>61.15</v>
      </c>
      <c r="T234" s="36">
        <f t="shared" ref="T234:T247" si="513">O234*S234</f>
        <v>0</v>
      </c>
      <c r="U234" s="36">
        <f>INDEX(cenník!$C$2:$I$570,MATCH($L234,cenník!$B$2:$B$559,0),MATCH(U$2,cenník!$C$1:$I$1,0))*O234</f>
        <v>0</v>
      </c>
      <c r="W234" s="64"/>
      <c r="X234" s="64"/>
      <c r="Y234" s="64"/>
      <c r="Z234" s="64"/>
      <c r="AA234" s="64"/>
      <c r="AB234" s="64"/>
      <c r="AC234" s="64"/>
      <c r="AD234" s="64"/>
      <c r="AE234" s="64"/>
      <c r="AF234" s="64"/>
      <c r="AJ234" s="68">
        <v>25</v>
      </c>
      <c r="AK234" s="68" t="s">
        <v>506</v>
      </c>
      <c r="AL234" s="68" t="s">
        <v>507</v>
      </c>
      <c r="AM234" s="68" t="s">
        <v>508</v>
      </c>
      <c r="AN234" s="68" t="s">
        <v>509</v>
      </c>
      <c r="AP234" s="68" t="s">
        <v>333</v>
      </c>
      <c r="AQ234" s="68">
        <v>1</v>
      </c>
      <c r="AR234" s="68">
        <v>2</v>
      </c>
      <c r="AS234" s="68">
        <v>3</v>
      </c>
      <c r="AT234" s="68">
        <v>4</v>
      </c>
      <c r="AU234" s="68">
        <v>5</v>
      </c>
      <c r="BH234" s="72" t="s">
        <v>364</v>
      </c>
      <c r="BI234" s="64">
        <v>0</v>
      </c>
      <c r="BJ234" s="64">
        <v>0</v>
      </c>
      <c r="BK234" s="64">
        <v>5</v>
      </c>
      <c r="BL234" s="64">
        <v>5</v>
      </c>
      <c r="BM234" s="64">
        <v>10</v>
      </c>
      <c r="BN234" s="64">
        <v>10</v>
      </c>
      <c r="BO234" s="64">
        <v>15</v>
      </c>
      <c r="BP234" s="64">
        <v>15</v>
      </c>
      <c r="BQ234" s="64">
        <v>15</v>
      </c>
      <c r="BR234" s="64">
        <v>20</v>
      </c>
      <c r="BS234" s="64">
        <v>20</v>
      </c>
      <c r="BT234" s="64">
        <v>25</v>
      </c>
      <c r="BU234" s="64">
        <v>25</v>
      </c>
      <c r="BW234" s="72" t="s">
        <v>364</v>
      </c>
      <c r="BX234" s="68">
        <v>0</v>
      </c>
      <c r="BY234" s="68">
        <v>0</v>
      </c>
      <c r="BZ234" s="68">
        <v>5</v>
      </c>
      <c r="CA234" s="68">
        <v>10</v>
      </c>
      <c r="CB234" s="68">
        <v>10</v>
      </c>
      <c r="CC234" s="68">
        <v>15</v>
      </c>
      <c r="CD234" s="68">
        <v>15</v>
      </c>
      <c r="CE234" s="68">
        <v>20</v>
      </c>
      <c r="CF234" s="68">
        <v>20</v>
      </c>
      <c r="CG234" s="68">
        <v>25</v>
      </c>
      <c r="CH234" s="68">
        <v>25</v>
      </c>
      <c r="CI234" s="68">
        <v>30</v>
      </c>
      <c r="CJ234" s="68">
        <v>30</v>
      </c>
      <c r="DA234" s="71"/>
    </row>
    <row r="235" spans="1:105" ht="15.75" thickBot="1" x14ac:dyDescent="0.3">
      <c r="A235" s="9"/>
      <c r="B235" s="6"/>
      <c r="C235" s="9"/>
      <c r="D235" s="44" t="s">
        <v>521</v>
      </c>
      <c r="E235" s="9"/>
      <c r="F235" s="9"/>
      <c r="G235" s="9"/>
      <c r="H235" s="9"/>
      <c r="I235" s="9"/>
      <c r="J235" s="9"/>
      <c r="K235" s="9"/>
      <c r="L235" s="6" t="s">
        <v>241</v>
      </c>
      <c r="M235" s="11">
        <f>INDEX(cenník!$C$2:$I$570,MATCH($L235,cenník!$B$2:$B$559,0),MATCH(M$2,cenník!$C$1:$I$1,0))</f>
        <v>867633</v>
      </c>
      <c r="N235" s="11" t="str">
        <f>INDEX(cenník!$C$2:$I$570,MATCH($L235,cenník!$B$2:$B$559,0),MATCH(N$2,cenník!$C$1:$I$1,0))</f>
        <v>ks</v>
      </c>
      <c r="O235" s="11">
        <f>SUM(Z209:Z224)</f>
        <v>0</v>
      </c>
      <c r="P235" s="36">
        <f>INDEX(cenník!$C$2:$I$570,MATCH($L235,cenník!$B$2:$B$559,0),MATCH(P$2,cenník!$C$1:$I$1,0))</f>
        <v>45.86</v>
      </c>
      <c r="Q235" s="36">
        <f t="shared" si="512"/>
        <v>0</v>
      </c>
      <c r="R235" s="37">
        <f t="shared" si="502"/>
        <v>0</v>
      </c>
      <c r="S235" s="36">
        <f t="shared" si="503"/>
        <v>45.86</v>
      </c>
      <c r="T235" s="36">
        <f t="shared" si="513"/>
        <v>0</v>
      </c>
      <c r="U235" s="36">
        <f>INDEX(cenník!$C$2:$I$570,MATCH($L235,cenník!$B$2:$B$559,0),MATCH(U$2,cenník!$C$1:$I$1,0))*O235</f>
        <v>0</v>
      </c>
      <c r="AJ235" s="68">
        <v>30</v>
      </c>
      <c r="AK235" s="68" t="s">
        <v>510</v>
      </c>
      <c r="AL235" s="68" t="s">
        <v>511</v>
      </c>
      <c r="AM235" s="68" t="s">
        <v>512</v>
      </c>
      <c r="AN235" s="68" t="s">
        <v>513</v>
      </c>
      <c r="AP235" s="68">
        <v>1</v>
      </c>
      <c r="AQ235" s="68" t="s">
        <v>524</v>
      </c>
      <c r="AR235" s="68" t="s">
        <v>524</v>
      </c>
      <c r="AS235" s="68" t="s">
        <v>524</v>
      </c>
      <c r="AT235" s="68" t="s">
        <v>524</v>
      </c>
      <c r="AU235" s="68" t="s">
        <v>522</v>
      </c>
      <c r="BH235" s="96"/>
      <c r="BI235" s="78"/>
      <c r="BJ235" s="78"/>
      <c r="BK235" s="78"/>
      <c r="BL235" s="78"/>
      <c r="BM235" s="78"/>
      <c r="BN235" s="78"/>
      <c r="BO235" s="78"/>
      <c r="BP235" s="78"/>
      <c r="BQ235" s="78"/>
      <c r="BR235" s="78"/>
      <c r="BS235" s="78"/>
      <c r="BT235" s="78"/>
      <c r="BU235" s="78"/>
      <c r="BV235" s="78"/>
      <c r="BW235" s="78"/>
      <c r="BX235" s="78"/>
      <c r="BY235" s="78"/>
      <c r="BZ235" s="78"/>
      <c r="CA235" s="78"/>
      <c r="CB235" s="78"/>
      <c r="CC235" s="78"/>
      <c r="CD235" s="78"/>
      <c r="CE235" s="78"/>
      <c r="CF235" s="78"/>
      <c r="CG235" s="78"/>
      <c r="CH235" s="78"/>
      <c r="CI235" s="78"/>
      <c r="CJ235" s="78"/>
      <c r="CK235" s="78"/>
      <c r="CL235" s="78"/>
      <c r="CM235" s="78"/>
      <c r="CN235" s="78"/>
      <c r="CO235" s="78"/>
      <c r="CP235" s="78"/>
      <c r="CQ235" s="78"/>
      <c r="CR235" s="78"/>
      <c r="CS235" s="78"/>
      <c r="CT235" s="78"/>
      <c r="CU235" s="78"/>
      <c r="CV235" s="78"/>
      <c r="CW235" s="78"/>
      <c r="CX235" s="78"/>
      <c r="CY235" s="78"/>
      <c r="CZ235" s="78"/>
      <c r="DA235" s="79"/>
    </row>
    <row r="236" spans="1:105" x14ac:dyDescent="0.25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6" t="s">
        <v>364</v>
      </c>
      <c r="M236" s="11">
        <f>INDEX(cenník!$C$2:$I$570,MATCH($L236,cenník!$B$2:$B$559,0),MATCH(M$2,cenník!$C$1:$I$1,0))</f>
        <v>856105</v>
      </c>
      <c r="N236" s="11" t="str">
        <f>INDEX(cenník!$C$2:$I$570,MATCH($L236,cenník!$B$2:$B$559,0),MATCH(N$2,cenník!$C$1:$I$1,0))</f>
        <v>ks</v>
      </c>
      <c r="O236" s="11">
        <f>SUM(W209:W224)</f>
        <v>0</v>
      </c>
      <c r="P236" s="36">
        <f>INDEX(cenník!$C$2:$I$570,MATCH($L236,cenník!$B$2:$B$559,0),MATCH(P$2,cenník!$C$1:$I$1,0))</f>
        <v>7.54</v>
      </c>
      <c r="Q236" s="36">
        <f t="shared" si="512"/>
        <v>0</v>
      </c>
      <c r="R236" s="37">
        <f t="shared" si="502"/>
        <v>0</v>
      </c>
      <c r="S236" s="36">
        <f t="shared" si="503"/>
        <v>7.54</v>
      </c>
      <c r="T236" s="36">
        <f t="shared" si="513"/>
        <v>0</v>
      </c>
      <c r="U236" s="36">
        <f>INDEX(cenník!$C$2:$I$570,MATCH($L236,cenník!$B$2:$B$559,0),MATCH(U$2,cenník!$C$1:$I$1,0))*O236</f>
        <v>0</v>
      </c>
      <c r="AP236" s="68">
        <v>2</v>
      </c>
      <c r="AQ236" s="68" t="s">
        <v>522</v>
      </c>
      <c r="AR236" s="68" t="s">
        <v>524</v>
      </c>
      <c r="AS236" s="68" t="s">
        <v>524</v>
      </c>
      <c r="AT236" s="68" t="s">
        <v>522</v>
      </c>
      <c r="AU236" s="68" t="s">
        <v>522</v>
      </c>
    </row>
    <row r="237" spans="1:105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>
        <f>INDEX(cenník!$C$2:$I$570,MATCH($L237,cenník!$B$2:$B$559,0),MATCH(M$2,cenník!$C$1:$I$1,0))</f>
        <v>897330</v>
      </c>
      <c r="N237" s="11" t="str">
        <f>INDEX(cenník!$C$2:$I$570,MATCH($L237,cenník!$B$2:$B$559,0),MATCH(N$2,cenník!$C$1:$I$1,0))</f>
        <v>ks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6">
        <f>INDEX(cenník!$C$2:$I$570,MATCH($L237,cenník!$B$2:$B$559,0),MATCH(P$2,cenník!$C$1:$I$1,0))</f>
        <v>0.62</v>
      </c>
      <c r="Q237" s="36">
        <f t="shared" si="512"/>
        <v>0</v>
      </c>
      <c r="R237" s="37">
        <f t="shared" si="502"/>
        <v>0</v>
      </c>
      <c r="S237" s="36">
        <f t="shared" si="503"/>
        <v>0.62</v>
      </c>
      <c r="T237" s="36">
        <f t="shared" si="513"/>
        <v>0</v>
      </c>
      <c r="U237" s="36">
        <f>INDEX(cenník!$C$2:$I$570,MATCH($L237,cenník!$B$2:$B$559,0),MATCH(U$2,cenník!$C$1:$I$1,0))*O237</f>
        <v>0</v>
      </c>
      <c r="AP237" s="68" t="s">
        <v>339</v>
      </c>
      <c r="AQ237" s="68" t="s">
        <v>524</v>
      </c>
      <c r="AR237" s="68" t="s">
        <v>522</v>
      </c>
      <c r="AS237" s="68" t="s">
        <v>524</v>
      </c>
      <c r="AT237" s="68" t="s">
        <v>522</v>
      </c>
      <c r="AU237" s="68" t="s">
        <v>347</v>
      </c>
    </row>
    <row r="238" spans="1:10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>
        <f>INDEX(cenník!$C$2:$I$570,MATCH($L238,cenník!$B$2:$B$559,0),MATCH(M$2,cenník!$C$1:$I$1,0))</f>
        <v>897300</v>
      </c>
      <c r="N238" s="11" t="str">
        <f>INDEX(cenník!$C$2:$I$570,MATCH($L238,cenník!$B$2:$B$559,0),MATCH(N$2,cenník!$C$1:$I$1,0))</f>
        <v>ks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6">
        <f>INDEX(cenník!$C$2:$I$570,MATCH($L238,cenník!$B$2:$B$559,0),MATCH(P$2,cenník!$C$1:$I$1,0))</f>
        <v>0.56999999999999995</v>
      </c>
      <c r="Q238" s="36">
        <f t="shared" si="512"/>
        <v>0</v>
      </c>
      <c r="R238" s="37">
        <f t="shared" si="502"/>
        <v>0</v>
      </c>
      <c r="S238" s="36">
        <f t="shared" si="503"/>
        <v>0.56999999999999995</v>
      </c>
      <c r="T238" s="36">
        <f t="shared" si="513"/>
        <v>0</v>
      </c>
      <c r="U238" s="36">
        <f>INDEX(cenník!$C$2:$I$570,MATCH($L238,cenník!$B$2:$B$559,0),MATCH(U$2,cenník!$C$1:$I$1,0))*O238</f>
        <v>0</v>
      </c>
    </row>
    <row r="239" spans="1:105" x14ac:dyDescent="0.2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>
        <f>INDEX(cenník!$C$2:$I$570,MATCH($L239,cenník!$B$2:$B$559,0),MATCH(M$2,cenník!$C$1:$I$1,0))</f>
        <v>898525</v>
      </c>
      <c r="N239" s="11" t="str">
        <f>INDEX(cenník!$C$2:$I$570,MATCH($L239,cenník!$B$2:$B$559,0),MATCH(N$2,cenník!$C$1:$I$1,0))</f>
        <v>ks</v>
      </c>
      <c r="O239" s="11">
        <f>SUM(O237:O238)</f>
        <v>0</v>
      </c>
      <c r="P239" s="36">
        <f>INDEX(cenník!$C$2:$I$570,MATCH($L239,cenník!$B$2:$B$559,0),MATCH(P$2,cenník!$C$1:$I$1,0))</f>
        <v>0.16</v>
      </c>
      <c r="Q239" s="36">
        <f t="shared" si="512"/>
        <v>0</v>
      </c>
      <c r="R239" s="37">
        <f t="shared" si="502"/>
        <v>0</v>
      </c>
      <c r="S239" s="36">
        <f t="shared" si="503"/>
        <v>0.16</v>
      </c>
      <c r="T239" s="36">
        <f t="shared" si="513"/>
        <v>0</v>
      </c>
      <c r="U239" s="36">
        <f>INDEX(cenník!$C$2:$I$570,MATCH($L239,cenník!$B$2:$B$559,0),MATCH(U$2,cenník!$C$1:$I$1,0))*O239</f>
        <v>0</v>
      </c>
      <c r="X239" s="72" t="s">
        <v>17</v>
      </c>
      <c r="Y239" s="64" t="s">
        <v>104</v>
      </c>
      <c r="Z239" s="64" t="s">
        <v>103</v>
      </c>
      <c r="AA239" s="64" t="s">
        <v>16</v>
      </c>
      <c r="AD239" s="83" t="s">
        <v>317</v>
      </c>
      <c r="AE239" s="84" t="s">
        <v>126</v>
      </c>
      <c r="AG239" s="84" t="s">
        <v>362</v>
      </c>
      <c r="AP239" s="68" t="s">
        <v>367</v>
      </c>
      <c r="AV239" s="68" t="s">
        <v>368</v>
      </c>
    </row>
    <row r="240" spans="1:105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244</v>
      </c>
      <c r="M240" s="11">
        <f>INDEX(cenník!$C$2:$I$570,MATCH($L240,cenník!$B$2:$B$559,0),MATCH(M$2,cenník!$C$1:$I$1,0))</f>
        <v>166794</v>
      </c>
      <c r="N240" s="11" t="str">
        <f>INDEX(cenník!$C$2:$I$570,MATCH($L240,cenník!$B$2:$B$559,0),MATCH(N$2,cenník!$C$1:$I$1,0))</f>
        <v>100ks</v>
      </c>
      <c r="O240" s="11">
        <f>ROUNDUP(O239/100,0)</f>
        <v>0</v>
      </c>
      <c r="P240" s="36">
        <f>INDEX(cenník!$C$2:$I$570,MATCH($L240,cenník!$B$2:$B$559,0),MATCH(P$2,cenník!$C$1:$I$1,0))</f>
        <v>1.38</v>
      </c>
      <c r="Q240" s="36">
        <f t="shared" si="512"/>
        <v>0</v>
      </c>
      <c r="R240" s="37">
        <f t="shared" si="502"/>
        <v>0</v>
      </c>
      <c r="S240" s="36">
        <f t="shared" si="503"/>
        <v>1.38</v>
      </c>
      <c r="T240" s="36">
        <f t="shared" si="513"/>
        <v>0</v>
      </c>
      <c r="U240" s="36">
        <f>INDEX(cenník!$C$2:$I$570,MATCH($L240,cenník!$B$2:$B$559,0),MATCH(U$2,cenník!$C$1:$I$1,0))*O240</f>
        <v>0</v>
      </c>
      <c r="W240" s="68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87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87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87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87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64">
        <f>VLOOKUP(AG240,$AI$200:$AK$204,3,1)*C254</f>
        <v>0</v>
      </c>
      <c r="AE240" s="64">
        <f>ROUNDUP(((A254/4)+1),0)*C254</f>
        <v>0</v>
      </c>
      <c r="AG240" s="64">
        <f>ROUNDUP(((A254/4)+1),0)</f>
        <v>1</v>
      </c>
      <c r="AQ240" s="68" t="s">
        <v>515</v>
      </c>
      <c r="AR240" s="68" t="s">
        <v>516</v>
      </c>
      <c r="AS240" s="68" t="s">
        <v>483</v>
      </c>
      <c r="AT240" s="68" t="s">
        <v>517</v>
      </c>
      <c r="AW240" s="68" t="s">
        <v>515</v>
      </c>
      <c r="AX240" s="68" t="s">
        <v>516</v>
      </c>
      <c r="AY240" s="68" t="s">
        <v>483</v>
      </c>
      <c r="AZ240" s="68" t="s">
        <v>517</v>
      </c>
    </row>
    <row r="241" spans="1:52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243</v>
      </c>
      <c r="M241" s="11">
        <f>INDEX(cenník!$C$2:$I$570,MATCH($L241,cenník!$B$2:$B$559,0),MATCH(M$2,cenník!$C$1:$I$1,0))</f>
        <v>660245</v>
      </c>
      <c r="N241" s="11" t="str">
        <f>INDEX(cenník!$C$2:$I$570,MATCH($L241,cenník!$B$2:$B$559,0),MATCH(N$2,cenník!$C$1:$I$1,0))</f>
        <v>ks</v>
      </c>
      <c r="O241" s="11">
        <f>SUM(O237:O238)</f>
        <v>0</v>
      </c>
      <c r="P241" s="36">
        <f>INDEX(cenník!$C$2:$I$570,MATCH($L241,cenník!$B$2:$B$559,0),MATCH(P$2,cenník!$C$1:$I$1,0))</f>
        <v>0.55000000000000004</v>
      </c>
      <c r="Q241" s="36">
        <f t="shared" si="512"/>
        <v>0</v>
      </c>
      <c r="R241" s="37">
        <f t="shared" si="502"/>
        <v>0</v>
      </c>
      <c r="S241" s="36">
        <f t="shared" si="503"/>
        <v>0.55000000000000004</v>
      </c>
      <c r="T241" s="36">
        <f t="shared" si="513"/>
        <v>0</v>
      </c>
      <c r="U241" s="36">
        <f>INDEX(cenník!$C$2:$I$570,MATCH($L241,cenník!$B$2:$B$559,0),MATCH(U$2,cenník!$C$1:$I$1,0))*O241</f>
        <v>0</v>
      </c>
      <c r="X241" s="87">
        <f>INDEX(($EL$188:$FI$192,$EL$196:$FI$200,$FL$188:$GI$192,$FL$196:$GI$200,$GS$188:$HP$192,$GS$195:$HP$199,$HT$188:$IQ$192,$HT$195:$IQ$199,$HT$202:$IQ$206),MATCH($L$267,$EK$188:$EK$192,0),MATCH(A255,$EL$187:$FI$187,0),MATCH($G$255,$AE$24:$AE$32,0))*C255</f>
        <v>0</v>
      </c>
      <c r="Y241" s="87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87">
        <f>INDEX(($EL$188:$FI$192,$EL$196:$FI$200,$FL$188:$GI$192,$FL$196:$GI$200,$GS$188:$HP$192,$GS$195:$HP$199,$HT$188:$IQ$192,$HT$195:$IQ$199,$HT$202:$IQ$206),MATCH($L$265,$EK$188:$EK$192,0),MATCH(A255,$EL$187:$FI$187,0),MATCH($G$255,$AE$24:$AE$32,0))*C255</f>
        <v>0</v>
      </c>
      <c r="AA241" s="87">
        <f>INDEX(($EL$188:$FI$192,$EL$196:$FI$200,$FL$188:$GI$192,$FL$196:$GI$200,$GS$188:$HP$192,$GS$195:$HP$199,$HT$188:$IQ$192,$HT$195:$IQ$199,$HT$202:$IQ$206),MATCH($L$266,$EK$188:$EK$192,0),MATCH(A255,$EL$187:$FI$187,0),MATCH($G$255,$AE$24:$AE$32,0))*C255</f>
        <v>0</v>
      </c>
      <c r="AD241" s="64">
        <f t="shared" ref="AD241:AD255" si="514">VLOOKUP(AE241,$AI$200:$AK$204,3,1)*C255</f>
        <v>0</v>
      </c>
      <c r="AE241" s="64">
        <f t="shared" ref="AE241:AE255" si="515">ROUNDUP(((A255/4)+1),0)*C255</f>
        <v>0</v>
      </c>
      <c r="AG241" s="64">
        <f t="shared" ref="AG241:AG255" si="516">ROUNDUP(((A255/4)+1),0)</f>
        <v>1</v>
      </c>
      <c r="AP241" s="68" t="s">
        <v>56</v>
      </c>
      <c r="AQ241" s="68" t="s">
        <v>247</v>
      </c>
      <c r="AR241" s="68" t="s">
        <v>291</v>
      </c>
      <c r="AS241" s="68" t="s">
        <v>290</v>
      </c>
      <c r="AT241" s="68" t="s">
        <v>290</v>
      </c>
      <c r="AV241" s="68" t="s">
        <v>56</v>
      </c>
      <c r="AW241" s="68" t="s">
        <v>247</v>
      </c>
      <c r="AX241" s="68" t="s">
        <v>292</v>
      </c>
      <c r="AY241" s="68" t="s">
        <v>291</v>
      </c>
      <c r="AZ241" s="68" t="s">
        <v>291</v>
      </c>
    </row>
    <row r="242" spans="1:52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371</v>
      </c>
      <c r="M242" s="11">
        <f>INDEX(cenník!$C$2:$I$570,MATCH($L242,cenník!$B$2:$B$559,0),MATCH(M$2,cenník!$C$1:$I$1,0))</f>
        <v>6510443</v>
      </c>
      <c r="N242" s="11" t="str">
        <f>INDEX(cenník!$C$2:$I$570,MATCH($L242,cenník!$B$2:$B$559,0),MATCH(N$2,cenník!$C$1:$I$1,0))</f>
        <v>100ks</v>
      </c>
      <c r="O242" s="11">
        <f>O243</f>
        <v>0</v>
      </c>
      <c r="P242" s="36">
        <f>INDEX(cenník!$C$2:$I$570,MATCH($L242,cenník!$B$2:$B$559,0),MATCH(P$2,cenník!$C$1:$I$1,0))</f>
        <v>15.05</v>
      </c>
      <c r="Q242" s="36">
        <f t="shared" ref="Q242" si="517">O242*P242</f>
        <v>0</v>
      </c>
      <c r="R242" s="37">
        <f t="shared" si="502"/>
        <v>0</v>
      </c>
      <c r="S242" s="36">
        <f t="shared" si="503"/>
        <v>15.05</v>
      </c>
      <c r="T242" s="36">
        <f t="shared" ref="T242" si="518">O242*S242</f>
        <v>0</v>
      </c>
      <c r="U242" s="36">
        <f>INDEX(cenník!$C$2:$I$570,MATCH($L242,cenník!$B$2:$B$559,0),MATCH(U$2,cenník!$C$1:$I$1,0))*O242</f>
        <v>0</v>
      </c>
      <c r="X242" s="87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87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87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87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64">
        <f t="shared" si="514"/>
        <v>0</v>
      </c>
      <c r="AE242" s="64">
        <f t="shared" si="515"/>
        <v>0</v>
      </c>
      <c r="AG242" s="64">
        <f t="shared" si="516"/>
        <v>1</v>
      </c>
      <c r="AP242" s="68" t="s">
        <v>57</v>
      </c>
      <c r="AQ242" s="68" t="s">
        <v>247</v>
      </c>
      <c r="AR242" s="68" t="s">
        <v>291</v>
      </c>
      <c r="AS242" s="68" t="s">
        <v>290</v>
      </c>
      <c r="AT242" s="68" t="s">
        <v>290</v>
      </c>
      <c r="AV242" s="68" t="s">
        <v>57</v>
      </c>
      <c r="AW242" s="68" t="s">
        <v>247</v>
      </c>
      <c r="AX242" s="68" t="s">
        <v>292</v>
      </c>
      <c r="AY242" s="68" t="s">
        <v>291</v>
      </c>
      <c r="AZ242" s="68" t="s">
        <v>291</v>
      </c>
    </row>
    <row r="243" spans="1:52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150</v>
      </c>
      <c r="M243" s="11">
        <f>INDEX(cenník!$C$2:$I$570,MATCH($L243,cenník!$B$2:$B$559,0),MATCH(M$2,cenník!$C$1:$I$1,0))</f>
        <v>651643</v>
      </c>
      <c r="N243" s="11" t="str">
        <f>INDEX(cenník!$C$2:$I$570,MATCH($L243,cenník!$B$2:$B$559,0),MATCH(N$2,cenník!$C$1:$I$1,0))</f>
        <v>100ks</v>
      </c>
      <c r="O243" s="11">
        <f>ROUNDUP(((O222*12)+(O229)+(O250*4)+(O236*4)+(O221*9)+(2*O245)+E225+(O228*3)+(O225*12))/100,0)</f>
        <v>0</v>
      </c>
      <c r="P243" s="36">
        <f>INDEX(cenník!$C$2:$I$570,MATCH($L243,cenník!$B$2:$B$559,0),MATCH(P$2,cenník!$C$1:$I$1,0))</f>
        <v>49.87</v>
      </c>
      <c r="Q243" s="36">
        <f t="shared" si="512"/>
        <v>0</v>
      </c>
      <c r="R243" s="37">
        <f t="shared" si="502"/>
        <v>0</v>
      </c>
      <c r="S243" s="36">
        <f t="shared" si="503"/>
        <v>49.87</v>
      </c>
      <c r="T243" s="36">
        <f t="shared" si="513"/>
        <v>0</v>
      </c>
      <c r="U243" s="36">
        <f>INDEX(cenník!$C$2:$I$570,MATCH($L243,cenník!$B$2:$B$559,0),MATCH(U$2,cenník!$C$1:$I$1,0))*O243</f>
        <v>0</v>
      </c>
      <c r="X243" s="87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87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87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87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64">
        <f t="shared" si="514"/>
        <v>0</v>
      </c>
      <c r="AE243" s="64">
        <f t="shared" si="515"/>
        <v>0</v>
      </c>
      <c r="AG243" s="64">
        <f t="shared" si="516"/>
        <v>1</v>
      </c>
      <c r="AP243" s="68" t="s">
        <v>67</v>
      </c>
      <c r="AQ243" s="68" t="s">
        <v>247</v>
      </c>
      <c r="AR243" s="68" t="s">
        <v>291</v>
      </c>
      <c r="AS243" s="68" t="s">
        <v>290</v>
      </c>
      <c r="AT243" s="68" t="s">
        <v>290</v>
      </c>
      <c r="AV243" s="68" t="s">
        <v>67</v>
      </c>
      <c r="AW243" s="68" t="s">
        <v>247</v>
      </c>
      <c r="AX243" s="68" t="s">
        <v>292</v>
      </c>
      <c r="AY243" s="68" t="s">
        <v>291</v>
      </c>
      <c r="AZ243" s="68" t="s">
        <v>291</v>
      </c>
    </row>
    <row r="244" spans="1:52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65</v>
      </c>
      <c r="M244" s="11">
        <f>INDEX(cenník!$C$2:$I$570,MATCH($L244,cenník!$B$2:$B$559,0),MATCH(M$2,cenník!$C$1:$I$1,0))</f>
        <v>897303</v>
      </c>
      <c r="N244" s="11" t="str">
        <f>INDEX(cenník!$C$2:$I$570,MATCH($L244,cenník!$B$2:$B$559,0),MATCH(N$2,cenník!$C$1:$I$1,0))</f>
        <v>ks</v>
      </c>
      <c r="O244" s="11">
        <f>0.2*SUM(O237:O238)</f>
        <v>0</v>
      </c>
      <c r="P244" s="36">
        <f>INDEX(cenník!$C$2:$I$570,MATCH($L244,cenník!$B$2:$B$559,0),MATCH(P$2,cenník!$C$1:$I$1,0))</f>
        <v>0.83</v>
      </c>
      <c r="Q244" s="36">
        <f t="shared" si="512"/>
        <v>0</v>
      </c>
      <c r="R244" s="37">
        <f t="shared" si="502"/>
        <v>0</v>
      </c>
      <c r="S244" s="36">
        <f t="shared" si="503"/>
        <v>0.83</v>
      </c>
      <c r="T244" s="36">
        <f t="shared" si="513"/>
        <v>0</v>
      </c>
      <c r="U244" s="36">
        <f>INDEX(cenník!$C$2:$I$570,MATCH($L244,cenník!$B$2:$B$559,0),MATCH(U$2,cenník!$C$1:$I$1,0))*O244</f>
        <v>0</v>
      </c>
      <c r="X244" s="87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87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87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87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64">
        <f t="shared" si="514"/>
        <v>0</v>
      </c>
      <c r="AE244" s="64">
        <f t="shared" si="515"/>
        <v>0</v>
      </c>
      <c r="AG244" s="64">
        <f t="shared" si="516"/>
        <v>1</v>
      </c>
      <c r="AP244" s="68" t="s">
        <v>195</v>
      </c>
      <c r="AQ244" s="68" t="s">
        <v>247</v>
      </c>
      <c r="AR244" s="68" t="s">
        <v>291</v>
      </c>
      <c r="AS244" s="68" t="s">
        <v>290</v>
      </c>
      <c r="AT244" s="68" t="s">
        <v>290</v>
      </c>
      <c r="AV244" s="68" t="s">
        <v>195</v>
      </c>
      <c r="AW244" s="68" t="s">
        <v>247</v>
      </c>
      <c r="AX244" s="68" t="s">
        <v>292</v>
      </c>
      <c r="AY244" s="68" t="s">
        <v>291</v>
      </c>
      <c r="AZ244" s="68" t="s">
        <v>291</v>
      </c>
    </row>
    <row r="245" spans="1:52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193</v>
      </c>
      <c r="M245" s="11">
        <f>INDEX(cenník!$C$2:$I$570,MATCH($L245,cenník!$B$2:$B$559,0),MATCH(M$2,cenník!$C$1:$I$1,0))</f>
        <v>858022</v>
      </c>
      <c r="N245" s="11" t="str">
        <f>INDEX(cenník!$C$2:$I$570,MATCH($L245,cenník!$B$2:$B$559,0),MATCH(N$2,cenník!$C$1:$I$1,0))</f>
        <v>ks</v>
      </c>
      <c r="O245" s="11">
        <f>2*O226</f>
        <v>0</v>
      </c>
      <c r="P245" s="36">
        <f>INDEX(cenník!$C$2:$I$570,MATCH($L245,cenník!$B$2:$B$559,0),MATCH(P$2,cenník!$C$1:$I$1,0))</f>
        <v>1.56</v>
      </c>
      <c r="Q245" s="36">
        <f t="shared" si="512"/>
        <v>0</v>
      </c>
      <c r="R245" s="37">
        <f t="shared" si="502"/>
        <v>0</v>
      </c>
      <c r="S245" s="36">
        <f t="shared" si="503"/>
        <v>1.56</v>
      </c>
      <c r="T245" s="36">
        <f t="shared" si="513"/>
        <v>0</v>
      </c>
      <c r="U245" s="36">
        <f>INDEX(cenník!$C$2:$I$570,MATCH($L245,cenník!$B$2:$B$559,0),MATCH(U$2,cenník!$C$1:$I$1,0))*O245</f>
        <v>0</v>
      </c>
      <c r="X245" s="87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87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87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87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64">
        <f t="shared" si="514"/>
        <v>0</v>
      </c>
      <c r="AE245" s="64">
        <f t="shared" si="515"/>
        <v>0</v>
      </c>
      <c r="AG245" s="64">
        <f t="shared" si="516"/>
        <v>1</v>
      </c>
      <c r="AP245" s="68" t="s">
        <v>197</v>
      </c>
      <c r="AQ245" s="68" t="s">
        <v>247</v>
      </c>
      <c r="AR245" s="68" t="s">
        <v>291</v>
      </c>
      <c r="AS245" s="68" t="s">
        <v>290</v>
      </c>
      <c r="AT245" s="68" t="s">
        <v>290</v>
      </c>
      <c r="AV245" s="68" t="s">
        <v>197</v>
      </c>
      <c r="AW245" s="68" t="s">
        <v>247</v>
      </c>
      <c r="AX245" s="68" t="s">
        <v>292</v>
      </c>
      <c r="AY245" s="68" t="s">
        <v>291</v>
      </c>
      <c r="AZ245" s="68" t="s">
        <v>291</v>
      </c>
    </row>
    <row r="246" spans="1:52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127</v>
      </c>
      <c r="M246" s="11">
        <f>INDEX(cenník!$C$2:$I$570,MATCH($L246,cenník!$B$2:$B$559,0),MATCH(M$2,cenník!$C$1:$I$1,0))</f>
        <v>890111</v>
      </c>
      <c r="N246" s="11" t="str">
        <f>INDEX(cenník!$C$2:$I$570,MATCH($L246,cenník!$B$2:$B$559,0),MATCH(N$2,cenník!$C$1:$I$1,0))</f>
        <v>100ks</v>
      </c>
      <c r="O246" s="11">
        <f>ROUNDUP((O220*4)/100,0)</f>
        <v>0</v>
      </c>
      <c r="P246" s="36">
        <f>INDEX(cenník!$C$2:$I$570,MATCH($L246,cenník!$B$2:$B$559,0),MATCH(P$2,cenník!$C$1:$I$1,0))</f>
        <v>60.37</v>
      </c>
      <c r="Q246" s="36">
        <f t="shared" si="512"/>
        <v>0</v>
      </c>
      <c r="R246" s="37">
        <f t="shared" si="502"/>
        <v>0</v>
      </c>
      <c r="S246" s="36">
        <f t="shared" si="503"/>
        <v>60.37</v>
      </c>
      <c r="T246" s="36">
        <f t="shared" si="513"/>
        <v>0</v>
      </c>
      <c r="U246" s="36">
        <f>INDEX(cenník!$C$2:$I$570,MATCH($L246,cenník!$B$2:$B$559,0),MATCH(U$2,cenník!$C$1:$I$1,0))*O246</f>
        <v>0</v>
      </c>
      <c r="X246" s="87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87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87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87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64">
        <f t="shared" si="514"/>
        <v>0</v>
      </c>
      <c r="AE246" s="64">
        <f t="shared" si="515"/>
        <v>0</v>
      </c>
      <c r="AG246" s="64">
        <f t="shared" si="516"/>
        <v>1</v>
      </c>
      <c r="AP246" s="68" t="s">
        <v>196</v>
      </c>
      <c r="AQ246" s="68" t="s">
        <v>247</v>
      </c>
      <c r="AR246" s="68" t="s">
        <v>291</v>
      </c>
      <c r="AS246" s="68" t="s">
        <v>290</v>
      </c>
      <c r="AT246" s="68" t="s">
        <v>290</v>
      </c>
      <c r="AV246" s="68" t="s">
        <v>196</v>
      </c>
      <c r="AW246" s="68" t="s">
        <v>247</v>
      </c>
      <c r="AX246" s="68" t="s">
        <v>292</v>
      </c>
      <c r="AY246" s="68" t="s">
        <v>291</v>
      </c>
      <c r="AZ246" s="68" t="s">
        <v>291</v>
      </c>
    </row>
    <row r="247" spans="1:52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38" t="s">
        <v>336</v>
      </c>
      <c r="M247" s="11">
        <f>INDEX(cenník!$C$2:$I$570,MATCH($L247,cenník!$B$2:$B$559,0),MATCH(M$2,cenník!$C$1:$I$1,0))</f>
        <v>890504</v>
      </c>
      <c r="N247" s="11" t="str">
        <f>INDEX(cenník!$C$2:$I$570,MATCH($L247,cenník!$B$2:$B$559,0),MATCH(N$2,cenník!$C$1:$I$1,0))</f>
        <v>ks</v>
      </c>
      <c r="O247" s="11">
        <f>SUM(C219:C234)*10</f>
        <v>0</v>
      </c>
      <c r="P247" s="36">
        <f>INDEX(cenník!$C$2:$I$570,MATCH($L247,cenník!$B$2:$B$559,0),MATCH(P$2,cenník!$C$1:$I$1,0))</f>
        <v>1.59</v>
      </c>
      <c r="Q247" s="36">
        <f t="shared" si="512"/>
        <v>0</v>
      </c>
      <c r="R247" s="37">
        <f t="shared" si="502"/>
        <v>0</v>
      </c>
      <c r="S247" s="36">
        <f t="shared" si="503"/>
        <v>1.59</v>
      </c>
      <c r="T247" s="36">
        <f t="shared" si="513"/>
        <v>0</v>
      </c>
      <c r="U247" s="36">
        <f>INDEX(cenník!$C$2:$I$570,MATCH($L247,cenník!$B$2:$B$559,0),MATCH(U$2,cenník!$C$1:$I$1,0))*O247</f>
        <v>0</v>
      </c>
      <c r="X247" s="87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87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87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87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64">
        <f t="shared" si="514"/>
        <v>0</v>
      </c>
      <c r="AE247" s="64">
        <f t="shared" si="515"/>
        <v>0</v>
      </c>
      <c r="AG247" s="64">
        <f t="shared" si="516"/>
        <v>1</v>
      </c>
      <c r="AP247" s="68" t="s">
        <v>198</v>
      </c>
      <c r="AQ247" s="68" t="s">
        <v>247</v>
      </c>
      <c r="AR247" s="68" t="s">
        <v>291</v>
      </c>
      <c r="AS247" s="68" t="s">
        <v>290</v>
      </c>
      <c r="AT247" s="68" t="s">
        <v>290</v>
      </c>
      <c r="AV247" s="68" t="s">
        <v>198</v>
      </c>
      <c r="AW247" s="68" t="s">
        <v>247</v>
      </c>
      <c r="AX247" s="68" t="s">
        <v>292</v>
      </c>
      <c r="AY247" s="68" t="s">
        <v>291</v>
      </c>
      <c r="AZ247" s="68" t="s">
        <v>291</v>
      </c>
    </row>
    <row r="248" spans="1:52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514</v>
      </c>
      <c r="M248" s="11"/>
      <c r="N248" s="11"/>
      <c r="O248" s="11"/>
      <c r="P248" s="36"/>
      <c r="Q248" s="36"/>
      <c r="R248" s="37"/>
      <c r="S248" s="36"/>
      <c r="T248" s="36"/>
      <c r="U248" s="36"/>
      <c r="X248" s="87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87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87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87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64">
        <f t="shared" si="514"/>
        <v>0</v>
      </c>
      <c r="AE248" s="64">
        <f t="shared" si="515"/>
        <v>0</v>
      </c>
      <c r="AG248" s="64">
        <f t="shared" si="516"/>
        <v>1</v>
      </c>
      <c r="AP248" s="68" t="s">
        <v>58</v>
      </c>
      <c r="AQ248" s="68" t="s">
        <v>247</v>
      </c>
      <c r="AR248" s="68" t="s">
        <v>291</v>
      </c>
      <c r="AS248" s="68" t="s">
        <v>290</v>
      </c>
      <c r="AT248" s="68" t="s">
        <v>290</v>
      </c>
      <c r="AV248" s="68" t="s">
        <v>58</v>
      </c>
      <c r="AW248" s="68" t="s">
        <v>247</v>
      </c>
      <c r="AX248" s="68" t="s">
        <v>292</v>
      </c>
      <c r="AY248" s="68" t="s">
        <v>291</v>
      </c>
      <c r="AZ248" s="68" t="s">
        <v>291</v>
      </c>
    </row>
    <row r="249" spans="1:52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290</v>
      </c>
      <c r="M249" s="11">
        <f>INDEX(cenník!$C$2:$I$570,MATCH($L249,cenník!$B$2:$B$559,0),MATCH(M$2,cenník!$C$1:$I$1,0))</f>
        <v>867810</v>
      </c>
      <c r="N249" s="11" t="str">
        <f>INDEX(cenník!$C$2:$I$570,MATCH($L249,cenník!$B$2:$B$559,0),MATCH(N$2,cenník!$C$1:$I$1,0))</f>
        <v>ks</v>
      </c>
      <c r="O249" s="29">
        <f>E223*2</f>
        <v>0</v>
      </c>
      <c r="P249" s="36">
        <f>INDEX(cenník!$C$2:$I$570,MATCH($L249,cenník!$B$2:$B$559,0),MATCH(P$2,cenník!$C$1:$I$1,0))</f>
        <v>17.5</v>
      </c>
      <c r="Q249" s="36">
        <f>O249*P249</f>
        <v>0</v>
      </c>
      <c r="R249" s="37">
        <f>$E$224</f>
        <v>0</v>
      </c>
      <c r="S249" s="36">
        <f>P249*((100-$E$224)/100)</f>
        <v>17.5</v>
      </c>
      <c r="T249" s="36">
        <f>O249*S249</f>
        <v>0</v>
      </c>
      <c r="U249" s="36">
        <f>INDEX(cenník!$C$2:$I$570,MATCH($L249,cenník!$B$2:$B$559,0),MATCH(U$2,cenník!$C$1:$I$1,0))*O249</f>
        <v>0</v>
      </c>
      <c r="X249" s="87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87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87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87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64">
        <f t="shared" si="514"/>
        <v>0</v>
      </c>
      <c r="AE249" s="64">
        <f t="shared" si="515"/>
        <v>0</v>
      </c>
      <c r="AG249" s="64">
        <f t="shared" si="516"/>
        <v>1</v>
      </c>
      <c r="AP249" s="68" t="s">
        <v>71</v>
      </c>
      <c r="AQ249" s="68" t="s">
        <v>247</v>
      </c>
      <c r="AR249" s="68" t="s">
        <v>291</v>
      </c>
      <c r="AS249" s="68" t="s">
        <v>290</v>
      </c>
      <c r="AT249" s="68" t="s">
        <v>290</v>
      </c>
      <c r="AV249" s="68" t="s">
        <v>71</v>
      </c>
      <c r="AW249" s="68" t="s">
        <v>247</v>
      </c>
      <c r="AX249" s="68" t="s">
        <v>292</v>
      </c>
      <c r="AY249" s="68" t="s">
        <v>291</v>
      </c>
      <c r="AZ249" s="68" t="s">
        <v>291</v>
      </c>
    </row>
    <row r="250" spans="1:52" x14ac:dyDescent="0.2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293</v>
      </c>
      <c r="M250" s="11">
        <f>INDEX(cenník!$C$2:$I$570,MATCH($L250,cenník!$B$2:$B$559,0),MATCH(M$2,cenník!$C$1:$I$1,0))</f>
        <v>867830</v>
      </c>
      <c r="N250" s="11" t="str">
        <f>INDEX(cenník!$C$2:$I$570,MATCH($L250,cenník!$B$2:$B$559,0),MATCH(N$2,cenník!$C$1:$I$1,0))</f>
        <v>ks</v>
      </c>
      <c r="O250" s="11">
        <f>E223*2</f>
        <v>0</v>
      </c>
      <c r="P250" s="36">
        <f>INDEX(cenník!$C$2:$I$570,MATCH($L250,cenník!$B$2:$B$559,0),MATCH(P$2,cenník!$C$1:$I$1,0))</f>
        <v>52.49</v>
      </c>
      <c r="Q250" s="36">
        <f>O250*P250</f>
        <v>0</v>
      </c>
      <c r="R250" s="37">
        <f>$E$224</f>
        <v>0</v>
      </c>
      <c r="S250" s="36">
        <f>P250*((100-$E$224)/100)</f>
        <v>52.49</v>
      </c>
      <c r="T250" s="36">
        <f>O250*S250</f>
        <v>0</v>
      </c>
      <c r="U250" s="36">
        <f>INDEX(cenník!$C$2:$I$570,MATCH($L250,cenník!$B$2:$B$559,0),MATCH(U$2,cenník!$C$1:$I$1,0))*O250</f>
        <v>0</v>
      </c>
      <c r="X250" s="87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87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87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87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64">
        <f t="shared" si="514"/>
        <v>0</v>
      </c>
      <c r="AE250" s="64">
        <f t="shared" si="515"/>
        <v>0</v>
      </c>
      <c r="AG250" s="64">
        <f t="shared" si="516"/>
        <v>1</v>
      </c>
      <c r="AP250" s="68" t="s">
        <v>72</v>
      </c>
      <c r="AQ250" s="68" t="s">
        <v>247</v>
      </c>
      <c r="AR250" s="68" t="s">
        <v>291</v>
      </c>
      <c r="AS250" s="68" t="s">
        <v>290</v>
      </c>
      <c r="AT250" s="68" t="s">
        <v>290</v>
      </c>
      <c r="AV250" s="68" t="s">
        <v>72</v>
      </c>
      <c r="AW250" s="68" t="s">
        <v>247</v>
      </c>
      <c r="AX250" s="68" t="s">
        <v>292</v>
      </c>
      <c r="AY250" s="68" t="s">
        <v>291</v>
      </c>
      <c r="AZ250" s="68" t="s">
        <v>291</v>
      </c>
    </row>
    <row r="251" spans="1:52" x14ac:dyDescent="0.2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6"/>
      <c r="Q251" s="36"/>
      <c r="R251" s="36"/>
      <c r="S251" s="36"/>
      <c r="T251" s="36">
        <f>SUM(T220:T250)</f>
        <v>0</v>
      </c>
      <c r="U251" s="36">
        <f>SUM(U220:U250)</f>
        <v>0</v>
      </c>
      <c r="X251" s="87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87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87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87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64">
        <f t="shared" si="514"/>
        <v>0</v>
      </c>
      <c r="AE251" s="64">
        <f t="shared" si="515"/>
        <v>0</v>
      </c>
      <c r="AG251" s="64">
        <f t="shared" si="516"/>
        <v>1</v>
      </c>
      <c r="AP251" s="68" t="s">
        <v>203</v>
      </c>
      <c r="AQ251" s="68" t="s">
        <v>247</v>
      </c>
      <c r="AR251" s="68" t="s">
        <v>291</v>
      </c>
      <c r="AS251" s="68" t="s">
        <v>290</v>
      </c>
      <c r="AT251" s="68" t="s">
        <v>290</v>
      </c>
      <c r="AV251" s="68" t="s">
        <v>203</v>
      </c>
      <c r="AW251" s="68" t="s">
        <v>247</v>
      </c>
      <c r="AX251" s="68" t="s">
        <v>292</v>
      </c>
      <c r="AY251" s="68" t="s">
        <v>291</v>
      </c>
      <c r="AZ251" s="68" t="s">
        <v>291</v>
      </c>
    </row>
    <row r="252" spans="1:52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3"/>
      <c r="N252" s="23"/>
      <c r="O252" s="23"/>
      <c r="P252" s="23"/>
      <c r="Q252" s="23"/>
      <c r="R252" s="23"/>
      <c r="S252" s="23"/>
      <c r="T252" s="23"/>
      <c r="U252" s="23"/>
      <c r="X252" s="87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87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87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87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64">
        <f t="shared" si="514"/>
        <v>0</v>
      </c>
      <c r="AE252" s="64">
        <f t="shared" si="515"/>
        <v>0</v>
      </c>
      <c r="AG252" s="64">
        <f t="shared" si="516"/>
        <v>1</v>
      </c>
      <c r="AP252" s="68" t="s">
        <v>204</v>
      </c>
      <c r="AQ252" s="68" t="s">
        <v>247</v>
      </c>
      <c r="AR252" s="68" t="s">
        <v>291</v>
      </c>
      <c r="AS252" s="68" t="s">
        <v>290</v>
      </c>
      <c r="AT252" s="68" t="s">
        <v>290</v>
      </c>
      <c r="AV252" s="68" t="s">
        <v>204</v>
      </c>
      <c r="AW252" s="68" t="s">
        <v>247</v>
      </c>
      <c r="AX252" s="68" t="s">
        <v>292</v>
      </c>
      <c r="AY252" s="68" t="s">
        <v>291</v>
      </c>
      <c r="AZ252" s="68" t="s">
        <v>291</v>
      </c>
    </row>
    <row r="253" spans="1:52" ht="39" x14ac:dyDescent="0.25">
      <c r="A253" s="3" t="s">
        <v>554</v>
      </c>
      <c r="B253" s="3"/>
      <c r="C253" s="3" t="s">
        <v>555</v>
      </c>
      <c r="D253" s="9"/>
      <c r="E253" s="9"/>
      <c r="F253" s="9"/>
      <c r="G253" s="9"/>
      <c r="H253" s="9"/>
      <c r="I253" s="9"/>
      <c r="J253" s="9"/>
      <c r="K253" s="9"/>
      <c r="L253" s="221" t="str">
        <f>INDEX((AK234:AN235),MATCH(E262,AJ234:AJ235,0),MATCH(E257,AK233:AN233,0))</f>
        <v>KONŠTRUKCIA W-V2B2-BI-25°</v>
      </c>
      <c r="M253" s="221"/>
      <c r="N253" s="221"/>
      <c r="O253" s="221"/>
      <c r="P253" s="221"/>
      <c r="Q253" s="221"/>
      <c r="R253" s="221"/>
      <c r="S253" s="221"/>
      <c r="T253" s="221"/>
      <c r="U253" s="221"/>
      <c r="X253" s="87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87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87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87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64">
        <f t="shared" si="514"/>
        <v>0</v>
      </c>
      <c r="AE253" s="64">
        <f t="shared" si="515"/>
        <v>0</v>
      </c>
      <c r="AG253" s="64">
        <f t="shared" si="516"/>
        <v>1</v>
      </c>
      <c r="AP253" s="68" t="s">
        <v>232</v>
      </c>
      <c r="AQ253" s="68" t="s">
        <v>247</v>
      </c>
      <c r="AR253" s="68" t="s">
        <v>291</v>
      </c>
      <c r="AS253" s="68" t="s">
        <v>290</v>
      </c>
      <c r="AT253" s="68" t="s">
        <v>290</v>
      </c>
      <c r="AV253" s="68" t="s">
        <v>232</v>
      </c>
      <c r="AW253" s="68" t="s">
        <v>247</v>
      </c>
      <c r="AX253" s="68" t="s">
        <v>292</v>
      </c>
      <c r="AY253" s="68" t="s">
        <v>291</v>
      </c>
      <c r="AZ253" s="68" t="s">
        <v>291</v>
      </c>
    </row>
    <row r="254" spans="1:52" x14ac:dyDescent="0.25">
      <c r="A254" s="8"/>
      <c r="B254" s="5" t="s">
        <v>61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53</v>
      </c>
      <c r="M254" s="5" t="s">
        <v>559</v>
      </c>
      <c r="N254" s="5" t="s">
        <v>436</v>
      </c>
      <c r="O254" s="5" t="s">
        <v>442</v>
      </c>
      <c r="P254" s="5" t="s">
        <v>443</v>
      </c>
      <c r="Q254" s="5" t="s">
        <v>444</v>
      </c>
      <c r="R254" s="5" t="s">
        <v>445</v>
      </c>
      <c r="S254" s="5" t="s">
        <v>446</v>
      </c>
      <c r="T254" s="5" t="s">
        <v>447</v>
      </c>
      <c r="U254" s="5" t="s">
        <v>438</v>
      </c>
      <c r="X254" s="87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87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87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87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64">
        <f t="shared" si="514"/>
        <v>0</v>
      </c>
      <c r="AE254" s="64">
        <f t="shared" si="515"/>
        <v>0</v>
      </c>
      <c r="AG254" s="64">
        <f t="shared" si="516"/>
        <v>1</v>
      </c>
      <c r="AP254" s="68" t="s">
        <v>231</v>
      </c>
      <c r="AQ254" s="68" t="s">
        <v>247</v>
      </c>
      <c r="AR254" s="68" t="s">
        <v>291</v>
      </c>
      <c r="AS254" s="68" t="s">
        <v>290</v>
      </c>
      <c r="AT254" s="68" t="s">
        <v>290</v>
      </c>
      <c r="AV254" s="68" t="s">
        <v>231</v>
      </c>
      <c r="AW254" s="68" t="s">
        <v>247</v>
      </c>
      <c r="AX254" s="68" t="s">
        <v>292</v>
      </c>
      <c r="AY254" s="68" t="s">
        <v>291</v>
      </c>
      <c r="AZ254" s="68" t="s">
        <v>291</v>
      </c>
    </row>
    <row r="255" spans="1:52" x14ac:dyDescent="0.25">
      <c r="A255" s="8"/>
      <c r="B255" s="5" t="s">
        <v>61</v>
      </c>
      <c r="C255" s="8"/>
      <c r="D255" s="6" t="s">
        <v>452</v>
      </c>
      <c r="E255" s="8" t="s">
        <v>231</v>
      </c>
      <c r="F255" s="5" t="s">
        <v>61</v>
      </c>
      <c r="G255" s="8" t="s">
        <v>355</v>
      </c>
      <c r="H255" s="5" t="s">
        <v>61</v>
      </c>
      <c r="I255" s="8">
        <v>30</v>
      </c>
      <c r="J255" s="5" t="s">
        <v>62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str">
        <f>INDEX(cenník!$C$2:$I$570,MATCH($L255,cenník!$B$2:$B$559,0),MATCH(M$2,cenník!$C$1:$I$1,0))</f>
        <v>-------</v>
      </c>
      <c r="N255" s="11">
        <f>INDEX(cenník!$C$2:$I$570,MATCH($L255,cenník!$B$2:$B$559,0),MATCH(N$2,cenník!$C$1:$I$1,0))</f>
        <v>0</v>
      </c>
      <c r="O255" s="11">
        <f>IF(L255="-------",0,SUM(O257:O258))</f>
        <v>0</v>
      </c>
      <c r="P255" s="36">
        <f>INDEX(cenník!$C$2:$I$570,MATCH($L255,cenník!$B$2:$B$559,0),MATCH(P$2,cenník!$C$1:$I$1,0))</f>
        <v>0</v>
      </c>
      <c r="Q255" s="36">
        <f>O255*P255</f>
        <v>0</v>
      </c>
      <c r="R255" s="37">
        <f>$E$259</f>
        <v>0</v>
      </c>
      <c r="S255" s="36">
        <f>P255*((100-$E$259)/100)</f>
        <v>0</v>
      </c>
      <c r="T255" s="36">
        <f t="shared" ref="T255:T260" si="519">O255*S255</f>
        <v>0</v>
      </c>
      <c r="U255" s="36">
        <f>INDEX(cenník!$C$2:$I$570,MATCH($L255,cenník!$B$2:$B$559,0),MATCH(U$2,cenník!$C$1:$I$1,0))*O255</f>
        <v>0</v>
      </c>
      <c r="X255" s="87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87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87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87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64">
        <f t="shared" si="514"/>
        <v>0</v>
      </c>
      <c r="AE255" s="64">
        <f t="shared" si="515"/>
        <v>0</v>
      </c>
      <c r="AG255" s="64">
        <f t="shared" si="516"/>
        <v>1</v>
      </c>
    </row>
    <row r="256" spans="1:52" x14ac:dyDescent="0.25">
      <c r="A256" s="8"/>
      <c r="B256" s="5" t="s">
        <v>61</v>
      </c>
      <c r="C256" s="8"/>
      <c r="D256" s="6" t="s">
        <v>456</v>
      </c>
      <c r="E256" s="8" t="s">
        <v>466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str">
        <f>INDEX(cenník!$C$2:$I$570,MATCH($L256,cenník!$B$2:$B$559,0),MATCH(M$2,cenník!$C$1:$I$1,0))</f>
        <v>-------</v>
      </c>
      <c r="N256" s="11">
        <f>INDEX(cenník!$C$2:$I$570,MATCH($L256,cenník!$B$2:$B$559,0),MATCH(N$2,cenník!$C$1:$I$1,0))</f>
        <v>0</v>
      </c>
      <c r="O256" s="11">
        <f>IF(E257=AC7,SUM(O257:O258),IF(E257=AC8,SUM(O257:O258),IF(E257=AC5,0,IF(E257=AC6,0,0))))</f>
        <v>0</v>
      </c>
      <c r="P256" s="36">
        <f>INDEX(cenník!$C$2:$I$570,MATCH($L256,cenník!$B$2:$B$559,0),MATCH(P$2,cenník!$C$1:$I$1,0))</f>
        <v>0</v>
      </c>
      <c r="Q256" s="36">
        <f>O256*P256</f>
        <v>0</v>
      </c>
      <c r="R256" s="37">
        <f t="shared" ref="R256:R276" si="520">$E$259</f>
        <v>0</v>
      </c>
      <c r="S256" s="36">
        <f t="shared" ref="S256:S279" si="521">P256*((100-$E$259)/100)</f>
        <v>0</v>
      </c>
      <c r="T256" s="36">
        <f t="shared" si="519"/>
        <v>0</v>
      </c>
      <c r="U256" s="36">
        <f>INDEX(cenník!$C$2:$I$570,MATCH($L256,cenník!$B$2:$B$559,0),MATCH(U$2,cenník!$C$1:$I$1,0))*O256</f>
        <v>0</v>
      </c>
    </row>
    <row r="257" spans="1:52" x14ac:dyDescent="0.25">
      <c r="A257" s="8"/>
      <c r="B257" s="5" t="s">
        <v>61</v>
      </c>
      <c r="C257" s="8"/>
      <c r="D257" s="6" t="s">
        <v>475</v>
      </c>
      <c r="E257" s="8" t="s">
        <v>516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CWT70H50/2NMC</v>
      </c>
      <c r="M257" s="11">
        <f>INDEX(cenník!$C$2:$I$570,MATCH($L257,cenník!$B$2:$B$559,0),MATCH(M$2,cenník!$C$1:$I$1,0))</f>
        <v>867820</v>
      </c>
      <c r="N257" s="11" t="str">
        <f>INDEX(cenník!$C$2:$I$570,MATCH($L257,cenník!$B$2:$B$559,0),MATCH(N$2,cenník!$C$1:$I$1,0))</f>
        <v>ks</v>
      </c>
      <c r="O257" s="10">
        <f>SUM(AE240:AE255)</f>
        <v>0</v>
      </c>
      <c r="P257" s="36">
        <f>INDEX(cenník!$C$2:$I$570,MATCH($L257,cenník!$B$2:$B$559,0),MATCH(P$2,cenník!$C$1:$I$1,0))</f>
        <v>35</v>
      </c>
      <c r="Q257" s="36">
        <f t="shared" ref="Q257:Q263" si="522">O257*P257</f>
        <v>0</v>
      </c>
      <c r="R257" s="37">
        <f t="shared" si="520"/>
        <v>0</v>
      </c>
      <c r="S257" s="36">
        <f t="shared" si="521"/>
        <v>35</v>
      </c>
      <c r="T257" s="36">
        <f t="shared" si="519"/>
        <v>0</v>
      </c>
      <c r="U257" s="36">
        <f>INDEX(cenník!$C$2:$I$570,MATCH($L257,cenník!$B$2:$B$559,0),MATCH(U$2,cenník!$C$1:$I$1,0))*O257</f>
        <v>0</v>
      </c>
      <c r="AP257" s="68" t="s">
        <v>369</v>
      </c>
      <c r="AV257" s="68" t="s">
        <v>370</v>
      </c>
    </row>
    <row r="258" spans="1:52" x14ac:dyDescent="0.25">
      <c r="A258" s="8"/>
      <c r="B258" s="5" t="s">
        <v>61</v>
      </c>
      <c r="C258" s="8"/>
      <c r="D258" s="6" t="s">
        <v>488</v>
      </c>
      <c r="E258" s="8">
        <v>0</v>
      </c>
      <c r="F258" s="5"/>
      <c r="G258" s="5"/>
      <c r="H258" s="5"/>
      <c r="I258" s="5"/>
      <c r="J258" s="5" t="s">
        <v>461</v>
      </c>
      <c r="K258" s="9"/>
      <c r="L258" s="6" t="str">
        <f>INDEX((AQ259:AT272,AW259:AZ272),MATCH(E255,AP259:AP272,0),MATCH(E257,AQ258:AT258,0),MATCH(E262,DS6:DS7,0))</f>
        <v>CWT70H50/3NMC</v>
      </c>
      <c r="M258" s="11">
        <f>INDEX(cenník!$C$2:$I$570,MATCH($L258,cenník!$B$2:$B$559,0),MATCH(M$2,cenník!$C$1:$I$1,0))</f>
        <v>867830</v>
      </c>
      <c r="N258" s="11" t="str">
        <f>INDEX(cenník!$C$2:$I$570,MATCH($L258,cenník!$B$2:$B$559,0),MATCH(N$2,cenník!$C$1:$I$1,0))</f>
        <v>ks</v>
      </c>
      <c r="O258" s="11">
        <f>O257</f>
        <v>0</v>
      </c>
      <c r="P258" s="36">
        <f>INDEX(cenník!$C$2:$I$570,MATCH($L258,cenník!$B$2:$B$559,0),MATCH(P$2,cenník!$C$1:$I$1,0))</f>
        <v>52.49</v>
      </c>
      <c r="Q258" s="36">
        <f t="shared" si="522"/>
        <v>0</v>
      </c>
      <c r="R258" s="37">
        <f t="shared" si="520"/>
        <v>0</v>
      </c>
      <c r="S258" s="36">
        <f t="shared" si="521"/>
        <v>52.49</v>
      </c>
      <c r="T258" s="36">
        <f t="shared" si="519"/>
        <v>0</v>
      </c>
      <c r="U258" s="36">
        <f>INDEX(cenník!$C$2:$I$570,MATCH($L258,cenník!$B$2:$B$559,0),MATCH(U$2,cenník!$C$1:$I$1,0))*O258</f>
        <v>0</v>
      </c>
      <c r="AP258" s="68">
        <v>25</v>
      </c>
      <c r="AQ258" s="68" t="s">
        <v>515</v>
      </c>
      <c r="AR258" s="68" t="s">
        <v>516</v>
      </c>
      <c r="AS258" s="68" t="s">
        <v>483</v>
      </c>
      <c r="AT258" s="68" t="s">
        <v>517</v>
      </c>
      <c r="AV258" s="68">
        <v>30</v>
      </c>
      <c r="AW258" s="68" t="s">
        <v>515</v>
      </c>
      <c r="AX258" s="68" t="s">
        <v>516</v>
      </c>
      <c r="AY258" s="68" t="s">
        <v>483</v>
      </c>
      <c r="AZ258" s="68" t="s">
        <v>517</v>
      </c>
    </row>
    <row r="259" spans="1:52" x14ac:dyDescent="0.25">
      <c r="A259" s="8"/>
      <c r="B259" s="5" t="s">
        <v>61</v>
      </c>
      <c r="C259" s="8"/>
      <c r="D259" s="6" t="s">
        <v>458</v>
      </c>
      <c r="E259" s="8">
        <v>0</v>
      </c>
      <c r="F259" s="5"/>
      <c r="G259" s="5"/>
      <c r="H259" s="5"/>
      <c r="I259" s="5"/>
      <c r="J259" s="5" t="s">
        <v>95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CWC100H50/4,4NMC</v>
      </c>
      <c r="M259" s="11">
        <f>INDEX(cenník!$C$2:$I$570,MATCH($L259,cenník!$B$2:$B$559,0),MATCH(M$2,cenník!$C$1:$I$1,0))</f>
        <v>867644</v>
      </c>
      <c r="N259" s="11" t="str">
        <f>INDEX(cenník!$C$2:$I$570,MATCH($L259,cenník!$B$2:$B$559,0),MATCH(N$2,cenník!$C$1:$I$1,0))</f>
        <v>ks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0</v>
      </c>
      <c r="P259" s="36">
        <f>INDEX(cenník!$C$2:$I$570,MATCH($L259,cenník!$B$2:$B$559,0),MATCH(P$2,cenník!$C$1:$I$1,0))</f>
        <v>61.15</v>
      </c>
      <c r="Q259" s="36">
        <f t="shared" si="522"/>
        <v>0</v>
      </c>
      <c r="R259" s="37">
        <f t="shared" si="520"/>
        <v>0</v>
      </c>
      <c r="S259" s="36">
        <f t="shared" si="521"/>
        <v>61.15</v>
      </c>
      <c r="T259" s="36">
        <f t="shared" si="519"/>
        <v>0</v>
      </c>
      <c r="U259" s="36">
        <f>INDEX(cenník!$C$2:$I$570,MATCH($L259,cenník!$B$2:$B$559,0),MATCH(U$2,cenník!$C$1:$I$1,0))*O259</f>
        <v>0</v>
      </c>
      <c r="AP259" s="68" t="s">
        <v>56</v>
      </c>
      <c r="AQ259" s="68" t="s">
        <v>295</v>
      </c>
      <c r="AR259" s="68" t="s">
        <v>293</v>
      </c>
      <c r="AS259" s="68" t="s">
        <v>291</v>
      </c>
      <c r="AT259" s="68" t="s">
        <v>291</v>
      </c>
      <c r="AV259" s="68" t="s">
        <v>56</v>
      </c>
      <c r="AW259" s="68" t="s">
        <v>295</v>
      </c>
      <c r="AX259" s="68" t="s">
        <v>294</v>
      </c>
      <c r="AY259" s="68" t="s">
        <v>292</v>
      </c>
      <c r="AZ259" s="68" t="s">
        <v>292</v>
      </c>
    </row>
    <row r="260" spans="1:52" x14ac:dyDescent="0.25">
      <c r="A260" s="8"/>
      <c r="B260" s="5" t="s">
        <v>61</v>
      </c>
      <c r="C260" s="8"/>
      <c r="D260" s="6" t="s">
        <v>460</v>
      </c>
      <c r="E260" s="8">
        <v>0</v>
      </c>
      <c r="F260" s="5"/>
      <c r="G260" s="5"/>
      <c r="H260" s="5"/>
      <c r="I260" s="5"/>
      <c r="J260" s="5" t="s">
        <v>461</v>
      </c>
      <c r="K260" s="9"/>
      <c r="L260" s="6" t="s">
        <v>114</v>
      </c>
      <c r="M260" s="11">
        <f>INDEX(cenník!$C$2:$I$570,MATCH($L260,cenník!$B$2:$B$559,0),MATCH(M$2,cenník!$C$1:$I$1,0))</f>
        <v>851122</v>
      </c>
      <c r="N260" s="11" t="str">
        <f>INDEX(cenník!$C$2:$I$570,MATCH($L260,cenník!$B$2:$B$559,0),MATCH(N$2,cenník!$C$1:$I$1,0))</f>
        <v>ks</v>
      </c>
      <c r="O260" s="11">
        <f>O257</f>
        <v>0</v>
      </c>
      <c r="P260" s="36">
        <f>INDEX(cenník!$C$2:$I$570,MATCH($L260,cenník!$B$2:$B$559,0),MATCH(P$2,cenník!$C$1:$I$1,0))</f>
        <v>15.99</v>
      </c>
      <c r="Q260" s="36">
        <f t="shared" si="522"/>
        <v>0</v>
      </c>
      <c r="R260" s="37">
        <f>$E$259</f>
        <v>0</v>
      </c>
      <c r="S260" s="36">
        <f t="shared" si="521"/>
        <v>15.99</v>
      </c>
      <c r="T260" s="36">
        <f t="shared" si="519"/>
        <v>0</v>
      </c>
      <c r="U260" s="36">
        <f>INDEX(cenník!$C$2:$I$570,MATCH($L260,cenník!$B$2:$B$559,0),MATCH(U$2,cenník!$C$1:$I$1,0))*O260</f>
        <v>0</v>
      </c>
      <c r="AP260" s="68" t="s">
        <v>57</v>
      </c>
      <c r="AQ260" s="68" t="s">
        <v>295</v>
      </c>
      <c r="AR260" s="68" t="s">
        <v>293</v>
      </c>
      <c r="AS260" s="68" t="s">
        <v>291</v>
      </c>
      <c r="AT260" s="68" t="s">
        <v>291</v>
      </c>
      <c r="AV260" s="68" t="s">
        <v>57</v>
      </c>
      <c r="AW260" s="68" t="s">
        <v>295</v>
      </c>
      <c r="AX260" s="68" t="s">
        <v>294</v>
      </c>
      <c r="AY260" s="68" t="s">
        <v>292</v>
      </c>
      <c r="AZ260" s="68" t="s">
        <v>292</v>
      </c>
    </row>
    <row r="261" spans="1:52" x14ac:dyDescent="0.25">
      <c r="A261" s="8"/>
      <c r="B261" s="5" t="s">
        <v>61</v>
      </c>
      <c r="C261" s="8"/>
      <c r="D261" s="6" t="s">
        <v>474</v>
      </c>
      <c r="E261" s="4"/>
      <c r="F261" s="6"/>
      <c r="G261" s="6"/>
      <c r="H261" s="6"/>
      <c r="I261" s="6"/>
      <c r="J261" s="1"/>
      <c r="K261" s="9"/>
      <c r="L261" s="6" t="s">
        <v>311</v>
      </c>
      <c r="M261" s="11">
        <f>INDEX(cenník!$C$2:$I$570,MATCH($L261,cenník!$B$2:$B$559,0),MATCH(M$2,cenník!$C$1:$I$1,0))</f>
        <v>731305</v>
      </c>
      <c r="N261" s="11" t="str">
        <f>INDEX(cenník!$C$2:$I$570,MATCH($L261,cenník!$B$2:$B$559,0),MATCH(N$2,cenník!$C$1:$I$1,0))</f>
        <v>ks</v>
      </c>
      <c r="O261" s="11">
        <f>O262*2</f>
        <v>0</v>
      </c>
      <c r="P261" s="36">
        <f>INDEX(cenník!$C$2:$I$570,MATCH($L261,cenník!$B$2:$B$559,0),MATCH(P$2,cenník!$C$1:$I$1,0))</f>
        <v>1.77</v>
      </c>
      <c r="Q261" s="36">
        <f t="shared" si="522"/>
        <v>0</v>
      </c>
      <c r="R261" s="37">
        <f t="shared" si="520"/>
        <v>0</v>
      </c>
      <c r="S261" s="36">
        <f>P261*((100-$E$259)/100)</f>
        <v>1.77</v>
      </c>
      <c r="T261" s="36">
        <f t="shared" ref="T261:T263" si="523">O261*S261</f>
        <v>0</v>
      </c>
      <c r="U261" s="36">
        <f>INDEX(cenník!$C$2:$I$570,MATCH($L261,cenník!$B$2:$B$559,0),MATCH(U$2,cenník!$C$1:$I$1,0))*O261</f>
        <v>0</v>
      </c>
      <c r="AP261" s="68" t="s">
        <v>67</v>
      </c>
      <c r="AQ261" s="68" t="s">
        <v>295</v>
      </c>
      <c r="AR261" s="68" t="s">
        <v>293</v>
      </c>
      <c r="AS261" s="68" t="s">
        <v>291</v>
      </c>
      <c r="AT261" s="68" t="s">
        <v>291</v>
      </c>
      <c r="AV261" s="68" t="s">
        <v>67</v>
      </c>
      <c r="AW261" s="68" t="s">
        <v>295</v>
      </c>
      <c r="AX261" s="68" t="s">
        <v>294</v>
      </c>
      <c r="AY261" s="68" t="s">
        <v>292</v>
      </c>
      <c r="AZ261" s="68" t="s">
        <v>292</v>
      </c>
    </row>
    <row r="262" spans="1:52" x14ac:dyDescent="0.25">
      <c r="A262" s="8"/>
      <c r="B262" s="5" t="s">
        <v>61</v>
      </c>
      <c r="C262" s="8"/>
      <c r="D262" s="6" t="s">
        <v>556</v>
      </c>
      <c r="E262" s="5">
        <v>25</v>
      </c>
      <c r="F262" s="9"/>
      <c r="G262" s="9"/>
      <c r="H262" s="9"/>
      <c r="I262" s="9"/>
      <c r="J262" s="9"/>
      <c r="K262" s="9"/>
      <c r="L262" s="6" t="s">
        <v>319</v>
      </c>
      <c r="M262" s="11">
        <f>INDEX(cenník!$C$2:$I$570,MATCH($L262,cenník!$B$2:$B$559,0),MATCH(M$2,cenník!$C$1:$I$1,0))</f>
        <v>650400</v>
      </c>
      <c r="N262" s="11" t="str">
        <f>INDEX(cenník!$C$2:$I$570,MATCH($L262,cenník!$B$2:$B$559,0),MATCH(N$2,cenník!$C$1:$I$1,0))</f>
        <v>ks</v>
      </c>
      <c r="O262" s="11">
        <f>SUM(AD240:AD255)</f>
        <v>0</v>
      </c>
      <c r="P262" s="36">
        <f>INDEX(cenník!$C$2:$I$570,MATCH($L262,cenník!$B$2:$B$559,0),MATCH(P$2,cenník!$C$1:$I$1,0))</f>
        <v>5.7777777777777777</v>
      </c>
      <c r="Q262" s="36">
        <f t="shared" si="522"/>
        <v>0</v>
      </c>
      <c r="R262" s="37">
        <f t="shared" si="520"/>
        <v>0</v>
      </c>
      <c r="S262" s="36">
        <f t="shared" si="521"/>
        <v>5.7777777777777777</v>
      </c>
      <c r="T262" s="36">
        <f t="shared" si="523"/>
        <v>0</v>
      </c>
      <c r="U262" s="36">
        <f>INDEX(cenník!$C$2:$I$570,MATCH($L262,cenník!$B$2:$B$559,0),MATCH(U$2,cenník!$C$1:$I$1,0))*O262</f>
        <v>0</v>
      </c>
      <c r="AP262" s="68" t="s">
        <v>195</v>
      </c>
      <c r="AQ262" s="68" t="s">
        <v>295</v>
      </c>
      <c r="AR262" s="68" t="s">
        <v>293</v>
      </c>
      <c r="AS262" s="68" t="s">
        <v>291</v>
      </c>
      <c r="AT262" s="68" t="s">
        <v>291</v>
      </c>
      <c r="AV262" s="68" t="s">
        <v>195</v>
      </c>
      <c r="AW262" s="68" t="s">
        <v>295</v>
      </c>
      <c r="AX262" s="68" t="s">
        <v>294</v>
      </c>
      <c r="AY262" s="68" t="s">
        <v>292</v>
      </c>
      <c r="AZ262" s="68" t="s">
        <v>292</v>
      </c>
    </row>
    <row r="263" spans="1:52" x14ac:dyDescent="0.25">
      <c r="A263" s="8"/>
      <c r="B263" s="5" t="s">
        <v>61</v>
      </c>
      <c r="C263" s="8"/>
      <c r="D263" s="6" t="s">
        <v>478</v>
      </c>
      <c r="E263" s="8">
        <v>1</v>
      </c>
      <c r="F263" s="43" t="s">
        <v>480</v>
      </c>
      <c r="G263" s="9"/>
      <c r="H263" s="9"/>
      <c r="I263" s="9"/>
      <c r="J263" s="9"/>
      <c r="K263" s="9"/>
      <c r="L263" s="6" t="s">
        <v>318</v>
      </c>
      <c r="M263" s="11">
        <f>INDEX(cenník!$C$2:$I$570,MATCH($L263,cenník!$B$2:$B$559,0),MATCH(M$2,cenník!$C$1:$I$1,0))</f>
        <v>6500451</v>
      </c>
      <c r="N263" s="11" t="str">
        <f>INDEX(cenník!$C$2:$I$570,MATCH($L263,cenník!$B$2:$B$559,0),MATCH(N$2,cenník!$C$1:$I$1,0))</f>
        <v>100ks</v>
      </c>
      <c r="O263" s="11">
        <f>ROUNDUP((O261*2)/100,0)</f>
        <v>0</v>
      </c>
      <c r="P263" s="36">
        <f>INDEX(cenník!$C$2:$I$570,MATCH($L263,cenník!$B$2:$B$559,0),MATCH(P$2,cenník!$C$1:$I$1,0))</f>
        <v>4.9400000000000004</v>
      </c>
      <c r="Q263" s="36">
        <f t="shared" si="522"/>
        <v>0</v>
      </c>
      <c r="R263" s="37">
        <f t="shared" si="520"/>
        <v>0</v>
      </c>
      <c r="S263" s="36">
        <f t="shared" si="521"/>
        <v>4.9400000000000004</v>
      </c>
      <c r="T263" s="36">
        <f t="shared" si="523"/>
        <v>0</v>
      </c>
      <c r="U263" s="36">
        <f>INDEX(cenník!$C$2:$I$570,MATCH($L263,cenník!$B$2:$B$559,0),MATCH(U$2,cenník!$C$1:$I$1,0))*O263</f>
        <v>0</v>
      </c>
      <c r="AP263" s="68" t="s">
        <v>197</v>
      </c>
      <c r="AQ263" s="68" t="s">
        <v>295</v>
      </c>
      <c r="AR263" s="68" t="s">
        <v>293</v>
      </c>
      <c r="AS263" s="68" t="s">
        <v>291</v>
      </c>
      <c r="AT263" s="68" t="s">
        <v>291</v>
      </c>
      <c r="AV263" s="68" t="s">
        <v>197</v>
      </c>
      <c r="AW263" s="68" t="s">
        <v>295</v>
      </c>
      <c r="AX263" s="68" t="s">
        <v>294</v>
      </c>
      <c r="AY263" s="68" t="s">
        <v>292</v>
      </c>
      <c r="AZ263" s="68" t="s">
        <v>292</v>
      </c>
    </row>
    <row r="264" spans="1:52" x14ac:dyDescent="0.25">
      <c r="A264" s="8"/>
      <c r="B264" s="5" t="s">
        <v>61</v>
      </c>
      <c r="C264" s="8"/>
      <c r="D264" s="6" t="s">
        <v>479</v>
      </c>
      <c r="E264" s="8">
        <v>1</v>
      </c>
      <c r="F264" s="43" t="s">
        <v>481</v>
      </c>
      <c r="G264" s="9"/>
      <c r="H264" s="9"/>
      <c r="I264" s="9"/>
      <c r="J264" s="9"/>
      <c r="K264" s="9"/>
      <c r="L264" s="6" t="s">
        <v>375</v>
      </c>
      <c r="M264" s="11">
        <f>INDEX(cenník!$C$2:$I$570,MATCH($L264,cenník!$B$2:$B$559,0),MATCH(M$2,cenník!$C$1:$I$1,0))</f>
        <v>881566</v>
      </c>
      <c r="N264" s="11" t="str">
        <f>INDEX(cenník!$C$2:$I$570,MATCH($L264,cenník!$B$2:$B$559,0),MATCH(N$2,cenník!$C$1:$I$1,0))</f>
        <v>ks</v>
      </c>
      <c r="O264" s="11">
        <f>SUM(Y240:Y255)/2</f>
        <v>0</v>
      </c>
      <c r="P264" s="36">
        <f>INDEX(cenník!$C$2:$I$570,MATCH($L264,cenník!$B$2:$B$559,0),MATCH(P$2,cenník!$C$1:$I$1,0))</f>
        <v>91.73</v>
      </c>
      <c r="Q264" s="36">
        <f t="shared" ref="Q264:Q276" si="524">O264*P264</f>
        <v>0</v>
      </c>
      <c r="R264" s="37">
        <f t="shared" si="520"/>
        <v>0</v>
      </c>
      <c r="S264" s="36">
        <f t="shared" si="521"/>
        <v>91.73</v>
      </c>
      <c r="T264" s="36">
        <f t="shared" ref="T264:T276" si="525">O264*S264</f>
        <v>0</v>
      </c>
      <c r="U264" s="36">
        <f>INDEX(cenník!$C$2:$I$570,MATCH($L264,cenník!$B$2:$B$559,0),MATCH(U$2,cenník!$C$1:$I$1,0))*O264</f>
        <v>0</v>
      </c>
      <c r="AP264" s="68" t="s">
        <v>196</v>
      </c>
      <c r="AQ264" s="68" t="s">
        <v>295</v>
      </c>
      <c r="AR264" s="68" t="s">
        <v>293</v>
      </c>
      <c r="AS264" s="68" t="s">
        <v>291</v>
      </c>
      <c r="AT264" s="68" t="s">
        <v>291</v>
      </c>
      <c r="AV264" s="68" t="s">
        <v>196</v>
      </c>
      <c r="AW264" s="68" t="s">
        <v>295</v>
      </c>
      <c r="AX264" s="68" t="s">
        <v>294</v>
      </c>
      <c r="AY264" s="68" t="s">
        <v>292</v>
      </c>
      <c r="AZ264" s="68" t="s">
        <v>292</v>
      </c>
    </row>
    <row r="265" spans="1:52" x14ac:dyDescent="0.25">
      <c r="A265" s="8"/>
      <c r="B265" s="5" t="s">
        <v>61</v>
      </c>
      <c r="C265" s="8"/>
      <c r="D265" s="6" t="s">
        <v>557</v>
      </c>
      <c r="E265" s="63" t="str">
        <f>INDEX((AQ235:AU237),MATCH(E263,AP235:AP237,0),MATCH(E264,AQ234:AU234,0))</f>
        <v>2XŠírka modulu+40mm</v>
      </c>
      <c r="F265" s="9"/>
      <c r="G265" s="9"/>
      <c r="H265" s="9"/>
      <c r="I265" s="9"/>
      <c r="J265" s="31" t="s">
        <v>62</v>
      </c>
      <c r="K265" s="9"/>
      <c r="L265" s="6" t="s">
        <v>374</v>
      </c>
      <c r="M265" s="11">
        <f>INDEX(cenník!$C$2:$I$570,MATCH($L265,cenník!$B$2:$B$559,0),MATCH(M$2,cenník!$C$1:$I$1,0))</f>
        <v>881544</v>
      </c>
      <c r="N265" s="11" t="str">
        <f>INDEX(cenník!$C$2:$I$570,MATCH($L265,cenník!$B$2:$B$559,0),MATCH(N$2,cenník!$C$1:$I$1,0))</f>
        <v>ks</v>
      </c>
      <c r="O265" s="11">
        <f>SUM(Z240:Z255)/2</f>
        <v>0</v>
      </c>
      <c r="P265" s="36">
        <f>INDEX(cenník!$C$2:$I$570,MATCH($L265,cenník!$B$2:$B$559,0),MATCH(P$2,cenník!$C$1:$I$1,0))</f>
        <v>61.15</v>
      </c>
      <c r="Q265" s="36">
        <f t="shared" si="524"/>
        <v>0</v>
      </c>
      <c r="R265" s="37">
        <f t="shared" si="520"/>
        <v>0</v>
      </c>
      <c r="S265" s="36">
        <f t="shared" si="521"/>
        <v>61.15</v>
      </c>
      <c r="T265" s="36">
        <f t="shared" si="525"/>
        <v>0</v>
      </c>
      <c r="U265" s="36">
        <f>INDEX(cenník!$C$2:$I$570,MATCH($L265,cenník!$B$2:$B$559,0),MATCH(U$2,cenník!$C$1:$I$1,0))*O265</f>
        <v>0</v>
      </c>
      <c r="AP265" s="68" t="s">
        <v>198</v>
      </c>
      <c r="AQ265" s="68" t="s">
        <v>295</v>
      </c>
      <c r="AR265" s="68" t="s">
        <v>293</v>
      </c>
      <c r="AS265" s="68" t="s">
        <v>291</v>
      </c>
      <c r="AT265" s="68" t="s">
        <v>291</v>
      </c>
      <c r="AV265" s="68" t="s">
        <v>198</v>
      </c>
      <c r="AW265" s="68" t="s">
        <v>295</v>
      </c>
      <c r="AX265" s="68" t="s">
        <v>294</v>
      </c>
      <c r="AY265" s="68" t="s">
        <v>292</v>
      </c>
      <c r="AZ265" s="68" t="s">
        <v>292</v>
      </c>
    </row>
    <row r="266" spans="1:52" x14ac:dyDescent="0.25">
      <c r="A266" s="8"/>
      <c r="B266" s="5" t="s">
        <v>61</v>
      </c>
      <c r="C266" s="8"/>
      <c r="D266" s="6" t="str">
        <f>IF(E257=$AC$8,"Dĺžka skrutky GSW","")</f>
        <v/>
      </c>
      <c r="E266" s="42">
        <v>1600</v>
      </c>
      <c r="F266" s="9"/>
      <c r="G266" s="9"/>
      <c r="H266" s="9"/>
      <c r="I266" s="9"/>
      <c r="J266" s="31" t="str">
        <f>IF(E257=$AC$8,"[mm]","")</f>
        <v/>
      </c>
      <c r="K266" s="9"/>
      <c r="L266" s="6" t="s">
        <v>373</v>
      </c>
      <c r="M266" s="11">
        <f>INDEX(cenník!$C$2:$I$570,MATCH($L266,cenník!$B$2:$B$559,0),MATCH(M$2,cenník!$C$1:$I$1,0))</f>
        <v>881533</v>
      </c>
      <c r="N266" s="11" t="str">
        <f>INDEX(cenník!$C$2:$I$570,MATCH($L266,cenník!$B$2:$B$559,0),MATCH(N$2,cenník!$C$1:$I$1,0))</f>
        <v>ks</v>
      </c>
      <c r="O266" s="11">
        <f>SUM(AA240:AA255)/2</f>
        <v>0</v>
      </c>
      <c r="P266" s="36">
        <f>INDEX(cenník!$C$2:$I$570,MATCH($L266,cenník!$B$2:$B$559,0),MATCH(P$2,cenník!$C$1:$I$1,0))</f>
        <v>45.86</v>
      </c>
      <c r="Q266" s="36">
        <f t="shared" si="524"/>
        <v>0</v>
      </c>
      <c r="R266" s="37">
        <f t="shared" si="520"/>
        <v>0</v>
      </c>
      <c r="S266" s="36">
        <f t="shared" si="521"/>
        <v>45.86</v>
      </c>
      <c r="T266" s="36">
        <f t="shared" si="525"/>
        <v>0</v>
      </c>
      <c r="U266" s="36">
        <f>INDEX(cenník!$C$2:$I$570,MATCH($L266,cenník!$B$2:$B$559,0),MATCH(U$2,cenník!$C$1:$I$1,0))*O266</f>
        <v>0</v>
      </c>
      <c r="AP266" s="68" t="s">
        <v>58</v>
      </c>
      <c r="AQ266" s="68" t="s">
        <v>295</v>
      </c>
      <c r="AR266" s="68" t="s">
        <v>293</v>
      </c>
      <c r="AS266" s="68" t="s">
        <v>291</v>
      </c>
      <c r="AT266" s="68" t="s">
        <v>291</v>
      </c>
      <c r="AV266" s="68" t="s">
        <v>58</v>
      </c>
      <c r="AW266" s="68" t="s">
        <v>295</v>
      </c>
      <c r="AX266" s="68" t="s">
        <v>294</v>
      </c>
      <c r="AY266" s="68" t="s">
        <v>292</v>
      </c>
      <c r="AZ266" s="68" t="s">
        <v>292</v>
      </c>
    </row>
    <row r="267" spans="1:52" x14ac:dyDescent="0.25">
      <c r="A267" s="8"/>
      <c r="B267" s="5" t="s">
        <v>61</v>
      </c>
      <c r="C267" s="8"/>
      <c r="D267" s="44" t="s">
        <v>518</v>
      </c>
      <c r="E267" s="9"/>
      <c r="F267" s="9"/>
      <c r="G267" s="9"/>
      <c r="H267" s="9"/>
      <c r="I267" s="9"/>
      <c r="J267" s="9"/>
      <c r="K267" s="9"/>
      <c r="L267" s="6" t="s">
        <v>376</v>
      </c>
      <c r="M267" s="11">
        <f>INDEX(cenník!$C$2:$I$570,MATCH($L267,cenník!$B$2:$B$559,0),MATCH(M$2,cenník!$C$1:$I$1,0))</f>
        <v>856106</v>
      </c>
      <c r="N267" s="11" t="str">
        <f>INDEX(cenník!$C$2:$I$570,MATCH($L267,cenník!$B$2:$B$559,0),MATCH(N$2,cenník!$C$1:$I$1,0))</f>
        <v>ks</v>
      </c>
      <c r="O267" s="11">
        <f>SUM(X240:X255)/2</f>
        <v>0</v>
      </c>
      <c r="P267" s="36">
        <f>INDEX(cenník!$C$2:$I$570,MATCH($L267,cenník!$B$2:$B$559,0),MATCH(P$2,cenník!$C$1:$I$1,0))</f>
        <v>7.54</v>
      </c>
      <c r="Q267" s="36">
        <f t="shared" si="524"/>
        <v>0</v>
      </c>
      <c r="R267" s="37">
        <f t="shared" si="520"/>
        <v>0</v>
      </c>
      <c r="S267" s="36">
        <f t="shared" si="521"/>
        <v>7.54</v>
      </c>
      <c r="T267" s="36">
        <f t="shared" si="525"/>
        <v>0</v>
      </c>
      <c r="U267" s="36">
        <f>INDEX(cenník!$C$2:$I$570,MATCH($L267,cenník!$B$2:$B$559,0),MATCH(U$2,cenník!$C$1:$I$1,0))*O267</f>
        <v>0</v>
      </c>
      <c r="AP267" s="68" t="s">
        <v>71</v>
      </c>
      <c r="AQ267" s="68" t="s">
        <v>295</v>
      </c>
      <c r="AR267" s="68" t="s">
        <v>293</v>
      </c>
      <c r="AS267" s="68" t="s">
        <v>291</v>
      </c>
      <c r="AT267" s="68" t="s">
        <v>291</v>
      </c>
      <c r="AV267" s="68" t="s">
        <v>71</v>
      </c>
      <c r="AW267" s="68" t="s">
        <v>295</v>
      </c>
      <c r="AX267" s="68" t="s">
        <v>294</v>
      </c>
      <c r="AY267" s="68" t="s">
        <v>292</v>
      </c>
      <c r="AZ267" s="68" t="s">
        <v>292</v>
      </c>
    </row>
    <row r="268" spans="1:52" x14ac:dyDescent="0.25">
      <c r="A268" s="8"/>
      <c r="B268" s="5" t="s">
        <v>61</v>
      </c>
      <c r="C268" s="8"/>
      <c r="D268" s="44" t="s">
        <v>519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>
        <f>INDEX(cenník!$C$2:$I$570,MATCH($L268,cenník!$B$2:$B$559,0),MATCH(M$2,cenník!$C$1:$I$1,0))</f>
        <v>897330</v>
      </c>
      <c r="N268" s="11" t="str">
        <f>INDEX(cenník!$C$2:$I$570,MATCH($L268,cenník!$B$2:$B$559,0),MATCH(N$2,cenník!$C$1:$I$1,0))</f>
        <v>ks</v>
      </c>
      <c r="O268" s="11">
        <f>SUM((C254*8),(C255*8),(C256*8),(C257*8),(C258*8),(C259*8),(C260*8),(C261*8),(C262*8),(C263*8),(C264*8),(C265*8),(C266*8),(C267*8),(C268*8),(C269*8))</f>
        <v>0</v>
      </c>
      <c r="P268" s="36">
        <f>INDEX(cenník!$C$2:$I$570,MATCH($L268,cenník!$B$2:$B$559,0),MATCH(P$2,cenník!$C$1:$I$1,0))</f>
        <v>0.62</v>
      </c>
      <c r="Q268" s="36">
        <f t="shared" si="524"/>
        <v>0</v>
      </c>
      <c r="R268" s="37">
        <f t="shared" si="520"/>
        <v>0</v>
      </c>
      <c r="S268" s="36">
        <f t="shared" si="521"/>
        <v>0.62</v>
      </c>
      <c r="T268" s="36">
        <f t="shared" si="525"/>
        <v>0</v>
      </c>
      <c r="U268" s="36">
        <f>INDEX(cenník!$C$2:$I$570,MATCH($L268,cenník!$B$2:$B$559,0),MATCH(U$2,cenník!$C$1:$I$1,0))*O268</f>
        <v>0</v>
      </c>
      <c r="AP268" s="68" t="s">
        <v>72</v>
      </c>
      <c r="AQ268" s="68" t="s">
        <v>295</v>
      </c>
      <c r="AR268" s="68" t="s">
        <v>293</v>
      </c>
      <c r="AS268" s="68" t="s">
        <v>291</v>
      </c>
      <c r="AT268" s="68" t="s">
        <v>291</v>
      </c>
      <c r="AV268" s="68" t="s">
        <v>72</v>
      </c>
      <c r="AW268" s="68" t="s">
        <v>295</v>
      </c>
      <c r="AX268" s="68" t="s">
        <v>294</v>
      </c>
      <c r="AY268" s="68" t="s">
        <v>292</v>
      </c>
      <c r="AZ268" s="68" t="s">
        <v>292</v>
      </c>
    </row>
    <row r="269" spans="1:52" x14ac:dyDescent="0.25">
      <c r="A269" s="8"/>
      <c r="B269" s="5" t="s">
        <v>61</v>
      </c>
      <c r="C269" s="8"/>
      <c r="D269" s="44" t="s">
        <v>520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>
        <f>INDEX(cenník!$C$2:$I$570,MATCH($L269,cenník!$B$2:$B$559,0),MATCH(M$2,cenník!$C$1:$I$1,0))</f>
        <v>897300</v>
      </c>
      <c r="N269" s="11" t="str">
        <f>INDEX(cenník!$C$2:$I$570,MATCH($L269,cenník!$B$2:$B$559,0),MATCH(N$2,cenník!$C$1:$I$1,0))</f>
        <v>ks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0</v>
      </c>
      <c r="P269" s="36">
        <f>INDEX(cenník!$C$2:$I$570,MATCH($L269,cenník!$B$2:$B$559,0),MATCH(P$2,cenník!$C$1:$I$1,0))</f>
        <v>0.56999999999999995</v>
      </c>
      <c r="Q269" s="36">
        <f t="shared" si="524"/>
        <v>0</v>
      </c>
      <c r="R269" s="37">
        <f t="shared" si="520"/>
        <v>0</v>
      </c>
      <c r="S269" s="36">
        <f t="shared" si="521"/>
        <v>0.56999999999999995</v>
      </c>
      <c r="T269" s="36">
        <f t="shared" si="525"/>
        <v>0</v>
      </c>
      <c r="U269" s="36">
        <f>INDEX(cenník!$C$2:$I$570,MATCH($L269,cenník!$B$2:$B$559,0),MATCH(U$2,cenník!$C$1:$I$1,0))*O269</f>
        <v>0</v>
      </c>
      <c r="AP269" s="68" t="s">
        <v>203</v>
      </c>
      <c r="AQ269" s="68" t="s">
        <v>295</v>
      </c>
      <c r="AR269" s="68" t="s">
        <v>293</v>
      </c>
      <c r="AS269" s="68" t="s">
        <v>291</v>
      </c>
      <c r="AT269" s="68" t="s">
        <v>291</v>
      </c>
      <c r="AV269" s="68" t="s">
        <v>203</v>
      </c>
      <c r="AW269" s="68" t="s">
        <v>295</v>
      </c>
      <c r="AX269" s="68" t="s">
        <v>294</v>
      </c>
      <c r="AY269" s="68" t="s">
        <v>292</v>
      </c>
      <c r="AZ269" s="68" t="s">
        <v>292</v>
      </c>
    </row>
    <row r="270" spans="1:52" x14ac:dyDescent="0.25">
      <c r="A270" s="9"/>
      <c r="B270" s="6"/>
      <c r="C270" s="9"/>
      <c r="D270" s="44" t="s">
        <v>521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>
        <f>INDEX(cenník!$C$2:$I$570,MATCH($L270,cenník!$B$2:$B$559,0),MATCH(M$2,cenník!$C$1:$I$1,0))</f>
        <v>898525</v>
      </c>
      <c r="N270" s="11" t="str">
        <f>INDEX(cenník!$C$2:$I$570,MATCH($L270,cenník!$B$2:$B$559,0),MATCH(N$2,cenník!$C$1:$I$1,0))</f>
        <v>ks</v>
      </c>
      <c r="O270" s="11">
        <f>SUM(O268:O269)</f>
        <v>0</v>
      </c>
      <c r="P270" s="36">
        <f>INDEX(cenník!$C$2:$I$570,MATCH($L270,cenník!$B$2:$B$559,0),MATCH(P$2,cenník!$C$1:$I$1,0))</f>
        <v>0.16</v>
      </c>
      <c r="Q270" s="36">
        <f t="shared" si="524"/>
        <v>0</v>
      </c>
      <c r="R270" s="37">
        <f t="shared" si="520"/>
        <v>0</v>
      </c>
      <c r="S270" s="36">
        <f t="shared" si="521"/>
        <v>0.16</v>
      </c>
      <c r="T270" s="36">
        <f t="shared" si="525"/>
        <v>0</v>
      </c>
      <c r="U270" s="36">
        <f>INDEX(cenník!$C$2:$I$570,MATCH($L270,cenník!$B$2:$B$559,0),MATCH(U$2,cenník!$C$1:$I$1,0))*O270</f>
        <v>0</v>
      </c>
      <c r="AP270" s="68" t="s">
        <v>204</v>
      </c>
      <c r="AQ270" s="68" t="s">
        <v>295</v>
      </c>
      <c r="AR270" s="68" t="s">
        <v>293</v>
      </c>
      <c r="AS270" s="68" t="s">
        <v>291</v>
      </c>
      <c r="AT270" s="68" t="s">
        <v>291</v>
      </c>
      <c r="AV270" s="68" t="s">
        <v>204</v>
      </c>
      <c r="AW270" s="68" t="s">
        <v>295</v>
      </c>
      <c r="AX270" s="68" t="s">
        <v>294</v>
      </c>
      <c r="AY270" s="68" t="s">
        <v>292</v>
      </c>
      <c r="AZ270" s="68" t="s">
        <v>292</v>
      </c>
    </row>
    <row r="271" spans="1:52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244</v>
      </c>
      <c r="M271" s="11">
        <f>INDEX(cenník!$C$2:$I$570,MATCH($L271,cenník!$B$2:$B$559,0),MATCH(M$2,cenník!$C$1:$I$1,0))</f>
        <v>166794</v>
      </c>
      <c r="N271" s="11" t="str">
        <f>INDEX(cenník!$C$2:$I$570,MATCH($L271,cenník!$B$2:$B$559,0),MATCH(N$2,cenník!$C$1:$I$1,0))</f>
        <v>100ks</v>
      </c>
      <c r="O271" s="11">
        <f>ROUNDUP(O270/100,0)</f>
        <v>0</v>
      </c>
      <c r="P271" s="36">
        <f>INDEX(cenník!$C$2:$I$570,MATCH($L271,cenník!$B$2:$B$559,0),MATCH(P$2,cenník!$C$1:$I$1,0))</f>
        <v>1.38</v>
      </c>
      <c r="Q271" s="36">
        <f t="shared" si="524"/>
        <v>0</v>
      </c>
      <c r="R271" s="37">
        <f t="shared" si="520"/>
        <v>0</v>
      </c>
      <c r="S271" s="36">
        <f t="shared" si="521"/>
        <v>1.38</v>
      </c>
      <c r="T271" s="36">
        <f t="shared" si="525"/>
        <v>0</v>
      </c>
      <c r="U271" s="36">
        <f>INDEX(cenník!$C$2:$I$570,MATCH($L271,cenník!$B$2:$B$559,0),MATCH(U$2,cenník!$C$1:$I$1,0))*O271</f>
        <v>0</v>
      </c>
      <c r="AP271" s="68" t="s">
        <v>232</v>
      </c>
      <c r="AQ271" s="68" t="s">
        <v>295</v>
      </c>
      <c r="AR271" s="68" t="s">
        <v>293</v>
      </c>
      <c r="AS271" s="68" t="s">
        <v>291</v>
      </c>
      <c r="AT271" s="68" t="s">
        <v>291</v>
      </c>
      <c r="AV271" s="68" t="s">
        <v>232</v>
      </c>
      <c r="AW271" s="68" t="s">
        <v>295</v>
      </c>
      <c r="AX271" s="68" t="s">
        <v>294</v>
      </c>
      <c r="AY271" s="68" t="s">
        <v>292</v>
      </c>
      <c r="AZ271" s="68" t="s">
        <v>292</v>
      </c>
    </row>
    <row r="272" spans="1:52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243</v>
      </c>
      <c r="M272" s="11">
        <f>INDEX(cenník!$C$2:$I$570,MATCH($L272,cenník!$B$2:$B$559,0),MATCH(M$2,cenník!$C$1:$I$1,0))</f>
        <v>660245</v>
      </c>
      <c r="N272" s="11" t="str">
        <f>INDEX(cenník!$C$2:$I$570,MATCH($L272,cenník!$B$2:$B$559,0),MATCH(N$2,cenník!$C$1:$I$1,0))</f>
        <v>ks</v>
      </c>
      <c r="O272" s="11">
        <f>SUM(O268:O269)</f>
        <v>0</v>
      </c>
      <c r="P272" s="36">
        <f>INDEX(cenník!$C$2:$I$570,MATCH($L272,cenník!$B$2:$B$559,0),MATCH(P$2,cenník!$C$1:$I$1,0))</f>
        <v>0.55000000000000004</v>
      </c>
      <c r="Q272" s="36">
        <f t="shared" si="524"/>
        <v>0</v>
      </c>
      <c r="R272" s="37">
        <f t="shared" si="520"/>
        <v>0</v>
      </c>
      <c r="S272" s="36">
        <f t="shared" si="521"/>
        <v>0.55000000000000004</v>
      </c>
      <c r="T272" s="36">
        <f t="shared" si="525"/>
        <v>0</v>
      </c>
      <c r="U272" s="36">
        <f>INDEX(cenník!$C$2:$I$570,MATCH($L272,cenník!$B$2:$B$559,0),MATCH(U$2,cenník!$C$1:$I$1,0))*O272</f>
        <v>0</v>
      </c>
      <c r="AP272" s="68" t="s">
        <v>231</v>
      </c>
      <c r="AQ272" s="68" t="s">
        <v>295</v>
      </c>
      <c r="AR272" s="68" t="s">
        <v>293</v>
      </c>
      <c r="AS272" s="68" t="s">
        <v>291</v>
      </c>
      <c r="AT272" s="68" t="s">
        <v>291</v>
      </c>
      <c r="AV272" s="68" t="s">
        <v>231</v>
      </c>
      <c r="AW272" s="68" t="s">
        <v>295</v>
      </c>
      <c r="AX272" s="68" t="s">
        <v>294</v>
      </c>
      <c r="AY272" s="68" t="s">
        <v>292</v>
      </c>
      <c r="AZ272" s="68" t="s">
        <v>292</v>
      </c>
    </row>
    <row r="273" spans="1:21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371</v>
      </c>
      <c r="M273" s="11">
        <f>INDEX(cenník!$C$2:$I$570,MATCH($L273,cenník!$B$2:$B$559,0),MATCH(M$2,cenník!$C$1:$I$1,0))</f>
        <v>6510443</v>
      </c>
      <c r="N273" s="11" t="str">
        <f>INDEX(cenník!$C$2:$I$570,MATCH($L273,cenník!$B$2:$B$559,0),MATCH(N$2,cenník!$C$1:$I$1,0))</f>
        <v>100ks</v>
      </c>
      <c r="O273" s="11">
        <f>O274</f>
        <v>0</v>
      </c>
      <c r="P273" s="36">
        <f>INDEX(cenník!$C$2:$I$570,MATCH($L273,cenník!$B$2:$B$559,0),MATCH(P$2,cenník!$C$1:$I$1,0))</f>
        <v>15.05</v>
      </c>
      <c r="Q273" s="36">
        <f t="shared" ref="Q273" si="526">O273*P273</f>
        <v>0</v>
      </c>
      <c r="R273" s="37">
        <f t="shared" si="520"/>
        <v>0</v>
      </c>
      <c r="S273" s="36">
        <f t="shared" ref="S273" si="527">P273*((100-$E$259)/100)</f>
        <v>15.05</v>
      </c>
      <c r="T273" s="36">
        <f t="shared" ref="T273" si="528">O273*S273</f>
        <v>0</v>
      </c>
      <c r="U273" s="36">
        <f>INDEX(cenník!$C$2:$I$570,MATCH($L273,cenník!$B$2:$B$559,0),MATCH(U$2,cenník!$C$1:$I$1,0))*O273</f>
        <v>0</v>
      </c>
    </row>
    <row r="274" spans="1:21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150</v>
      </c>
      <c r="M274" s="11">
        <f>INDEX(cenník!$C$2:$I$570,MATCH($L274,cenník!$B$2:$B$559,0),MATCH(M$2,cenník!$C$1:$I$1,0))</f>
        <v>651643</v>
      </c>
      <c r="N274" s="11" t="str">
        <f>INDEX(cenník!$C$2:$I$570,MATCH($L274,cenník!$B$2:$B$559,0),MATCH(N$2,cenník!$C$1:$I$1,0))</f>
        <v>100ks</v>
      </c>
      <c r="O274" s="11">
        <f>ROUNDUP(((O257*4)+(O261)+(O279*4)+(O267*12)+(O256*9)+(E260)+(O259*2))/100,0)</f>
        <v>0</v>
      </c>
      <c r="P274" s="36">
        <f>INDEX(cenník!$C$2:$I$570,MATCH($L274,cenník!$B$2:$B$559,0),MATCH(P$2,cenník!$C$1:$I$1,0))</f>
        <v>49.87</v>
      </c>
      <c r="Q274" s="36">
        <f t="shared" si="524"/>
        <v>0</v>
      </c>
      <c r="R274" s="37">
        <f t="shared" si="520"/>
        <v>0</v>
      </c>
      <c r="S274" s="36">
        <f t="shared" si="521"/>
        <v>49.87</v>
      </c>
      <c r="T274" s="36">
        <f t="shared" si="525"/>
        <v>0</v>
      </c>
      <c r="U274" s="36">
        <f>INDEX(cenník!$C$2:$I$570,MATCH($L274,cenník!$B$2:$B$559,0),MATCH(U$2,cenník!$C$1:$I$1,0))*O274</f>
        <v>0</v>
      </c>
    </row>
    <row r="275" spans="1:21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65</v>
      </c>
      <c r="M275" s="11">
        <f>INDEX(cenník!$C$2:$I$570,MATCH($L275,cenník!$B$2:$B$559,0),MATCH(M$2,cenník!$C$1:$I$1,0))</f>
        <v>897303</v>
      </c>
      <c r="N275" s="11" t="str">
        <f>INDEX(cenník!$C$2:$I$570,MATCH($L275,cenník!$B$2:$B$559,0),MATCH(N$2,cenník!$C$1:$I$1,0))</f>
        <v>ks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0</v>
      </c>
      <c r="P275" s="36">
        <f>INDEX(cenník!$C$2:$I$570,MATCH($L275,cenník!$B$2:$B$559,0),MATCH(P$2,cenník!$C$1:$I$1,0))</f>
        <v>0.83</v>
      </c>
      <c r="Q275" s="36">
        <f t="shared" si="524"/>
        <v>0</v>
      </c>
      <c r="R275" s="37">
        <f t="shared" si="520"/>
        <v>0</v>
      </c>
      <c r="S275" s="36">
        <f t="shared" si="521"/>
        <v>0.83</v>
      </c>
      <c r="T275" s="36">
        <f t="shared" si="525"/>
        <v>0</v>
      </c>
      <c r="U275" s="36">
        <f>INDEX(cenník!$C$2:$I$570,MATCH($L275,cenník!$B$2:$B$559,0),MATCH(U$2,cenník!$C$1:$I$1,0))*O275</f>
        <v>0</v>
      </c>
    </row>
    <row r="276" spans="1:21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127</v>
      </c>
      <c r="M276" s="11">
        <f>INDEX(cenník!$C$2:$I$570,MATCH($L276,cenník!$B$2:$B$559,0),MATCH(M$2,cenník!$C$1:$I$1,0))</f>
        <v>890111</v>
      </c>
      <c r="N276" s="11" t="str">
        <f>INDEX(cenník!$C$2:$I$570,MATCH($L276,cenník!$B$2:$B$559,0),MATCH(N$2,cenník!$C$1:$I$1,0))</f>
        <v>100ks</v>
      </c>
      <c r="O276" s="11">
        <f>ROUNDUP((O255*4)/100,0)</f>
        <v>0</v>
      </c>
      <c r="P276" s="36">
        <f>INDEX(cenník!$C$2:$I$570,MATCH($L276,cenník!$B$2:$B$559,0),MATCH(P$2,cenník!$C$1:$I$1,0))</f>
        <v>60.37</v>
      </c>
      <c r="Q276" s="36">
        <f t="shared" si="524"/>
        <v>0</v>
      </c>
      <c r="R276" s="37">
        <f t="shared" si="520"/>
        <v>0</v>
      </c>
      <c r="S276" s="36">
        <f t="shared" si="521"/>
        <v>60.37</v>
      </c>
      <c r="T276" s="36">
        <f t="shared" si="525"/>
        <v>0</v>
      </c>
      <c r="U276" s="36">
        <f>INDEX(cenník!$C$2:$I$570,MATCH($L276,cenník!$B$2:$B$559,0),MATCH(U$2,cenník!$C$1:$I$1,0))*O276</f>
        <v>0</v>
      </c>
    </row>
    <row r="277" spans="1:21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514</v>
      </c>
      <c r="M277" s="11"/>
      <c r="N277" s="11"/>
      <c r="O277" s="11"/>
      <c r="P277" s="36"/>
      <c r="Q277" s="36"/>
      <c r="R277" s="37"/>
      <c r="S277" s="36"/>
      <c r="T277" s="36"/>
      <c r="U277" s="36"/>
    </row>
    <row r="278" spans="1:21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290</v>
      </c>
      <c r="M278" s="11">
        <f>INDEX(cenník!$C$2:$I$570,MATCH($L278,cenník!$B$2:$B$559,0),MATCH(M$2,cenník!$C$1:$I$1,0))</f>
        <v>867810</v>
      </c>
      <c r="N278" s="11" t="str">
        <f>INDEX(cenník!$C$2:$I$570,MATCH($L278,cenník!$B$2:$B$559,0),MATCH(N$2,cenník!$C$1:$I$1,0))</f>
        <v>ks</v>
      </c>
      <c r="O278" s="29">
        <f>E258*2</f>
        <v>0</v>
      </c>
      <c r="P278" s="36">
        <f>INDEX(cenník!$C$2:$I$570,MATCH($L278,cenník!$B$2:$B$559,0),MATCH(P$2,cenník!$C$1:$I$1,0))</f>
        <v>17.5</v>
      </c>
      <c r="Q278" s="36">
        <f>O278*P278</f>
        <v>0</v>
      </c>
      <c r="R278" s="37">
        <f>$E$259</f>
        <v>0</v>
      </c>
      <c r="S278" s="36">
        <f t="shared" si="521"/>
        <v>17.5</v>
      </c>
      <c r="T278" s="36">
        <f>O278*S278</f>
        <v>0</v>
      </c>
      <c r="U278" s="36">
        <f>INDEX(cenník!$C$2:$I$570,MATCH($L278,cenník!$B$2:$B$559,0),MATCH(U$2,cenník!$C$1:$I$1,0))*O278</f>
        <v>0</v>
      </c>
    </row>
    <row r="279" spans="1:21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293</v>
      </c>
      <c r="M279" s="11">
        <f>INDEX(cenník!$C$2:$I$570,MATCH($L279,cenník!$B$2:$B$559,0),MATCH(M$2,cenník!$C$1:$I$1,0))</f>
        <v>867830</v>
      </c>
      <c r="N279" s="11" t="str">
        <f>INDEX(cenník!$C$2:$I$570,MATCH($L279,cenník!$B$2:$B$559,0),MATCH(N$2,cenník!$C$1:$I$1,0))</f>
        <v>ks</v>
      </c>
      <c r="O279" s="11">
        <f>E258*2</f>
        <v>0</v>
      </c>
      <c r="P279" s="36">
        <f>INDEX(cenník!$C$2:$I$570,MATCH($L279,cenník!$B$2:$B$559,0),MATCH(P$2,cenník!$C$1:$I$1,0))</f>
        <v>52.49</v>
      </c>
      <c r="Q279" s="36">
        <f>O279*P279</f>
        <v>0</v>
      </c>
      <c r="R279" s="37">
        <f>$E$259</f>
        <v>0</v>
      </c>
      <c r="S279" s="36">
        <f t="shared" si="521"/>
        <v>52.49</v>
      </c>
      <c r="T279" s="36">
        <f>O279*S279</f>
        <v>0</v>
      </c>
      <c r="U279" s="36">
        <f>INDEX(cenník!$C$2:$I$570,MATCH($L279,cenník!$B$2:$B$559,0),MATCH(U$2,cenník!$C$1:$I$1,0))*O279</f>
        <v>0</v>
      </c>
    </row>
    <row r="280" spans="1:21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6"/>
      <c r="Q280" s="36"/>
      <c r="R280" s="36"/>
      <c r="S280" s="36"/>
      <c r="T280" s="36">
        <f>SUM(T255:T279)</f>
        <v>0</v>
      </c>
      <c r="U280" s="36">
        <f>SUM(U255:U279)</f>
        <v>0</v>
      </c>
    </row>
    <row r="281" spans="1:21" x14ac:dyDescent="0.25"/>
    <row r="282" spans="1:21" x14ac:dyDescent="0.25"/>
  </sheetData>
  <sheetProtection algorithmName="SHA-512" hashValue="RyBrr+v8NX3DWdZKG35Ki4ZzjmContId8Da9cmnskzDsI409MUkZfou3Di1iRdbTs9/Mt+mp9LbS0VeoCs2Tzw==" saltValue="7GTbKv26ylxCcvRZAYV1fg==" spinCount="100000" sheet="1" objects="1" scenarios="1"/>
  <dataConsolidate/>
  <mergeCells count="9">
    <mergeCell ref="L253:U253"/>
    <mergeCell ref="L191:U191"/>
    <mergeCell ref="L218:U218"/>
    <mergeCell ref="L1:U1"/>
    <mergeCell ref="L33:U33"/>
    <mergeCell ref="L65:U65"/>
    <mergeCell ref="L97:U97"/>
    <mergeCell ref="L129:U129"/>
    <mergeCell ref="L161:U161"/>
  </mergeCells>
  <conditionalFormatting sqref="E14">
    <cfRule type="expression" dxfId="10" priority="8">
      <formula>IF($E$5="na zemných skrutkach",1)</formula>
    </cfRule>
  </conditionalFormatting>
  <conditionalFormatting sqref="E45">
    <cfRule type="expression" dxfId="9" priority="7">
      <formula>IF($E$37="na zemných skrutkach",1)</formula>
    </cfRule>
  </conditionalFormatting>
  <conditionalFormatting sqref="E77">
    <cfRule type="expression" dxfId="8" priority="6">
      <formula>IF($E$69="na zemných skrutkach",1)</formula>
    </cfRule>
  </conditionalFormatting>
  <conditionalFormatting sqref="E110">
    <cfRule type="expression" dxfId="7" priority="5">
      <formula>IF($E$101="na zemných skrutkach",1)</formula>
    </cfRule>
  </conditionalFormatting>
  <conditionalFormatting sqref="E141">
    <cfRule type="expression" dxfId="6" priority="4">
      <formula>IF($E$133="na zemných skrutkach",1)</formula>
    </cfRule>
  </conditionalFormatting>
  <conditionalFormatting sqref="E174">
    <cfRule type="expression" dxfId="5" priority="3">
      <formula>IF($E$165="na zemných skrutkach",1)</formula>
    </cfRule>
  </conditionalFormatting>
  <conditionalFormatting sqref="E231">
    <cfRule type="expression" dxfId="4" priority="2">
      <formula>IF($E$222="na zemných skrutkach",1)</formula>
    </cfRule>
  </conditionalFormatting>
  <conditionalFormatting sqref="E266">
    <cfRule type="expression" dxfId="3" priority="1">
      <formula>IF($E$257="na zemných skrutkach",1)</formula>
    </cfRule>
  </conditionalFormatting>
  <dataValidations count="37">
    <dataValidation type="list" allowBlank="1" showInputMessage="1" showErrorMessage="1" sqref="I3 I255 I220 I35 I67 I99 I131 I163 I193" xr:uid="{00000000-0002-0000-0400-000000000000}">
      <formula1>$DR$19:$DR$26</formula1>
    </dataValidation>
    <dataValidation type="whole" allowBlank="1" showInputMessage="1" showErrorMessage="1" sqref="E8 E168 E40 E72 E104 E136 E198 E225 E260" xr:uid="{00000000-0002-0000-0400-000001000000}">
      <formula1>0</formula1>
      <formula2>5000</formula2>
    </dataValidation>
    <dataValidation type="list" allowBlank="1" showInputMessage="1" showErrorMessage="1" sqref="AH170" xr:uid="{00000000-0002-0000-0400-000002000000}">
      <formula1>$BJ$166:$BU$166</formula1>
    </dataValidation>
    <dataValidation type="list" allowBlank="1" showInputMessage="1" showErrorMessage="1" sqref="AH139" xr:uid="{00000000-0002-0000-0400-000003000000}">
      <formula1>$BJ$138:$CF$138</formula1>
    </dataValidation>
    <dataValidation type="list" allowBlank="1" showInputMessage="1" showErrorMessage="1" sqref="AH113" xr:uid="{00000000-0002-0000-0400-000004000000}">
      <formula1>$BJ$111:$CF$111</formula1>
    </dataValidation>
    <dataValidation type="list" allowBlank="1" showInputMessage="1" showErrorMessage="1" sqref="A162:A177" xr:uid="{00000000-0002-0000-0400-000005000000}">
      <formula1>$DR$137:$DR$160</formula1>
    </dataValidation>
    <dataValidation type="list" allowBlank="1" showInputMessage="1" showErrorMessage="1" sqref="AJ20" xr:uid="{00000000-0002-0000-0400-000006000000}">
      <formula1>$DR$2:$DR$13</formula1>
    </dataValidation>
    <dataValidation type="list" allowBlank="1" showInputMessage="1" showErrorMessage="1" sqref="A2:A17 A219:A234" xr:uid="{00000000-0002-0000-0400-000007000000}">
      <formula1>$DR$1:$DR$13</formula1>
    </dataValidation>
    <dataValidation type="list" allowBlank="1" showInputMessage="1" showErrorMessage="1" sqref="A66" xr:uid="{00000000-0002-0000-0400-000008000000}">
      <formula1>$DR$57:$DR$68</formula1>
    </dataValidation>
    <dataValidation type="list" allowBlank="1" showInputMessage="1" showErrorMessage="1" sqref="A34" xr:uid="{00000000-0002-0000-0400-000009000000}">
      <formula1>$DR$30:$DR$41</formula1>
    </dataValidation>
    <dataValidation type="list" allowBlank="1" showInputMessage="1" showErrorMessage="1" sqref="A192:A207" xr:uid="{00000000-0002-0000-0400-00000A000000}">
      <formula1>$DR$165:$DR$177</formula1>
    </dataValidation>
    <dataValidation type="list" allowBlank="1" showInputMessage="1" showErrorMessage="1" sqref="A130:A145" xr:uid="{00000000-0002-0000-0400-00000B000000}">
      <formula1>$DR$110:$DR$133</formula1>
    </dataValidation>
    <dataValidation type="list" allowBlank="1" showInputMessage="1" showErrorMessage="1" sqref="A254:A269 A98:A113" xr:uid="{00000000-0002-0000-0400-00000C000000}">
      <formula1>$DR$83:$DR$106</formula1>
    </dataValidation>
    <dataValidation type="list" allowBlank="1" showInputMessage="1" showErrorMessage="1" sqref="A67:A81" xr:uid="{00000000-0002-0000-0400-00000D000000}">
      <formula1>$DR$56:$DR$68</formula1>
    </dataValidation>
    <dataValidation type="list" allowBlank="1" showInputMessage="1" showErrorMessage="1" sqref="A35:A49" xr:uid="{00000000-0002-0000-0400-00000E000000}">
      <formula1>$DR$29:$DR$41</formula1>
    </dataValidation>
    <dataValidation type="list" allowBlank="1" showInputMessage="1" showErrorMessage="1" sqref="AI86" xr:uid="{00000000-0002-0000-0400-00000F000000}">
      <formula1>$CO$84:$DL$84</formula1>
    </dataValidation>
    <dataValidation type="custom" showInputMessage="1" showErrorMessage="1" error="W pierwszej kolejności należy uzupełnić ilość modułów na stole" sqref="C2:C17 C98:C113 C130:C145 C162:C177 C219:C234 C254:C269 C34:C49 C66:C81" xr:uid="{00000000-0002-0000-0400-000010000000}">
      <formula1>A2&gt;0</formula1>
    </dataValidation>
    <dataValidation type="custom" showInputMessage="1" showErrorMessage="1" error="W pierwszej kolejności należy uzupełnić ilość modułów w rzędzie" sqref="C192:C207" xr:uid="{00000000-0002-0000-0400-000011000000}">
      <formula1>A192&gt;0</formula1>
    </dataValidation>
    <dataValidation type="list" allowBlank="1" showInputMessage="1" showErrorMessage="1" sqref="E5 E37 E69 E101 E133 E165 E195 E222 E257" xr:uid="{00000000-0002-0000-0400-000012000000}">
      <formula1>$AC$5:$AC$8</formula1>
    </dataValidation>
    <dataValidation type="list" allowBlank="1" showInputMessage="1" showErrorMessage="1" sqref="E4 E36 E68 E100 E132 E164 E194 E221 E256" xr:uid="{00000000-0002-0000-0400-000013000000}">
      <formula1>$AC$2:$AC$3</formula1>
    </dataValidation>
    <dataValidation type="list" allowBlank="1" showInputMessage="1" showErrorMessage="1" sqref="AK192" xr:uid="{00000000-0002-0000-0400-000014000000}">
      <formula1>$BI$184:$BU$184</formula1>
    </dataValidation>
    <dataValidation type="list" allowBlank="1" showInputMessage="1" showErrorMessage="1" sqref="G67" xr:uid="{00000000-0002-0000-0400-000015000000}">
      <formula1>$AE$24:$AE$26</formula1>
    </dataValidation>
    <dataValidation type="list" allowBlank="1" showInputMessage="1" showErrorMessage="1" sqref="G193 G163 G35" xr:uid="{00000000-0002-0000-0400-000016000000}">
      <formula1>$AE$24:$AE$27</formula1>
    </dataValidation>
    <dataValidation type="list" allowBlank="1" showInputMessage="1" showErrorMessage="1" sqref="G3 G220" xr:uid="{00000000-0002-0000-0400-000017000000}">
      <formula1>$AE$24:$AE$30</formula1>
    </dataValidation>
    <dataValidation type="list" allowBlank="1" showInputMessage="1" showErrorMessage="1" sqref="E11 E263 E171 E138 E107 E74 E42 E228" xr:uid="{00000000-0002-0000-0400-000018000000}">
      <formula1>$DS$21:$DS$23</formula1>
    </dataValidation>
    <dataValidation type="list" allowBlank="1" showInputMessage="1" showErrorMessage="1" sqref="E12 E264 E172 E139 E108 E75 E43 E229" xr:uid="{00000000-0002-0000-0400-000019000000}">
      <formula1>$DS$15:$DS$19</formula1>
    </dataValidation>
    <dataValidation type="list" allowBlank="1" showInputMessage="1" showErrorMessage="1" sqref="AK20" xr:uid="{00000000-0002-0000-0400-00001A000000}">
      <formula1>$AF$45:$AF$46</formula1>
    </dataValidation>
    <dataValidation type="list" allowBlank="1" showInputMessage="1" showErrorMessage="1" sqref="AI170" xr:uid="{00000000-0002-0000-0400-00001B000000}">
      <formula1>$AF$33:$AF$44</formula1>
    </dataValidation>
    <dataValidation type="list" allowBlank="1" showInputMessage="1" showErrorMessage="1" sqref="E193 E255 E3 E67 E35" xr:uid="{00000000-0002-0000-0400-00001C000000}">
      <formula1>$AE$33:$AE$46</formula1>
    </dataValidation>
    <dataValidation type="list" allowBlank="1" showInputMessage="1" showErrorMessage="1" sqref="E163" xr:uid="{00000000-0002-0000-0400-00001D000000}">
      <formula1>$AE$33:$AE$35</formula1>
    </dataValidation>
    <dataValidation type="list" allowBlank="1" showInputMessage="1" showErrorMessage="1" sqref="AL192" xr:uid="{00000000-0002-0000-0400-00001E000000}">
      <formula1>$AF$33:$AF$46</formula1>
    </dataValidation>
    <dataValidation type="list" allowBlank="1" showInputMessage="1" showErrorMessage="1" sqref="E131" xr:uid="{00000000-0002-0000-0400-00001F000000}">
      <formula1>$AE$33:$AE$41</formula1>
    </dataValidation>
    <dataValidation type="list" allowBlank="1" showInputMessage="1" showErrorMessage="1" sqref="E220" xr:uid="{00000000-0002-0000-0400-000020000000}">
      <formula1>$AE$33:$AE$47</formula1>
    </dataValidation>
    <dataValidation type="list" allowBlank="1" showInputMessage="1" showErrorMessage="1" sqref="G255 G99 G131" xr:uid="{00000000-0002-0000-0400-000021000000}">
      <formula1>$AE$24:$AE$32</formula1>
    </dataValidation>
    <dataValidation type="list" allowBlank="1" showInputMessage="1" showErrorMessage="1" sqref="E14 E266 E231 E174 E141 E110 E77 E45" xr:uid="{00000000-0002-0000-0400-000022000000}">
      <formula1>$DS$10:$DS$11</formula1>
    </dataValidation>
    <dataValidation type="list" allowBlank="1" showInputMessage="1" showErrorMessage="1" sqref="E106 E170 E10 E227" xr:uid="{00000000-0002-0000-0400-000023000000}">
      <formula1>$DS$6:$DS$7</formula1>
    </dataValidation>
    <dataValidation type="list" allowBlank="1" showInputMessage="1" showErrorMessage="1" sqref="E99" xr:uid="{00000000-0002-0000-0400-000024000000}">
      <formula1>$AE$33:$AE$50</formula1>
    </dataValidation>
  </dataValidations>
  <hyperlinks>
    <hyperlink ref="D15" r:id="rId1" xr:uid="{00000000-0004-0000-0400-000000000000}"/>
    <hyperlink ref="D16" r:id="rId2" xr:uid="{00000000-0004-0000-0400-000001000000}"/>
    <hyperlink ref="D17" r:id="rId3" xr:uid="{00000000-0004-0000-0400-000002000000}"/>
    <hyperlink ref="D18" r:id="rId4" xr:uid="{00000000-0004-0000-0400-000003000000}"/>
    <hyperlink ref="D46" r:id="rId5" xr:uid="{00000000-0004-0000-0400-000004000000}"/>
    <hyperlink ref="D47" r:id="rId6" xr:uid="{00000000-0004-0000-0400-000005000000}"/>
    <hyperlink ref="D48" r:id="rId7" xr:uid="{00000000-0004-0000-0400-000006000000}"/>
    <hyperlink ref="D49" r:id="rId8" xr:uid="{00000000-0004-0000-0400-000007000000}"/>
    <hyperlink ref="D78" r:id="rId9" xr:uid="{00000000-0004-0000-0400-000008000000}"/>
    <hyperlink ref="D79" r:id="rId10" xr:uid="{00000000-0004-0000-0400-000009000000}"/>
    <hyperlink ref="D80" r:id="rId11" xr:uid="{00000000-0004-0000-0400-00000A000000}"/>
    <hyperlink ref="D81" r:id="rId12" xr:uid="{00000000-0004-0000-0400-00000B000000}"/>
    <hyperlink ref="D111" r:id="rId13" xr:uid="{00000000-0004-0000-0400-00000C000000}"/>
    <hyperlink ref="D112" r:id="rId14" xr:uid="{00000000-0004-0000-0400-00000D000000}"/>
    <hyperlink ref="D113" r:id="rId15" xr:uid="{00000000-0004-0000-0400-00000E000000}"/>
    <hyperlink ref="D114" r:id="rId16" xr:uid="{00000000-0004-0000-0400-00000F000000}"/>
    <hyperlink ref="D142" r:id="rId17" xr:uid="{00000000-0004-0000-0400-000010000000}"/>
    <hyperlink ref="D143" r:id="rId18" xr:uid="{00000000-0004-0000-0400-000011000000}"/>
    <hyperlink ref="D144" r:id="rId19" xr:uid="{00000000-0004-0000-0400-000012000000}"/>
    <hyperlink ref="D145" r:id="rId20" xr:uid="{00000000-0004-0000-0400-000013000000}"/>
    <hyperlink ref="D175" r:id="rId21" xr:uid="{00000000-0004-0000-0400-000014000000}"/>
    <hyperlink ref="D176" r:id="rId22" xr:uid="{00000000-0004-0000-0400-000015000000}"/>
    <hyperlink ref="D177" r:id="rId23" xr:uid="{00000000-0004-0000-0400-000016000000}"/>
    <hyperlink ref="D178" r:id="rId24" xr:uid="{00000000-0004-0000-0400-000017000000}"/>
    <hyperlink ref="D232" r:id="rId25" xr:uid="{00000000-0004-0000-0400-000018000000}"/>
    <hyperlink ref="D233" r:id="rId26" xr:uid="{00000000-0004-0000-0400-000019000000}"/>
    <hyperlink ref="D234" r:id="rId27" xr:uid="{00000000-0004-0000-0400-00001A000000}"/>
    <hyperlink ref="D235" r:id="rId28" xr:uid="{00000000-0004-0000-0400-00001B000000}"/>
    <hyperlink ref="D267" r:id="rId29" xr:uid="{00000000-0004-0000-0400-00001C000000}"/>
    <hyperlink ref="D268" r:id="rId30" xr:uid="{00000000-0004-0000-0400-00001D000000}"/>
    <hyperlink ref="D269" r:id="rId31" xr:uid="{00000000-0004-0000-0400-00001E000000}"/>
    <hyperlink ref="D270" r:id="rId32" xr:uid="{00000000-0004-0000-0400-00001F000000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Arkusz1"/>
  <dimension ref="A1:CU81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9.140625" style="1" customWidth="1"/>
    <col min="2" max="2" width="1.85546875" style="1" bestFit="1" customWidth="1"/>
    <col min="3" max="3" width="9.140625" style="1" customWidth="1"/>
    <col min="4" max="4" width="25.85546875" style="1" bestFit="1" customWidth="1"/>
    <col min="5" max="5" width="9.7109375" style="1" bestFit="1" customWidth="1"/>
    <col min="6" max="6" width="1.85546875" style="1" bestFit="1" customWidth="1"/>
    <col min="7" max="7" width="8.5703125" style="1" bestFit="1" customWidth="1"/>
    <col min="8" max="8" width="1.85546875" style="1" bestFit="1" customWidth="1"/>
    <col min="9" max="9" width="3" style="1" bestFit="1" customWidth="1"/>
    <col min="10" max="10" width="5.28515625" style="1" bestFit="1" customWidth="1"/>
    <col min="11" max="11" width="9.140625" style="1" customWidth="1"/>
    <col min="12" max="12" width="17.28515625" style="1" bestFit="1" customWidth="1"/>
    <col min="13" max="13" width="13.85546875" style="1" bestFit="1" customWidth="1"/>
    <col min="14" max="14" width="7" style="1" bestFit="1" customWidth="1"/>
    <col min="15" max="15" width="5.42578125" style="23" bestFit="1" customWidth="1"/>
    <col min="16" max="16" width="12" style="1" bestFit="1" customWidth="1"/>
    <col min="17" max="17" width="14.7109375" style="1" bestFit="1" customWidth="1"/>
    <col min="18" max="18" width="5.42578125" style="1" bestFit="1" customWidth="1"/>
    <col min="19" max="19" width="20.7109375" style="1" bestFit="1" customWidth="1"/>
    <col min="20" max="20" width="23.42578125" style="1" bestFit="1" customWidth="1"/>
    <col min="21" max="21" width="13.5703125" style="1" customWidth="1"/>
    <col min="22" max="31" width="9.140625" style="20" customWidth="1"/>
    <col min="32" max="39" width="9.140625" style="20" hidden="1" customWidth="1"/>
    <col min="40" max="40" width="15.7109375" style="20" hidden="1" customWidth="1"/>
    <col min="41" max="49" width="2.140625" style="20" hidden="1" customWidth="1"/>
    <col min="50" max="53" width="3.140625" style="20" hidden="1" customWidth="1"/>
    <col min="54" max="54" width="3.140625" style="24" hidden="1" customWidth="1"/>
    <col min="55" max="91" width="3.140625" style="20" hidden="1" customWidth="1"/>
    <col min="92" max="99" width="9.140625" style="20" hidden="1" customWidth="1"/>
    <col min="100" max="16384" width="9.140625" style="27" hidden="1"/>
  </cols>
  <sheetData>
    <row r="1" spans="1:91" ht="39" x14ac:dyDescent="0.25">
      <c r="A1" s="3" t="s">
        <v>549</v>
      </c>
      <c r="B1" s="6"/>
      <c r="C1" s="3" t="s">
        <v>550</v>
      </c>
      <c r="D1" s="4"/>
      <c r="E1" s="4"/>
      <c r="F1" s="4"/>
      <c r="G1" s="4"/>
      <c r="H1" s="4"/>
      <c r="I1" s="4"/>
      <c r="J1" s="4"/>
      <c r="K1" s="4"/>
      <c r="L1" s="221" t="str">
        <f>IF(E4=AI17,"KONŠTRUKCIA E-VKRN",IF(E4=AI18,"KONŠTRUKCIA E-HKRN",0))</f>
        <v>KONŠTRUKCIA E-VKRN</v>
      </c>
      <c r="M1" s="221"/>
      <c r="N1" s="221"/>
      <c r="O1" s="221"/>
      <c r="P1" s="221"/>
      <c r="Q1" s="221"/>
      <c r="R1" s="221"/>
      <c r="S1" s="221"/>
      <c r="T1" s="221"/>
      <c r="U1" s="221"/>
    </row>
    <row r="2" spans="1:91" x14ac:dyDescent="0.25">
      <c r="A2" s="8"/>
      <c r="B2" s="6" t="s">
        <v>61</v>
      </c>
      <c r="C2" s="8"/>
      <c r="D2" s="4"/>
      <c r="E2" s="4"/>
      <c r="F2" s="4"/>
      <c r="G2" s="4"/>
      <c r="H2" s="4"/>
      <c r="I2" s="4"/>
      <c r="J2" s="4"/>
      <c r="K2" s="4"/>
      <c r="L2" s="5" t="s">
        <v>53</v>
      </c>
      <c r="M2" s="5" t="s">
        <v>559</v>
      </c>
      <c r="N2" s="5" t="s">
        <v>436</v>
      </c>
      <c r="O2" s="5" t="s">
        <v>442</v>
      </c>
      <c r="P2" s="5" t="s">
        <v>443</v>
      </c>
      <c r="Q2" s="5" t="s">
        <v>444</v>
      </c>
      <c r="R2" s="5" t="s">
        <v>445</v>
      </c>
      <c r="S2" s="5" t="s">
        <v>446</v>
      </c>
      <c r="T2" s="5" t="s">
        <v>447</v>
      </c>
      <c r="U2" s="5" t="s">
        <v>438</v>
      </c>
      <c r="W2" s="25" t="s">
        <v>10</v>
      </c>
      <c r="X2" s="19" t="s">
        <v>99</v>
      </c>
      <c r="Y2" s="19" t="s">
        <v>8</v>
      </c>
      <c r="Z2" s="25" t="s">
        <v>98</v>
      </c>
      <c r="AA2" s="25" t="s">
        <v>100</v>
      </c>
      <c r="AB2" s="25" t="s">
        <v>114</v>
      </c>
      <c r="AC2" s="25" t="s">
        <v>9</v>
      </c>
      <c r="AD2" s="25" t="s">
        <v>101</v>
      </c>
      <c r="AE2" s="25" t="s">
        <v>102</v>
      </c>
      <c r="AG2" s="19" t="s">
        <v>66</v>
      </c>
      <c r="AH2" s="19" t="s">
        <v>466</v>
      </c>
      <c r="AI2" s="19" t="s">
        <v>467</v>
      </c>
      <c r="AJ2" s="28"/>
      <c r="AK2" s="28"/>
    </row>
    <row r="3" spans="1:91" x14ac:dyDescent="0.25">
      <c r="A3" s="8"/>
      <c r="B3" s="6" t="s">
        <v>61</v>
      </c>
      <c r="C3" s="8"/>
      <c r="D3" s="6" t="s">
        <v>452</v>
      </c>
      <c r="E3" s="8" t="s">
        <v>67</v>
      </c>
      <c r="F3" s="5" t="s">
        <v>61</v>
      </c>
      <c r="G3" s="8" t="s">
        <v>60</v>
      </c>
      <c r="H3" s="5" t="s">
        <v>61</v>
      </c>
      <c r="I3" s="8">
        <v>35</v>
      </c>
      <c r="J3" s="5" t="s">
        <v>62</v>
      </c>
      <c r="K3" s="4"/>
      <c r="L3" s="6" t="s">
        <v>99</v>
      </c>
      <c r="M3" s="14">
        <f>INDEX(cenník!$C$2:$I$568,MATCH($L3,cenník!$B$2:$B$557,0),MATCH(M$2,cenník!$C$1:$I$1,0))</f>
        <v>856210</v>
      </c>
      <c r="N3" s="14" t="str">
        <f>INDEX(cenník!$C$2:$I$568,MATCH($L3,cenník!$B$2:$B$557,0),MATCH(N$2,cenník!$C$1:$I$1,0))</f>
        <v>ks</v>
      </c>
      <c r="O3" s="14">
        <f>SUM(X3:X18)</f>
        <v>0</v>
      </c>
      <c r="P3" s="21">
        <f>INDEX(cenník!$C$2:$I$568,MATCH($L3,cenník!$B$2:$B$557,0),MATCH(P$2,cenník!$C$1:$I$1,0))</f>
        <v>7.25</v>
      </c>
      <c r="Q3" s="21">
        <f>O3*P3</f>
        <v>0</v>
      </c>
      <c r="R3" s="22">
        <f>$E$6</f>
        <v>10</v>
      </c>
      <c r="S3" s="21">
        <f>P3*((100-$E$6)/100)</f>
        <v>6.5250000000000004</v>
      </c>
      <c r="T3" s="21">
        <f>O3*S3</f>
        <v>0</v>
      </c>
      <c r="U3" s="21">
        <f>INDEX(cenník!$C$2:$I$568,MATCH($L3,cenník!$B$2:$B$557,0),MATCH(U$2,cenník!$C$1:$I$1,0))*O3</f>
        <v>0</v>
      </c>
      <c r="W3" s="19">
        <f>(INDEX(($AO$5:$AY$13,$AO$17:$AY$25,$AO$30:$AY$38,$AO$42:$AY$50,$AO$54:$AY$62,$AO$66:$AY$74,$BI$5:$BS$13,$BI$17:$BS$25,$BI$29:$BS$37,$BI$41:$BS$49,$BI$53:$BS$61,$BI$65:$BS$73,$BY$5:$CI$13,$BY$17:$CI$25),MATCH($L$11,$AN$5:$AN$13,0),MATCH(A2,$AO$4:$AY$4,0),MATCH($AG$16,$AL$18:$AL$31,0)))*C2</f>
        <v>0</v>
      </c>
      <c r="X3" s="19">
        <f>(INDEX(($AO$5:$AY$13,$AO$17:$AY$25,$AO$30:$AY$38,$AO$42:$AY$50,$AO$54:$AY$62,$AO$66:$AY$74,$BI$5:$BS$13,$BI$17:$BS$25,$BI$29:$BS$37,$BI$41:$BS$49,$BI$53:$BS$61,$BI$65:$BS$73,$BY$5:$CI$13,$BY$17:$CI$25),MATCH($L$3,$AN$5:$AN$13,0),MATCH(A2,$AO$4:$AY$4,0),MATCH($AG$16,$AL$18:$AL$31,0)))*C2</f>
        <v>0</v>
      </c>
      <c r="Y3" s="19">
        <f>(INDEX(($AO$5:$AY$13,$AO$17:$AY$25,$AO$30:$AY$38,$AO$42:$AY$50,$AO$54:$AY$62,$AO$66:$AY$74,$BI$5:$BS$13,$BI$17:$BS$25,$BI$29:$BS$37,$BI$41:$BS$49,$BI$53:$BS$61,$BI$65:$BS$73,$BY$5:$CI$13,$BY$17:$CI$25),MATCH($L$4,$AN$5:$AN$13,0),MATCH(A2,$AO$4:$AY$4,0),MATCH($AG$16,$AL$18:$AL$31,0)))*C2</f>
        <v>0</v>
      </c>
      <c r="Z3" s="19">
        <f>(INDEX(($AO$5:$AY$13,$AO$17:$AY$25,$AO$30:$AY$38,$AO$42:$AY$50,$AO$54:$AY$62,$AO$66:$AY$74,$BI$5:$BS$13,$BI$17:$BS$25,$BI$29:$BS$37,$BI$41:$BS$49,$BI$53:$BS$61,$BI$65:$BS$73,$BY$5:$CI$13,$BY$17:$CI$25),MATCH($L$5,$AN$5:$AN$13,0),MATCH(A2,$AO$4:$AY$4,0),MATCH($AG$16,$AL$18:$AL$31,0)))*C2</f>
        <v>0</v>
      </c>
      <c r="AA3" s="19">
        <f>(INDEX(($AO$5:$AY$13,$AO$17:$AY$25,$AO$30:$AY$38,$AO$42:$AY$50,$AO$54:$AY$62,$AO$66:$AY$74,$BI$5:$BS$13,$BI$17:$BS$25,$BI$29:$BS$37,$BI$41:$BS$49,$BI$53:$BS$61,$BI$65:$BS$73,$BY$5:$CI$13,$BY$17:$CI$25),MATCH($L$6,$AN$5:$AN$13,0),MATCH(A2,$AO$4:$AY$4,0),MATCH($AG$16,$AL$18:$AL$31,0)))*C2</f>
        <v>0</v>
      </c>
      <c r="AB3" s="19">
        <f>(INDEX(($AO$5:$AY$13,$AO$17:$AY$25,$AO$30:$AY$38,$AO$42:$AY$50,$AO$54:$AY$62,$AO$66:$AY$74,$BI$5:$BS$13,$BI$17:$BS$25,$BI$29:$BS$37,$BI$41:$BS$49,$BI$53:$BS$61,$BI$65:$BS$73,$BY$5:$CI$13,$BY$17:$CI$25),MATCH($L$7,$AN$5:$AN$13,0),MATCH(A2,$AO$4:$AY$4,0),MATCH($AG$16,$AL$18:$AL$31,0)))*C2</f>
        <v>0</v>
      </c>
      <c r="AC3" s="19">
        <f>(INDEX(($AO$5:$AY$13,$AO$17:$AY$25,$AO$30:$AY$38,$AO$42:$AY$50,$AO$54:$AY$62,$AO$66:$AY$74,$BI$5:$BS$13,$BI$17:$BS$25,$BI$29:$BS$37,$BI$41:$BS$49,$BI$53:$BS$61,$BI$65:$BS$73,$BY$5:$CI$13,$BY$17:$CI$25),MATCH($L$8,$AN$5:$AN$13,0),MATCH(A2,$AO$4:$AY$4,0),MATCH($AG$16,$AL$18:$AL$31,0)))*C2</f>
        <v>0</v>
      </c>
      <c r="AD3" s="19">
        <f>(INDEX(($AO$5:$AY$13,$AO$17:$AY$25,$AO$30:$AY$38,$AO$42:$AY$50,$AO$54:$AY$62,$AO$66:$AY$74,$BI$5:$BS$13,$BI$17:$BS$25,$BI$29:$BS$37,$BI$41:$BS$49,$BI$53:$BS$61,$BI$65:$BS$73,$BY$5:$CI$13,$BY$17:$CI$25),MATCH($L$9,$AN$5:$AN$13,0),MATCH(A2,$AO$4:$AY$4,0),MATCH($AG$16,$AL$18:$AL$31,0)))*C2</f>
        <v>0</v>
      </c>
      <c r="AE3" s="19">
        <f>(INDEX(($AO$5:$AY$13,$AO$17:$AY$25,$AO$30:$AY$38,$AO$42:$AY$50,$AO$54:$AY$62,$AO$66:$AY$74,$BI$5:$BS$13,$BI$17:$BS$25,$BI$29:$BS$37,$BI$41:$BS$49,$BI$53:$BS$61,$BI$65:$BS$73,$BY$5:$CI$13,$BY$17:$CI$25),MATCH($L$10,$AN$5:$AN$13,0),MATCH(A2,$AO$4:$AY$4,0),MATCH($AG$16,$AL$18:$AL$31,0)))*C2</f>
        <v>0</v>
      </c>
      <c r="AG3" s="26">
        <v>30</v>
      </c>
      <c r="AH3" s="19" t="s">
        <v>200</v>
      </c>
      <c r="AI3" s="19" t="s">
        <v>201</v>
      </c>
      <c r="AJ3" s="19" t="s">
        <v>202</v>
      </c>
      <c r="AK3" s="19" t="s">
        <v>45</v>
      </c>
      <c r="AN3" s="19" t="s">
        <v>59</v>
      </c>
      <c r="AO3" s="19"/>
      <c r="AP3" s="19"/>
      <c r="AQ3" s="19"/>
      <c r="AR3" s="19"/>
      <c r="AS3" s="19"/>
      <c r="AT3" s="19"/>
      <c r="AU3" s="19"/>
      <c r="AV3" s="19"/>
      <c r="AW3" s="19"/>
      <c r="AX3" s="19"/>
      <c r="AY3" s="19"/>
      <c r="AZ3" s="19"/>
      <c r="BA3" s="19"/>
      <c r="BB3" s="17"/>
      <c r="BC3" s="19"/>
      <c r="BD3" s="19"/>
      <c r="BE3" s="19"/>
      <c r="BF3" s="19"/>
      <c r="BG3" s="19"/>
      <c r="BH3" s="19" t="s">
        <v>67</v>
      </c>
      <c r="BI3" s="19"/>
      <c r="BJ3" s="19"/>
      <c r="BK3" s="19"/>
      <c r="BL3" s="19"/>
      <c r="BM3" s="19"/>
      <c r="BN3" s="19"/>
      <c r="BO3" s="19"/>
      <c r="BP3" s="19"/>
      <c r="BQ3" s="19"/>
      <c r="BR3" s="19"/>
      <c r="BS3" s="19"/>
      <c r="BT3" s="19"/>
      <c r="BU3" s="19"/>
      <c r="BV3" s="19"/>
      <c r="BW3" s="19"/>
      <c r="BX3" s="19" t="s">
        <v>71</v>
      </c>
      <c r="BY3" s="19"/>
      <c r="BZ3" s="19"/>
      <c r="CA3" s="19"/>
      <c r="CB3" s="19"/>
      <c r="CC3" s="19"/>
      <c r="CD3" s="19"/>
      <c r="CE3" s="19"/>
      <c r="CF3" s="19"/>
      <c r="CG3" s="19"/>
      <c r="CH3" s="19"/>
      <c r="CI3" s="19"/>
      <c r="CJ3" s="19"/>
      <c r="CK3" s="19"/>
      <c r="CL3" s="19"/>
      <c r="CM3" s="19"/>
    </row>
    <row r="4" spans="1:91" x14ac:dyDescent="0.25">
      <c r="A4" s="8"/>
      <c r="B4" s="6" t="s">
        <v>61</v>
      </c>
      <c r="C4" s="8"/>
      <c r="D4" s="6" t="s">
        <v>525</v>
      </c>
      <c r="E4" s="8" t="s">
        <v>462</v>
      </c>
      <c r="F4" s="5"/>
      <c r="G4" s="5"/>
      <c r="H4" s="5"/>
      <c r="I4" s="5"/>
      <c r="J4" s="5"/>
      <c r="K4" s="4"/>
      <c r="L4" s="6" t="s">
        <v>8</v>
      </c>
      <c r="M4" s="14">
        <f>INDEX(cenník!$C$2:$I$568,MATCH($L4,cenník!$B$2:$B$557,0),MATCH(M$2,cenník!$C$1:$I$1,0))</f>
        <v>856211</v>
      </c>
      <c r="N4" s="14" t="str">
        <f>INDEX(cenník!$C$2:$I$568,MATCH($L4,cenník!$B$2:$B$557,0),MATCH(N$2,cenník!$C$1:$I$1,0))</f>
        <v>ks</v>
      </c>
      <c r="O4" s="14">
        <f>SUM(Y3:Y18)</f>
        <v>0</v>
      </c>
      <c r="P4" s="21">
        <f>INDEX(cenník!$C$2:$I$568,MATCH($L4,cenník!$B$2:$B$557,0),MATCH(P$2,cenník!$C$1:$I$1,0))</f>
        <v>8.7100000000000009</v>
      </c>
      <c r="Q4" s="21">
        <f t="shared" ref="Q4:Q18" si="0">O4*P4</f>
        <v>0</v>
      </c>
      <c r="R4" s="22">
        <f>$E$6</f>
        <v>10</v>
      </c>
      <c r="S4" s="21">
        <f t="shared" ref="S4:S20" si="1">P4*((100-$E$6)/100)</f>
        <v>7.8390000000000013</v>
      </c>
      <c r="T4" s="21">
        <f t="shared" ref="T4:T18" si="2">O4*S4</f>
        <v>0</v>
      </c>
      <c r="U4" s="21">
        <f>INDEX(cenník!$C$2:$I$568,MATCH($L4,cenník!$B$2:$B$557,0),MATCH(U$2,cenník!$C$1:$I$1,0))*O4</f>
        <v>0</v>
      </c>
      <c r="W4" s="19">
        <f>(INDEX(($AO$5:$AY$13,$AO$17:$AY$25,$AO$30:$AY$38,$AO$42:$AY$50,$AO$54:$AY$62,$AO$66:$AY$74,$BI$5:$BS$13,$BI$17:$BS$25,$BI$29:$BS$37,$BI$41:$BS$49,$BI$53:$BS$61,$BI$65:$BS$73,$BY$5:$CI$13,$BY$17:$CI$25),MATCH($L$11,$AN$5:$AN$13,0),MATCH(A3,$AO$4:$AY$4,0),MATCH($AG$16,$AL$18:$AL$31,0)))*C3</f>
        <v>0</v>
      </c>
      <c r="X4" s="19">
        <f>(INDEX(($AO$5:$AY$13,$AO$17:$AY$25,$AO$30:$AY$38,$AO$42:$AY$50,$AO$54:$AY$62,$AO$66:$AY$74,$BI$5:$BS$13,$BI$17:$BS$25,$BI$29:$BS$37,$BI$41:$BS$49,$BI$53:$BS$61,$BI$65:$BS$73,$BY$5:$CI$13,$BY$17:$CI$25),MATCH($L$3,$AN$5:$AN$13,0),MATCH(A3,$AO$4:$AY$4,0),MATCH($AG$16,$AL$18:$AL$31,0)))*C3</f>
        <v>0</v>
      </c>
      <c r="Y4" s="19">
        <f>(INDEX(($AO$5:$AY$13,$AO$17:$AY$25,$AO$30:$AY$38,$AO$42:$AY$50,$AO$54:$AY$62,$AO$66:$AY$74,$BI$5:$BS$13,$BI$17:$BS$25,$BI$29:$BS$37,$BI$41:$BS$49,$BI$53:$BS$61,$BI$65:$BS$73,$BY$5:$CI$13,$BY$17:$CI$25),MATCH($L$4,$AN$5:$AN$13,0),MATCH(A3,$AO$4:$AY$4,0),MATCH($AG$16,$AL$18:$AL$31,0)))*C3</f>
        <v>0</v>
      </c>
      <c r="Z4" s="19">
        <f>(INDEX(($AO$5:$AY$13,$AO$17:$AY$25,$AO$30:$AY$38,$AO$42:$AY$50,$AO$54:$AY$62,$AO$66:$AY$74,$BI$5:$BS$13,$BI$17:$BS$25,$BI$29:$BS$37,$BI$41:$BS$49,$BI$53:$BS$61,$BI$65:$BS$73,$BY$5:$CI$13,$BY$17:$CI$25),MATCH($L$5,$AN$5:$AN$13,0),MATCH(A3,$AO$4:$AY$4,0),MATCH($AG$16,$AL$18:$AL$31,0)))*C3</f>
        <v>0</v>
      </c>
      <c r="AA4" s="19">
        <f>(INDEX(($AO$5:$AY$13,$AO$17:$AY$25,$AO$30:$AY$38,$AO$42:$AY$50,$AO$54:$AY$62,$AO$66:$AY$74,$BI$5:$BS$13,$BI$17:$BS$25,$BI$29:$BS$37,$BI$41:$BS$49,$BI$53:$BS$61,$BI$65:$BS$73,$BY$5:$CI$13,$BY$17:$CI$25),MATCH($L$6,$AN$5:$AN$13,0),MATCH(A3,$AO$4:$AY$4,0),MATCH($AG$16,$AL$18:$AL$31,0)))*C3</f>
        <v>0</v>
      </c>
      <c r="AB4" s="19">
        <f>(INDEX(($AO$5:$AY$13,$AO$17:$AY$25,$AO$30:$AY$38,$AO$42:$AY$50,$AO$54:$AY$62,$AO$66:$AY$74,$BI$5:$BS$13,$BI$17:$BS$25,$BI$29:$BS$37,$BI$41:$BS$49,$BI$53:$BS$61,$BI$65:$BS$73,$BY$5:$CI$13,$BY$17:$CI$25),MATCH($L$7,$AN$5:$AN$13,0),MATCH(A3,$AO$4:$AY$4,0),MATCH($AG$16,$AL$18:$AL$31,0)))*C3</f>
        <v>0</v>
      </c>
      <c r="AC4" s="19">
        <f>(INDEX(($AO$5:$AY$13,$AO$17:$AY$25,$AO$30:$AY$38,$AO$42:$AY$50,$AO$54:$AY$62,$AO$66:$AY$74,$BI$5:$BS$13,$BI$17:$BS$25,$BI$29:$BS$37,$BI$41:$BS$49,$BI$53:$BS$61,$BI$65:$BS$73,$BY$5:$CI$13,$BY$17:$CI$25),MATCH($L$8,$AN$5:$AN$13,0),MATCH(A3,$AO$4:$AY$4,0),MATCH($AG$16,$AL$18:$AL$31,0)))*C3</f>
        <v>0</v>
      </c>
      <c r="AD4" s="19">
        <f>(INDEX(($AO$5:$AY$13,$AO$17:$AY$25,$AO$30:$AY$38,$AO$42:$AY$50,$AO$54:$AY$62,$AO$66:$AY$74,$BI$5:$BS$13,$BI$17:$BS$25,$BI$29:$BS$37,$BI$41:$BS$49,$BI$53:$BS$61,$BI$65:$BS$73,$BY$5:$CI$13,$BY$17:$CI$25),MATCH($L$9,$AN$5:$AN$13,0),MATCH(A3,$AO$4:$AY$4,0),MATCH($AG$16,$AL$18:$AL$31,0)))*C3</f>
        <v>0</v>
      </c>
      <c r="AE4" s="19">
        <f>(INDEX(($AO$5:$AY$13,$AO$17:$AY$25,$AO$30:$AY$38,$AO$42:$AY$50,$AO$54:$AY$62,$AO$66:$AY$74,$BI$5:$BS$13,$BI$17:$BS$25,$BI$29:$BS$37,$BI$41:$BS$49,$BI$53:$BS$61,$BI$65:$BS$73,$BY$5:$CI$13,$BY$17:$CI$25),MATCH($L$10,$AN$5:$AN$13,0),MATCH(A3,$AO$4:$AY$4,0),MATCH($AG$16,$AL$18:$AL$31,0)))*C3</f>
        <v>0</v>
      </c>
      <c r="AG4" s="26">
        <v>32</v>
      </c>
      <c r="AH4" s="19" t="s">
        <v>20</v>
      </c>
      <c r="AI4" s="19" t="s">
        <v>21</v>
      </c>
      <c r="AJ4" s="19" t="s">
        <v>55</v>
      </c>
      <c r="AK4" s="19" t="s">
        <v>45</v>
      </c>
      <c r="AN4" s="19"/>
      <c r="AO4" s="19">
        <v>0</v>
      </c>
      <c r="AP4" s="19">
        <v>1</v>
      </c>
      <c r="AQ4" s="19">
        <v>2</v>
      </c>
      <c r="AR4" s="19">
        <v>3</v>
      </c>
      <c r="AS4" s="19">
        <v>4</v>
      </c>
      <c r="AT4" s="19">
        <v>5</v>
      </c>
      <c r="AU4" s="19">
        <v>6</v>
      </c>
      <c r="AV4" s="19">
        <v>7</v>
      </c>
      <c r="AW4" s="19">
        <v>8</v>
      </c>
      <c r="AX4" s="19">
        <v>9</v>
      </c>
      <c r="AY4" s="19">
        <v>10</v>
      </c>
      <c r="AZ4" s="19"/>
      <c r="BA4" s="19"/>
      <c r="BB4" s="17">
        <v>0</v>
      </c>
      <c r="BC4" s="19"/>
      <c r="BD4" s="19"/>
      <c r="BE4" s="19"/>
      <c r="BF4" s="19"/>
      <c r="BG4" s="19"/>
      <c r="BH4" s="19"/>
      <c r="BI4" s="19">
        <v>0</v>
      </c>
      <c r="BJ4" s="19">
        <v>1</v>
      </c>
      <c r="BK4" s="19">
        <v>2</v>
      </c>
      <c r="BL4" s="19">
        <v>3</v>
      </c>
      <c r="BM4" s="19">
        <v>4</v>
      </c>
      <c r="BN4" s="19">
        <v>5</v>
      </c>
      <c r="BO4" s="19">
        <v>6</v>
      </c>
      <c r="BP4" s="19">
        <v>7</v>
      </c>
      <c r="BQ4" s="19">
        <v>8</v>
      </c>
      <c r="BR4" s="19">
        <v>9</v>
      </c>
      <c r="BS4" s="19">
        <v>10</v>
      </c>
      <c r="BT4" s="19"/>
      <c r="BU4" s="19"/>
      <c r="BV4" s="19"/>
      <c r="BW4" s="19"/>
      <c r="BX4" s="19"/>
      <c r="BY4" s="19">
        <v>0</v>
      </c>
      <c r="BZ4" s="19">
        <v>1</v>
      </c>
      <c r="CA4" s="19">
        <v>2</v>
      </c>
      <c r="CB4" s="19">
        <v>3</v>
      </c>
      <c r="CC4" s="19">
        <v>4</v>
      </c>
      <c r="CD4" s="19">
        <v>5</v>
      </c>
      <c r="CE4" s="19">
        <v>6</v>
      </c>
      <c r="CF4" s="19">
        <v>7</v>
      </c>
      <c r="CG4" s="19">
        <v>8</v>
      </c>
      <c r="CH4" s="19">
        <v>9</v>
      </c>
      <c r="CI4" s="19">
        <v>10</v>
      </c>
      <c r="CJ4" s="19"/>
      <c r="CK4" s="19"/>
      <c r="CL4" s="19"/>
      <c r="CM4" s="19"/>
    </row>
    <row r="5" spans="1:91" x14ac:dyDescent="0.25">
      <c r="A5" s="8"/>
      <c r="B5" s="6" t="s">
        <v>61</v>
      </c>
      <c r="C5" s="8"/>
      <c r="D5" s="6" t="s">
        <v>456</v>
      </c>
      <c r="E5" s="8" t="s">
        <v>466</v>
      </c>
      <c r="F5" s="5"/>
      <c r="G5" s="5"/>
      <c r="H5" s="5"/>
      <c r="I5" s="5"/>
      <c r="J5" s="5"/>
      <c r="K5" s="4"/>
      <c r="L5" s="6" t="s">
        <v>98</v>
      </c>
      <c r="M5" s="14">
        <f>INDEX(cenník!$C$2:$I$568,MATCH($L5,cenník!$B$2:$B$557,0),MATCH(M$2,cenník!$C$1:$I$1,0))</f>
        <v>851117</v>
      </c>
      <c r="N5" s="14" t="str">
        <f>INDEX(cenník!$C$2:$I$568,MATCH($L5,cenník!$B$2:$B$557,0),MATCH(N$2,cenník!$C$1:$I$1,0))</f>
        <v>ks</v>
      </c>
      <c r="O5" s="14">
        <f>SUM(Z3:Z18)</f>
        <v>0</v>
      </c>
      <c r="P5" s="21">
        <f>INDEX(cenník!$C$2:$I$568,MATCH($L5,cenník!$B$2:$B$557,0),MATCH(P$2,cenník!$C$1:$I$1,0))</f>
        <v>12.35</v>
      </c>
      <c r="Q5" s="21">
        <f t="shared" si="0"/>
        <v>0</v>
      </c>
      <c r="R5" s="22">
        <f t="shared" ref="R5:R19" si="3">$E$6</f>
        <v>10</v>
      </c>
      <c r="S5" s="21">
        <f t="shared" si="1"/>
        <v>11.115</v>
      </c>
      <c r="T5" s="21">
        <f t="shared" si="2"/>
        <v>0</v>
      </c>
      <c r="U5" s="21">
        <f>INDEX(cenník!$C$2:$I$568,MATCH($L5,cenník!$B$2:$B$557,0),MATCH(U$2,cenník!$C$1:$I$1,0))*O5</f>
        <v>0</v>
      </c>
      <c r="W5" s="19">
        <f>(INDEX(($AO$5:$AY$13,$AO$17:$AY$25,$AO$30:$AY$38,$AO$42:$AY$50,$AO$54:$AY$62,$AO$66:$AY$74,$BI$5:$BS$13,$BI$17:$BS$25,$BI$29:$BS$37,$BI$41:$BS$49,$BI$53:$BS$61,$BI$65:$BS$73,$BY$5:$CI$13,$BY$17:$CI$25),MATCH($L$11,$AN$5:$AN$13,0),MATCH(A4,$AO$4:$AY$4,0),MATCH($AG$16,$AL$18:$AL$31,0)))*C4</f>
        <v>0</v>
      </c>
      <c r="X5" s="19">
        <f>(INDEX(($AO$5:$AY$13,$AO$17:$AY$25,$AO$30:$AY$38,$AO$42:$AY$50,$AO$54:$AY$62,$AO$66:$AY$74,$BI$5:$BS$13,$BI$17:$BS$25,$BI$29:$BS$37,$BI$41:$BS$49,$BI$53:$BS$61,$BI$65:$BS$73,$BY$5:$CI$13,$BY$17:$CI$25),MATCH($L$3,$AN$5:$AN$13,0),MATCH(A4,$AO$4:$AY$4,0),MATCH($AG$16,$AL$18:$AL$31,0)))*C4</f>
        <v>0</v>
      </c>
      <c r="Y5" s="19">
        <f>(INDEX(($AO$5:$AY$13,$AO$17:$AY$25,$AO$30:$AY$38,$AO$42:$AY$50,$AO$54:$AY$62,$AO$66:$AY$74,$BI$5:$BS$13,$BI$17:$BS$25,$BI$29:$BS$37,$BI$41:$BS$49,$BI$53:$BS$61,$BI$65:$BS$73,$BY$5:$CI$13,$BY$17:$CI$25),MATCH($L$4,$AN$5:$AN$13,0),MATCH(A4,$AO$4:$AY$4,0),MATCH($AG$16,$AL$18:$AL$31,0)))*C4</f>
        <v>0</v>
      </c>
      <c r="Z5" s="19">
        <f>(INDEX(($AO$5:$AY$13,$AO$17:$AY$25,$AO$30:$AY$38,$AO$42:$AY$50,$AO$54:$AY$62,$AO$66:$AY$74,$BI$5:$BS$13,$BI$17:$BS$25,$BI$29:$BS$37,$BI$41:$BS$49,$BI$53:$BS$61,$BI$65:$BS$73,$BY$5:$CI$13,$BY$17:$CI$25),MATCH($L$5,$AN$5:$AN$13,0),MATCH(A4,$AO$4:$AY$4,0),MATCH($AG$16,$AL$18:$AL$31,0)))*C4</f>
        <v>0</v>
      </c>
      <c r="AA5" s="19">
        <f>(INDEX(($AO$5:$AY$13,$AO$17:$AY$25,$AO$30:$AY$38,$AO$42:$AY$50,$AO$54:$AY$62,$AO$66:$AY$74,$BI$5:$BS$13,$BI$17:$BS$25,$BI$29:$BS$37,$BI$41:$BS$49,$BI$53:$BS$61,$BI$65:$BS$73,$BY$5:$CI$13,$BY$17:$CI$25),MATCH($L$6,$AN$5:$AN$13,0),MATCH(A4,$AO$4:$AY$4,0),MATCH($AG$16,$AL$18:$AL$31,0)))*C4</f>
        <v>0</v>
      </c>
      <c r="AB5" s="19">
        <f>(INDEX(($AO$5:$AY$13,$AO$17:$AY$25,$AO$30:$AY$38,$AO$42:$AY$50,$AO$54:$AY$62,$AO$66:$AY$74,$BI$5:$BS$13,$BI$17:$BS$25,$BI$29:$BS$37,$BI$41:$BS$49,$BI$53:$BS$61,$BI$65:$BS$73,$BY$5:$CI$13,$BY$17:$CI$25),MATCH($L$7,$AN$5:$AN$13,0),MATCH(A4,$AO$4:$AY$4,0),MATCH($AG$16,$AL$18:$AL$31,0)))*C4</f>
        <v>0</v>
      </c>
      <c r="AC5" s="19">
        <f>(INDEX(($AO$5:$AY$13,$AO$17:$AY$25,$AO$30:$AY$38,$AO$42:$AY$50,$AO$54:$AY$62,$AO$66:$AY$74,$BI$5:$BS$13,$BI$17:$BS$25,$BI$29:$BS$37,$BI$41:$BS$49,$BI$53:$BS$61,$BI$65:$BS$73,$BY$5:$CI$13,$BY$17:$CI$25),MATCH($L$8,$AN$5:$AN$13,0),MATCH(A4,$AO$4:$AY$4,0),MATCH($AG$16,$AL$18:$AL$31,0)))*C4</f>
        <v>0</v>
      </c>
      <c r="AD5" s="19">
        <f>(INDEX(($AO$5:$AY$13,$AO$17:$AY$25,$AO$30:$AY$38,$AO$42:$AY$50,$AO$54:$AY$62,$AO$66:$AY$74,$BI$5:$BS$13,$BI$17:$BS$25,$BI$29:$BS$37,$BI$41:$BS$49,$BI$53:$BS$61,$BI$65:$BS$73,$BY$5:$CI$13,$BY$17:$CI$25),MATCH($L$9,$AN$5:$AN$13,0),MATCH(A4,$AO$4:$AY$4,0),MATCH($AG$16,$AL$18:$AL$31,0)))*C4</f>
        <v>0</v>
      </c>
      <c r="AE5" s="19">
        <f>(INDEX(($AO$5:$AY$13,$AO$17:$AY$25,$AO$30:$AY$38,$AO$42:$AY$50,$AO$54:$AY$62,$AO$66:$AY$74,$BI$5:$BS$13,$BI$17:$BS$25,$BI$29:$BS$37,$BI$41:$BS$49,$BI$53:$BS$61,$BI$65:$BS$73,$BY$5:$CI$13,$BY$17:$CI$25),MATCH($L$10,$AN$5:$AN$13,0),MATCH(A4,$AO$4:$AY$4,0),MATCH($AG$16,$AL$18:$AL$31,0)))*C4</f>
        <v>0</v>
      </c>
      <c r="AG5" s="26">
        <v>33</v>
      </c>
      <c r="AH5" s="19" t="s">
        <v>22</v>
      </c>
      <c r="AI5" s="19"/>
      <c r="AJ5" s="19" t="s">
        <v>55</v>
      </c>
      <c r="AK5" s="19" t="s">
        <v>45</v>
      </c>
      <c r="AN5" s="19" t="s">
        <v>99</v>
      </c>
      <c r="AO5" s="19">
        <v>0</v>
      </c>
      <c r="AP5" s="19">
        <v>0</v>
      </c>
      <c r="AQ5" s="19">
        <v>0</v>
      </c>
      <c r="AR5" s="19">
        <v>0</v>
      </c>
      <c r="AS5" s="19">
        <v>0</v>
      </c>
      <c r="AT5" s="19">
        <v>0</v>
      </c>
      <c r="AU5" s="19">
        <v>0</v>
      </c>
      <c r="AV5" s="19">
        <v>0</v>
      </c>
      <c r="AW5" s="19">
        <v>2</v>
      </c>
      <c r="AX5" s="19">
        <v>0</v>
      </c>
      <c r="AY5" s="19">
        <v>0</v>
      </c>
      <c r="AZ5" s="19"/>
      <c r="BA5" s="19"/>
      <c r="BB5" s="17">
        <v>1</v>
      </c>
      <c r="BC5" s="19"/>
      <c r="BD5" s="19"/>
      <c r="BE5" s="19"/>
      <c r="BF5" s="19"/>
      <c r="BG5" s="19"/>
      <c r="BH5" s="19" t="s">
        <v>99</v>
      </c>
      <c r="BI5" s="19">
        <v>0</v>
      </c>
      <c r="BJ5" s="19">
        <v>0</v>
      </c>
      <c r="BK5" s="19">
        <v>0</v>
      </c>
      <c r="BL5" s="19">
        <v>0</v>
      </c>
      <c r="BM5" s="19">
        <v>0</v>
      </c>
      <c r="BN5" s="19">
        <v>0</v>
      </c>
      <c r="BO5" s="19">
        <v>0</v>
      </c>
      <c r="BP5" s="19">
        <v>0</v>
      </c>
      <c r="BQ5" s="19">
        <v>0</v>
      </c>
      <c r="BR5" s="19">
        <v>0</v>
      </c>
      <c r="BS5" s="19">
        <v>0</v>
      </c>
      <c r="BT5" s="19"/>
      <c r="BU5" s="19"/>
      <c r="BV5" s="19"/>
      <c r="BW5" s="19"/>
      <c r="BX5" s="19" t="s">
        <v>99</v>
      </c>
      <c r="BY5" s="19">
        <v>0</v>
      </c>
      <c r="BZ5" s="19">
        <v>0</v>
      </c>
      <c r="CA5" s="19">
        <v>0</v>
      </c>
      <c r="CB5" s="19">
        <v>0</v>
      </c>
      <c r="CC5" s="19">
        <v>2</v>
      </c>
      <c r="CD5" s="19">
        <v>0</v>
      </c>
      <c r="CE5" s="19">
        <v>0</v>
      </c>
      <c r="CF5" s="19">
        <v>0</v>
      </c>
      <c r="CG5" s="19">
        <v>0</v>
      </c>
      <c r="CH5" s="19">
        <v>0</v>
      </c>
      <c r="CI5" s="19">
        <v>0</v>
      </c>
      <c r="CJ5" s="19"/>
      <c r="CK5" s="19"/>
      <c r="CL5" s="19"/>
      <c r="CM5" s="19"/>
    </row>
    <row r="6" spans="1:91" x14ac:dyDescent="0.25">
      <c r="A6" s="8"/>
      <c r="B6" s="6" t="s">
        <v>61</v>
      </c>
      <c r="C6" s="8"/>
      <c r="D6" s="6" t="s">
        <v>458</v>
      </c>
      <c r="E6" s="8">
        <v>10</v>
      </c>
      <c r="F6" s="5"/>
      <c r="G6" s="5"/>
      <c r="H6" s="5"/>
      <c r="I6" s="5"/>
      <c r="J6" s="5" t="s">
        <v>95</v>
      </c>
      <c r="K6" s="4"/>
      <c r="L6" s="6" t="s">
        <v>100</v>
      </c>
      <c r="M6" s="14">
        <f>INDEX(cenník!$C$2:$I$568,MATCH($L6,cenník!$B$2:$B$557,0),MATCH(M$2,cenník!$C$1:$I$1,0))</f>
        <v>851120</v>
      </c>
      <c r="N6" s="14" t="str">
        <f>INDEX(cenník!$C$2:$I$568,MATCH($L6,cenník!$B$2:$B$557,0),MATCH(N$2,cenník!$C$1:$I$1,0))</f>
        <v>ks</v>
      </c>
      <c r="O6" s="14">
        <f>SUM(AA3:AA18)</f>
        <v>0</v>
      </c>
      <c r="P6" s="21">
        <f>INDEX(cenník!$C$2:$I$568,MATCH($L6,cenník!$B$2:$B$557,0),MATCH(P$2,cenník!$C$1:$I$1,0))</f>
        <v>14.51</v>
      </c>
      <c r="Q6" s="21">
        <f t="shared" si="0"/>
        <v>0</v>
      </c>
      <c r="R6" s="22">
        <f t="shared" si="3"/>
        <v>10</v>
      </c>
      <c r="S6" s="21">
        <f t="shared" si="1"/>
        <v>13.058999999999999</v>
      </c>
      <c r="T6" s="21">
        <f t="shared" si="2"/>
        <v>0</v>
      </c>
      <c r="U6" s="21">
        <f>INDEX(cenník!$C$2:$I$568,MATCH($L6,cenník!$B$2:$B$557,0),MATCH(U$2,cenník!$C$1:$I$1,0))*O6</f>
        <v>0</v>
      </c>
      <c r="W6" s="19">
        <f>(INDEX(($AO$5:$AY$13,$AO$17:$AY$25,$AO$30:$AY$38,$AO$42:$AY$50,$AO$54:$AY$62,$AO$66:$AY$74,$BI$5:$BS$13,$BI$17:$BS$25,$BI$29:$BS$37,$BI$41:$BS$49,$BI$53:$BS$61,$BI$65:$BS$73,$BY$5:$CI$13,$BY$17:$CI$25),MATCH($L$11,$AN$5:$AN$13,0),MATCH(A5,$AO$4:$AY$4,0),MATCH($AG$16,$AL$18:$AL$31,0)))*C5</f>
        <v>0</v>
      </c>
      <c r="X6" s="19">
        <f>(INDEX(($AO$5:$AY$13,$AO$17:$AY$25,$AO$30:$AY$38,$AO$42:$AY$50,$AO$54:$AY$62,$AO$66:$AY$74,$BI$5:$BS$13,$BI$17:$BS$25,$BI$29:$BS$37,$BI$41:$BS$49,$BI$53:$BS$61,$BI$65:$BS$73,$BY$5:$CI$13,$BY$17:$CI$25),MATCH($L$3,$AN$5:$AN$13,0),MATCH(A5,$AO$4:$AY$4,0),MATCH($AG$16,$AL$18:$AL$31,0)))*C5</f>
        <v>0</v>
      </c>
      <c r="Y6" s="19">
        <f>(INDEX(($AO$5:$AY$13,$AO$17:$AY$25,$AO$30:$AY$38,$AO$42:$AY$50,$AO$54:$AY$62,$AO$66:$AY$74,$BI$5:$BS$13,$BI$17:$BS$25,$BI$29:$BS$37,$BI$41:$BS$49,$BI$53:$BS$61,$BI$65:$BS$73,$BY$5:$CI$13,$BY$17:$CI$25),MATCH($L$4,$AN$5:$AN$13,0),MATCH(A5,$AO$4:$AY$4,0),MATCH($AG$16,$AL$18:$AL$31,0)))*C5</f>
        <v>0</v>
      </c>
      <c r="Z6" s="19">
        <f>(INDEX(($AO$5:$AY$13,$AO$17:$AY$25,$AO$30:$AY$38,$AO$42:$AY$50,$AO$54:$AY$62,$AO$66:$AY$74,$BI$5:$BS$13,$BI$17:$BS$25,$BI$29:$BS$37,$BI$41:$BS$49,$BI$53:$BS$61,$BI$65:$BS$73,$BY$5:$CI$13,$BY$17:$CI$25),MATCH($L$5,$AN$5:$AN$13,0),MATCH(A5,$AO$4:$AY$4,0),MATCH($AG$16,$AL$18:$AL$31,0)))*C5</f>
        <v>0</v>
      </c>
      <c r="AA6" s="19">
        <f>(INDEX(($AO$5:$AY$13,$AO$17:$AY$25,$AO$30:$AY$38,$AO$42:$AY$50,$AO$54:$AY$62,$AO$66:$AY$74,$BI$5:$BS$13,$BI$17:$BS$25,$BI$29:$BS$37,$BI$41:$BS$49,$BI$53:$BS$61,$BI$65:$BS$73,$BY$5:$CI$13,$BY$17:$CI$25),MATCH($L$6,$AN$5:$AN$13,0),MATCH(A5,$AO$4:$AY$4,0),MATCH($AG$16,$AL$18:$AL$31,0)))*C5</f>
        <v>0</v>
      </c>
      <c r="AB6" s="19">
        <f>(INDEX(($AO$5:$AY$13,$AO$17:$AY$25,$AO$30:$AY$38,$AO$42:$AY$50,$AO$54:$AY$62,$AO$66:$AY$74,$BI$5:$BS$13,$BI$17:$BS$25,$BI$29:$BS$37,$BI$41:$BS$49,$BI$53:$BS$61,$BI$65:$BS$73,$BY$5:$CI$13,$BY$17:$CI$25),MATCH($L$7,$AN$5:$AN$13,0),MATCH(A5,$AO$4:$AY$4,0),MATCH($AG$16,$AL$18:$AL$31,0)))*C5</f>
        <v>0</v>
      </c>
      <c r="AC6" s="19">
        <f>(INDEX(($AO$5:$AY$13,$AO$17:$AY$25,$AO$30:$AY$38,$AO$42:$AY$50,$AO$54:$AY$62,$AO$66:$AY$74,$BI$5:$BS$13,$BI$17:$BS$25,$BI$29:$BS$37,$BI$41:$BS$49,$BI$53:$BS$61,$BI$65:$BS$73,$BY$5:$CI$13,$BY$17:$CI$25),MATCH($L$8,$AN$5:$AN$13,0),MATCH(A5,$AO$4:$AY$4,0),MATCH($AG$16,$AL$18:$AL$31,0)))*C5</f>
        <v>0</v>
      </c>
      <c r="AD6" s="19">
        <f>(INDEX(($AO$5:$AY$13,$AO$17:$AY$25,$AO$30:$AY$38,$AO$42:$AY$50,$AO$54:$AY$62,$AO$66:$AY$74,$BI$5:$BS$13,$BI$17:$BS$25,$BI$29:$BS$37,$BI$41:$BS$49,$BI$53:$BS$61,$BI$65:$BS$73,$BY$5:$CI$13,$BY$17:$CI$25),MATCH($L$9,$AN$5:$AN$13,0),MATCH(A5,$AO$4:$AY$4,0),MATCH($AG$16,$AL$18:$AL$31,0)))*C5</f>
        <v>0</v>
      </c>
      <c r="AE6" s="19">
        <f>(INDEX(($AO$5:$AY$13,$AO$17:$AY$25,$AO$30:$AY$38,$AO$42:$AY$50,$AO$54:$AY$62,$AO$66:$AY$74,$BI$5:$BS$13,$BI$17:$BS$25,$BI$29:$BS$37,$BI$41:$BS$49,$BI$53:$BS$61,$BI$65:$BS$73,$BY$5:$CI$13,$BY$17:$CI$25),MATCH($L$10,$AN$5:$AN$13,0),MATCH(A5,$AO$4:$AY$4,0),MATCH($AG$16,$AL$18:$AL$31,0)))*C5</f>
        <v>0</v>
      </c>
      <c r="AG6" s="26">
        <v>34</v>
      </c>
      <c r="AH6" s="19"/>
      <c r="AI6" s="19"/>
      <c r="AJ6" s="19" t="s">
        <v>55</v>
      </c>
      <c r="AK6" s="19" t="s">
        <v>45</v>
      </c>
      <c r="AN6" s="19" t="s">
        <v>8</v>
      </c>
      <c r="AO6" s="19">
        <v>0</v>
      </c>
      <c r="AP6" s="19">
        <v>2</v>
      </c>
      <c r="AQ6" s="19">
        <v>0</v>
      </c>
      <c r="AR6" s="19">
        <v>0</v>
      </c>
      <c r="AS6" s="19">
        <v>2</v>
      </c>
      <c r="AT6" s="19">
        <v>0</v>
      </c>
      <c r="AU6" s="19">
        <v>0</v>
      </c>
      <c r="AV6" s="19">
        <v>0</v>
      </c>
      <c r="AW6" s="19">
        <v>0</v>
      </c>
      <c r="AX6" s="19">
        <v>0</v>
      </c>
      <c r="AY6" s="19">
        <v>0</v>
      </c>
      <c r="AZ6" s="19"/>
      <c r="BA6" s="19"/>
      <c r="BB6" s="17">
        <v>2</v>
      </c>
      <c r="BC6" s="19"/>
      <c r="BD6" s="19"/>
      <c r="BE6" s="19"/>
      <c r="BF6" s="19"/>
      <c r="BG6" s="19"/>
      <c r="BH6" s="19" t="s">
        <v>8</v>
      </c>
      <c r="BI6" s="19">
        <v>0</v>
      </c>
      <c r="BJ6" s="19">
        <v>0</v>
      </c>
      <c r="BK6" s="19">
        <v>0</v>
      </c>
      <c r="BL6" s="19">
        <v>0</v>
      </c>
      <c r="BM6" s="19">
        <v>0</v>
      </c>
      <c r="BN6" s="19">
        <v>0</v>
      </c>
      <c r="BO6" s="19">
        <v>0</v>
      </c>
      <c r="BP6" s="19">
        <v>0</v>
      </c>
      <c r="BQ6" s="19">
        <v>0</v>
      </c>
      <c r="BR6" s="19">
        <v>0</v>
      </c>
      <c r="BS6" s="19">
        <v>0</v>
      </c>
      <c r="BT6" s="19"/>
      <c r="BU6" s="19"/>
      <c r="BV6" s="19"/>
      <c r="BW6" s="19"/>
      <c r="BX6" s="19" t="s">
        <v>8</v>
      </c>
      <c r="BY6" s="19">
        <v>0</v>
      </c>
      <c r="BZ6" s="19">
        <v>0</v>
      </c>
      <c r="CA6" s="19">
        <v>2</v>
      </c>
      <c r="CB6" s="19">
        <v>0</v>
      </c>
      <c r="CC6" s="19">
        <v>0</v>
      </c>
      <c r="CD6" s="19">
        <v>0</v>
      </c>
      <c r="CE6" s="19">
        <v>0</v>
      </c>
      <c r="CF6" s="19">
        <v>0</v>
      </c>
      <c r="CG6" s="19">
        <v>0</v>
      </c>
      <c r="CH6" s="19">
        <v>0</v>
      </c>
      <c r="CI6" s="19">
        <v>0</v>
      </c>
      <c r="CJ6" s="19"/>
      <c r="CK6" s="19"/>
      <c r="CL6" s="19"/>
      <c r="CM6" s="19"/>
    </row>
    <row r="7" spans="1:91" x14ac:dyDescent="0.25">
      <c r="A7" s="8"/>
      <c r="B7" s="6" t="s">
        <v>61</v>
      </c>
      <c r="C7" s="8"/>
      <c r="D7" s="6" t="s">
        <v>460</v>
      </c>
      <c r="E7" s="8">
        <v>10</v>
      </c>
      <c r="F7" s="5"/>
      <c r="G7" s="5"/>
      <c r="H7" s="5"/>
      <c r="I7" s="5"/>
      <c r="J7" s="5" t="s">
        <v>461</v>
      </c>
      <c r="K7" s="4"/>
      <c r="L7" s="6" t="s">
        <v>114</v>
      </c>
      <c r="M7" s="14">
        <f>INDEX(cenník!$C$2:$I$568,MATCH($L7,cenník!$B$2:$B$557,0),MATCH(M$2,cenník!$C$1:$I$1,0))</f>
        <v>851122</v>
      </c>
      <c r="N7" s="14" t="str">
        <f>INDEX(cenník!$C$2:$I$568,MATCH($L7,cenník!$B$2:$B$557,0),MATCH(N$2,cenník!$C$1:$I$1,0))</f>
        <v>ks</v>
      </c>
      <c r="O7" s="14">
        <f>SUM(AB3:AB18)</f>
        <v>0</v>
      </c>
      <c r="P7" s="21">
        <f>INDEX(cenník!$C$2:$I$568,MATCH($L7,cenník!$B$2:$B$557,0),MATCH(P$2,cenník!$C$1:$I$1,0))</f>
        <v>15.99</v>
      </c>
      <c r="Q7" s="21">
        <f t="shared" si="0"/>
        <v>0</v>
      </c>
      <c r="R7" s="22">
        <f t="shared" si="3"/>
        <v>10</v>
      </c>
      <c r="S7" s="21">
        <f t="shared" si="1"/>
        <v>14.391</v>
      </c>
      <c r="T7" s="21">
        <f t="shared" si="2"/>
        <v>0</v>
      </c>
      <c r="U7" s="21">
        <f>INDEX(cenník!$C$2:$I$568,MATCH($L7,cenník!$B$2:$B$557,0),MATCH(U$2,cenník!$C$1:$I$1,0))*O7</f>
        <v>0</v>
      </c>
      <c r="W7" s="19">
        <f>(INDEX(($AO$5:$AY$13,$AO$17:$AY$25,$AO$30:$AY$38,$AO$42:$AY$50,$AO$54:$AY$62,$AO$66:$AY$74,$BI$5:$BS$13,$BI$17:$BS$25,$BI$29:$BS$37,$BI$41:$BS$49,$BI$53:$BS$61,$BI$65:$BS$73,$BY$5:$CI$13,$BY$17:$CI$25),MATCH($L$11,$AN$5:$AN$13,0),MATCH(A6,$AO$4:$AY$4,0),MATCH($AG$16,$AL$18:$AL$31,0)))*C6</f>
        <v>0</v>
      </c>
      <c r="X7" s="19">
        <f>(INDEX(($AO$5:$AY$13,$AO$17:$AY$25,$AO$30:$AY$38,$AO$42:$AY$50,$AO$54:$AY$62,$AO$66:$AY$74,$BI$5:$BS$13,$BI$17:$BS$25,$BI$29:$BS$37,$BI$41:$BS$49,$BI$53:$BS$61,$BI$65:$BS$73,$BY$5:$CI$13,$BY$17:$CI$25),MATCH($L$3,$AN$5:$AN$13,0),MATCH(A6,$AO$4:$AY$4,0),MATCH($AG$16,$AL$18:$AL$31,0)))*C6</f>
        <v>0</v>
      </c>
      <c r="Y7" s="19">
        <f>(INDEX(($AO$5:$AY$13,$AO$17:$AY$25,$AO$30:$AY$38,$AO$42:$AY$50,$AO$54:$AY$62,$AO$66:$AY$74,$BI$5:$BS$13,$BI$17:$BS$25,$BI$29:$BS$37,$BI$41:$BS$49,$BI$53:$BS$61,$BI$65:$BS$73,$BY$5:$CI$13,$BY$17:$CI$25),MATCH($L$4,$AN$5:$AN$13,0),MATCH(A6,$AO$4:$AY$4,0),MATCH($AG$16,$AL$18:$AL$31,0)))*C6</f>
        <v>0</v>
      </c>
      <c r="Z7" s="19">
        <f>(INDEX(($AO$5:$AY$13,$AO$17:$AY$25,$AO$30:$AY$38,$AO$42:$AY$50,$AO$54:$AY$62,$AO$66:$AY$74,$BI$5:$BS$13,$BI$17:$BS$25,$BI$29:$BS$37,$BI$41:$BS$49,$BI$53:$BS$61,$BI$65:$BS$73,$BY$5:$CI$13,$BY$17:$CI$25),MATCH($L$5,$AN$5:$AN$13,0),MATCH(A6,$AO$4:$AY$4,0),MATCH($AG$16,$AL$18:$AL$31,0)))*C6</f>
        <v>0</v>
      </c>
      <c r="AA7" s="19">
        <f>(INDEX(($AO$5:$AY$13,$AO$17:$AY$25,$AO$30:$AY$38,$AO$42:$AY$50,$AO$54:$AY$62,$AO$66:$AY$74,$BI$5:$BS$13,$BI$17:$BS$25,$BI$29:$BS$37,$BI$41:$BS$49,$BI$53:$BS$61,$BI$65:$BS$73,$BY$5:$CI$13,$BY$17:$CI$25),MATCH($L$6,$AN$5:$AN$13,0),MATCH(A6,$AO$4:$AY$4,0),MATCH($AG$16,$AL$18:$AL$31,0)))*C6</f>
        <v>0</v>
      </c>
      <c r="AB7" s="19">
        <f>(INDEX(($AO$5:$AY$13,$AO$17:$AY$25,$AO$30:$AY$38,$AO$42:$AY$50,$AO$54:$AY$62,$AO$66:$AY$74,$BI$5:$BS$13,$BI$17:$BS$25,$BI$29:$BS$37,$BI$41:$BS$49,$BI$53:$BS$61,$BI$65:$BS$73,$BY$5:$CI$13,$BY$17:$CI$25),MATCH($L$7,$AN$5:$AN$13,0),MATCH(A6,$AO$4:$AY$4,0),MATCH($AG$16,$AL$18:$AL$31,0)))*C6</f>
        <v>0</v>
      </c>
      <c r="AC7" s="19">
        <f>(INDEX(($AO$5:$AY$13,$AO$17:$AY$25,$AO$30:$AY$38,$AO$42:$AY$50,$AO$54:$AY$62,$AO$66:$AY$74,$BI$5:$BS$13,$BI$17:$BS$25,$BI$29:$BS$37,$BI$41:$BS$49,$BI$53:$BS$61,$BI$65:$BS$73,$BY$5:$CI$13,$BY$17:$CI$25),MATCH($L$8,$AN$5:$AN$13,0),MATCH(A6,$AO$4:$AY$4,0),MATCH($AG$16,$AL$18:$AL$31,0)))*C6</f>
        <v>0</v>
      </c>
      <c r="AD7" s="19">
        <f>(INDEX(($AO$5:$AY$13,$AO$17:$AY$25,$AO$30:$AY$38,$AO$42:$AY$50,$AO$54:$AY$62,$AO$66:$AY$74,$BI$5:$BS$13,$BI$17:$BS$25,$BI$29:$BS$37,$BI$41:$BS$49,$BI$53:$BS$61,$BI$65:$BS$73,$BY$5:$CI$13,$BY$17:$CI$25),MATCH($L$9,$AN$5:$AN$13,0),MATCH(A6,$AO$4:$AY$4,0),MATCH($AG$16,$AL$18:$AL$31,0)))*C6</f>
        <v>0</v>
      </c>
      <c r="AE7" s="19">
        <f>(INDEX(($AO$5:$AY$13,$AO$17:$AY$25,$AO$30:$AY$38,$AO$42:$AY$50,$AO$54:$AY$62,$AO$66:$AY$74,$BI$5:$BS$13,$BI$17:$BS$25,$BI$29:$BS$37,$BI$41:$BS$49,$BI$53:$BS$61,$BI$65:$BS$73,$BY$5:$CI$13,$BY$17:$CI$25),MATCH($L$10,$AN$5:$AN$13,0),MATCH(A6,$AO$4:$AY$4,0),MATCH($AG$16,$AL$18:$AL$31,0)))*C6</f>
        <v>0</v>
      </c>
      <c r="AG7" s="26">
        <v>35</v>
      </c>
      <c r="AH7" s="19" t="s">
        <v>23</v>
      </c>
      <c r="AI7" s="19" t="s">
        <v>24</v>
      </c>
      <c r="AJ7" s="19" t="s">
        <v>55</v>
      </c>
      <c r="AK7" s="19" t="s">
        <v>45</v>
      </c>
      <c r="AN7" s="19" t="s">
        <v>98</v>
      </c>
      <c r="AO7" s="19">
        <v>0</v>
      </c>
      <c r="AP7" s="19">
        <v>0</v>
      </c>
      <c r="AQ7" s="19">
        <v>0</v>
      </c>
      <c r="AR7" s="19">
        <v>0</v>
      </c>
      <c r="AS7" s="19">
        <v>0</v>
      </c>
      <c r="AT7" s="19">
        <v>2</v>
      </c>
      <c r="AU7" s="19">
        <v>0</v>
      </c>
      <c r="AV7" s="19">
        <v>0</v>
      </c>
      <c r="AW7" s="19">
        <v>0</v>
      </c>
      <c r="AX7" s="19">
        <v>0</v>
      </c>
      <c r="AY7" s="19">
        <v>0</v>
      </c>
      <c r="AZ7" s="19"/>
      <c r="BA7" s="19"/>
      <c r="BB7" s="17">
        <v>3</v>
      </c>
      <c r="BC7" s="19"/>
      <c r="BD7" s="19"/>
      <c r="BE7" s="19"/>
      <c r="BF7" s="19"/>
      <c r="BG7" s="19"/>
      <c r="BH7" s="19" t="s">
        <v>98</v>
      </c>
      <c r="BI7" s="19">
        <v>0</v>
      </c>
      <c r="BJ7" s="19">
        <v>0</v>
      </c>
      <c r="BK7" s="19">
        <v>0</v>
      </c>
      <c r="BL7" s="19">
        <v>2</v>
      </c>
      <c r="BM7" s="19">
        <v>0</v>
      </c>
      <c r="BN7" s="19">
        <v>0</v>
      </c>
      <c r="BO7" s="19">
        <v>0</v>
      </c>
      <c r="BP7" s="19">
        <v>0</v>
      </c>
      <c r="BQ7" s="19">
        <v>0</v>
      </c>
      <c r="BR7" s="19">
        <v>0</v>
      </c>
      <c r="BS7" s="19">
        <v>0</v>
      </c>
      <c r="BT7" s="19"/>
      <c r="BU7" s="19"/>
      <c r="BV7" s="19"/>
      <c r="BW7" s="19"/>
      <c r="BX7" s="19" t="s">
        <v>98</v>
      </c>
      <c r="BY7" s="19">
        <v>0</v>
      </c>
      <c r="BZ7" s="19">
        <v>0</v>
      </c>
      <c r="CA7" s="19">
        <v>0</v>
      </c>
      <c r="CB7" s="19">
        <v>0</v>
      </c>
      <c r="CC7" s="19">
        <v>0</v>
      </c>
      <c r="CD7" s="19">
        <v>0</v>
      </c>
      <c r="CE7" s="19">
        <v>0</v>
      </c>
      <c r="CF7" s="19">
        <v>0</v>
      </c>
      <c r="CG7" s="19">
        <v>0</v>
      </c>
      <c r="CH7" s="19">
        <v>0</v>
      </c>
      <c r="CI7" s="19">
        <v>0</v>
      </c>
      <c r="CJ7" s="19"/>
      <c r="CK7" s="19"/>
      <c r="CL7" s="19"/>
      <c r="CM7" s="19"/>
    </row>
    <row r="8" spans="1:91" x14ac:dyDescent="0.25">
      <c r="A8" s="8"/>
      <c r="B8" s="6" t="s">
        <v>61</v>
      </c>
      <c r="C8" s="8"/>
      <c r="D8" s="6" t="s">
        <v>474</v>
      </c>
      <c r="E8" s="4"/>
      <c r="F8" s="5"/>
      <c r="G8" s="5"/>
      <c r="H8" s="5"/>
      <c r="I8" s="5"/>
      <c r="K8" s="4"/>
      <c r="L8" s="6" t="s">
        <v>9</v>
      </c>
      <c r="M8" s="14">
        <f>INDEX(cenník!$C$2:$I$568,MATCH($L8,cenník!$B$2:$B$557,0),MATCH(M$2,cenník!$C$1:$I$1,0))</f>
        <v>851132</v>
      </c>
      <c r="N8" s="14" t="str">
        <f>INDEX(cenník!$C$2:$I$568,MATCH($L8,cenník!$B$2:$B$557,0),MATCH(N$2,cenník!$C$1:$I$1,0))</f>
        <v>ks</v>
      </c>
      <c r="O8" s="14">
        <f>SUM(AC3:AC18)</f>
        <v>0</v>
      </c>
      <c r="P8" s="21">
        <f>INDEX(cenník!$C$2:$I$568,MATCH($L8,cenník!$B$2:$B$557,0),MATCH(P$2,cenník!$C$1:$I$1,0))</f>
        <v>21.79</v>
      </c>
      <c r="Q8" s="21">
        <f t="shared" si="0"/>
        <v>0</v>
      </c>
      <c r="R8" s="22">
        <f t="shared" si="3"/>
        <v>10</v>
      </c>
      <c r="S8" s="21">
        <f t="shared" si="1"/>
        <v>19.611000000000001</v>
      </c>
      <c r="T8" s="21">
        <f t="shared" si="2"/>
        <v>0</v>
      </c>
      <c r="U8" s="21">
        <f>INDEX(cenník!$C$2:$I$568,MATCH($L8,cenník!$B$2:$B$557,0),MATCH(U$2,cenník!$C$1:$I$1,0))*O8</f>
        <v>0</v>
      </c>
      <c r="W8" s="19">
        <f>(INDEX(($AO$5:$AY$13,$AO$17:$AY$25,$AO$30:$AY$38,$AO$42:$AY$50,$AO$54:$AY$62,$AO$66:$AY$74,$BI$5:$BS$13,$BI$17:$BS$25,$BI$29:$BS$37,$BI$41:$BS$49,$BI$53:$BS$61,$BI$65:$BS$73,$BY$5:$CI$13,$BY$17:$CI$25),MATCH($L$11,$AN$5:$AN$13,0),MATCH(A7,$AO$4:$AY$4,0),MATCH($AG$16,$AL$18:$AL$31,0)))*C7</f>
        <v>0</v>
      </c>
      <c r="X8" s="19">
        <f>(INDEX(($AO$5:$AY$13,$AO$17:$AY$25,$AO$30:$AY$38,$AO$42:$AY$50,$AO$54:$AY$62,$AO$66:$AY$74,$BI$5:$BS$13,$BI$17:$BS$25,$BI$29:$BS$37,$BI$41:$BS$49,$BI$53:$BS$61,$BI$65:$BS$73,$BY$5:$CI$13,$BY$17:$CI$25),MATCH($L$3,$AN$5:$AN$13,0),MATCH(A7,$AO$4:$AY$4,0),MATCH($AG$16,$AL$18:$AL$31,0)))*C7</f>
        <v>0</v>
      </c>
      <c r="Y8" s="19">
        <f>(INDEX(($AO$5:$AY$13,$AO$17:$AY$25,$AO$30:$AY$38,$AO$42:$AY$50,$AO$54:$AY$62,$AO$66:$AY$74,$BI$5:$BS$13,$BI$17:$BS$25,$BI$29:$BS$37,$BI$41:$BS$49,$BI$53:$BS$61,$BI$65:$BS$73,$BY$5:$CI$13,$BY$17:$CI$25),MATCH($L$4,$AN$5:$AN$13,0),MATCH(A7,$AO$4:$AY$4,0),MATCH($AG$16,$AL$18:$AL$31,0)))*C7</f>
        <v>0</v>
      </c>
      <c r="Z8" s="19">
        <f>(INDEX(($AO$5:$AY$13,$AO$17:$AY$25,$AO$30:$AY$38,$AO$42:$AY$50,$AO$54:$AY$62,$AO$66:$AY$74,$BI$5:$BS$13,$BI$17:$BS$25,$BI$29:$BS$37,$BI$41:$BS$49,$BI$53:$BS$61,$BI$65:$BS$73,$BY$5:$CI$13,$BY$17:$CI$25),MATCH($L$5,$AN$5:$AN$13,0),MATCH(A7,$AO$4:$AY$4,0),MATCH($AG$16,$AL$18:$AL$31,0)))*C7</f>
        <v>0</v>
      </c>
      <c r="AA8" s="19">
        <f>(INDEX(($AO$5:$AY$13,$AO$17:$AY$25,$AO$30:$AY$38,$AO$42:$AY$50,$AO$54:$AY$62,$AO$66:$AY$74,$BI$5:$BS$13,$BI$17:$BS$25,$BI$29:$BS$37,$BI$41:$BS$49,$BI$53:$BS$61,$BI$65:$BS$73,$BY$5:$CI$13,$BY$17:$CI$25),MATCH($L$6,$AN$5:$AN$13,0),MATCH(A7,$AO$4:$AY$4,0),MATCH($AG$16,$AL$18:$AL$31,0)))*C7</f>
        <v>0</v>
      </c>
      <c r="AB8" s="19">
        <f>(INDEX(($AO$5:$AY$13,$AO$17:$AY$25,$AO$30:$AY$38,$AO$42:$AY$50,$AO$54:$AY$62,$AO$66:$AY$74,$BI$5:$BS$13,$BI$17:$BS$25,$BI$29:$BS$37,$BI$41:$BS$49,$BI$53:$BS$61,$BI$65:$BS$73,$BY$5:$CI$13,$BY$17:$CI$25),MATCH($L$7,$AN$5:$AN$13,0),MATCH(A7,$AO$4:$AY$4,0),MATCH($AG$16,$AL$18:$AL$31,0)))*C7</f>
        <v>0</v>
      </c>
      <c r="AC8" s="19">
        <f>(INDEX(($AO$5:$AY$13,$AO$17:$AY$25,$AO$30:$AY$38,$AO$42:$AY$50,$AO$54:$AY$62,$AO$66:$AY$74,$BI$5:$BS$13,$BI$17:$BS$25,$BI$29:$BS$37,$BI$41:$BS$49,$BI$53:$BS$61,$BI$65:$BS$73,$BY$5:$CI$13,$BY$17:$CI$25),MATCH($L$8,$AN$5:$AN$13,0),MATCH(A7,$AO$4:$AY$4,0),MATCH($AG$16,$AL$18:$AL$31,0)))*C7</f>
        <v>0</v>
      </c>
      <c r="AD8" s="19">
        <f>(INDEX(($AO$5:$AY$13,$AO$17:$AY$25,$AO$30:$AY$38,$AO$42:$AY$50,$AO$54:$AY$62,$AO$66:$AY$74,$BI$5:$BS$13,$BI$17:$BS$25,$BI$29:$BS$37,$BI$41:$BS$49,$BI$53:$BS$61,$BI$65:$BS$73,$BY$5:$CI$13,$BY$17:$CI$25),MATCH($L$9,$AN$5:$AN$13,0),MATCH(A7,$AO$4:$AY$4,0),MATCH($AG$16,$AL$18:$AL$31,0)))*C7</f>
        <v>0</v>
      </c>
      <c r="AE8" s="19">
        <f>(INDEX(($AO$5:$AY$13,$AO$17:$AY$25,$AO$30:$AY$38,$AO$42:$AY$50,$AO$54:$AY$62,$AO$66:$AY$74,$BI$5:$BS$13,$BI$17:$BS$25,$BI$29:$BS$37,$BI$41:$BS$49,$BI$53:$BS$61,$BI$65:$BS$73,$BY$5:$CI$13,$BY$17:$CI$25),MATCH($L$10,$AN$5:$AN$13,0),MATCH(A7,$AO$4:$AY$4,0),MATCH($AG$16,$AL$18:$AL$31,0)))*C7</f>
        <v>0</v>
      </c>
      <c r="AG8" s="26">
        <v>38</v>
      </c>
      <c r="AH8" s="19" t="s">
        <v>25</v>
      </c>
      <c r="AI8" s="19"/>
      <c r="AJ8" s="19" t="s">
        <v>55</v>
      </c>
      <c r="AK8" s="19" t="s">
        <v>45</v>
      </c>
      <c r="AN8" s="19" t="s">
        <v>100</v>
      </c>
      <c r="AO8" s="19">
        <v>0</v>
      </c>
      <c r="AP8" s="19">
        <v>0</v>
      </c>
      <c r="AQ8" s="19">
        <v>0</v>
      </c>
      <c r="AR8" s="19">
        <v>0</v>
      </c>
      <c r="AS8" s="19">
        <v>0</v>
      </c>
      <c r="AT8" s="19">
        <v>0</v>
      </c>
      <c r="AU8" s="19">
        <v>0</v>
      </c>
      <c r="AV8" s="19">
        <v>0</v>
      </c>
      <c r="AW8" s="19">
        <v>0</v>
      </c>
      <c r="AX8" s="19">
        <v>2</v>
      </c>
      <c r="AY8" s="19">
        <v>0</v>
      </c>
      <c r="AZ8" s="19"/>
      <c r="BA8" s="19"/>
      <c r="BB8" s="17">
        <v>4</v>
      </c>
      <c r="BC8" s="19"/>
      <c r="BD8" s="19"/>
      <c r="BE8" s="19"/>
      <c r="BF8" s="19"/>
      <c r="BG8" s="19"/>
      <c r="BH8" s="19" t="s">
        <v>100</v>
      </c>
      <c r="BI8" s="19">
        <v>0</v>
      </c>
      <c r="BJ8" s="19">
        <v>2</v>
      </c>
      <c r="BK8" s="19">
        <v>0</v>
      </c>
      <c r="BL8" s="19">
        <v>0</v>
      </c>
      <c r="BM8" s="19">
        <v>0</v>
      </c>
      <c r="BN8" s="19">
        <v>0</v>
      </c>
      <c r="BO8" s="19">
        <v>0</v>
      </c>
      <c r="BP8" s="19">
        <v>0</v>
      </c>
      <c r="BQ8" s="19">
        <v>0</v>
      </c>
      <c r="BR8" s="19">
        <v>0</v>
      </c>
      <c r="BS8" s="19">
        <v>0</v>
      </c>
      <c r="BT8" s="19"/>
      <c r="BU8" s="19"/>
      <c r="BV8" s="19"/>
      <c r="BW8" s="19"/>
      <c r="BX8" s="19" t="s">
        <v>100</v>
      </c>
      <c r="BY8" s="19">
        <v>0</v>
      </c>
      <c r="BZ8" s="19">
        <v>0</v>
      </c>
      <c r="CA8" s="19">
        <v>0</v>
      </c>
      <c r="CB8" s="19">
        <v>0</v>
      </c>
      <c r="CC8" s="19">
        <v>0</v>
      </c>
      <c r="CD8" s="19">
        <v>0</v>
      </c>
      <c r="CE8" s="19">
        <v>0</v>
      </c>
      <c r="CF8" s="19">
        <v>0</v>
      </c>
      <c r="CG8" s="19">
        <v>0</v>
      </c>
      <c r="CH8" s="19">
        <v>0</v>
      </c>
      <c r="CI8" s="19">
        <v>0</v>
      </c>
      <c r="CJ8" s="19"/>
      <c r="CK8" s="19"/>
      <c r="CL8" s="19"/>
      <c r="CM8" s="19"/>
    </row>
    <row r="9" spans="1:91" x14ac:dyDescent="0.25">
      <c r="A9" s="8"/>
      <c r="B9" s="6" t="s">
        <v>61</v>
      </c>
      <c r="C9" s="8"/>
      <c r="E9" s="4"/>
      <c r="F9" s="4"/>
      <c r="G9" s="4"/>
      <c r="H9" s="4"/>
      <c r="I9" s="4"/>
      <c r="K9" s="4"/>
      <c r="L9" s="6" t="s">
        <v>101</v>
      </c>
      <c r="M9" s="14">
        <f>INDEX(cenník!$C$2:$I$568,MATCH($L9,cenník!$B$2:$B$557,0),MATCH(M$2,cenník!$C$1:$I$1,0))</f>
        <v>851135</v>
      </c>
      <c r="N9" s="14" t="str">
        <f>INDEX(cenník!$C$2:$I$568,MATCH($L9,cenník!$B$2:$B$557,0),MATCH(N$2,cenník!$C$1:$I$1,0))</f>
        <v>ks</v>
      </c>
      <c r="O9" s="14">
        <f>SUM(AD3:AD18)</f>
        <v>0</v>
      </c>
      <c r="P9" s="21">
        <f>INDEX(cenník!$C$2:$I$568,MATCH($L9,cenník!$B$2:$B$557,0),MATCH(P$2,cenník!$C$1:$I$1,0))</f>
        <v>25.4</v>
      </c>
      <c r="Q9" s="21">
        <f t="shared" si="0"/>
        <v>0</v>
      </c>
      <c r="R9" s="22">
        <f t="shared" si="3"/>
        <v>10</v>
      </c>
      <c r="S9" s="21">
        <f t="shared" si="1"/>
        <v>22.86</v>
      </c>
      <c r="T9" s="21">
        <f t="shared" si="2"/>
        <v>0</v>
      </c>
      <c r="U9" s="21">
        <f>INDEX(cenník!$C$2:$I$568,MATCH($L9,cenník!$B$2:$B$557,0),MATCH(U$2,cenník!$C$1:$I$1,0))*O9</f>
        <v>0</v>
      </c>
      <c r="W9" s="19">
        <f>(INDEX(($AO$5:$AY$13,$AO$17:$AY$25,$AO$30:$AY$38,$AO$42:$AY$50,$AO$54:$AY$62,$AO$66:$AY$74,$BI$5:$BS$13,$BI$17:$BS$25,$BI$29:$BS$37,$BI$41:$BS$49,$BI$53:$BS$61,$BI$65:$BS$73,$BY$5:$CI$13,$BY$17:$CI$25),MATCH($L$11,$AN$5:$AN$13,0),MATCH(A8,$AO$4:$AY$4,0),MATCH($AG$16,$AL$18:$AL$31,0)))*C8</f>
        <v>0</v>
      </c>
      <c r="X9" s="19">
        <f>(INDEX(($AO$5:$AY$13,$AO$17:$AY$25,$AO$30:$AY$38,$AO$42:$AY$50,$AO$54:$AY$62,$AO$66:$AY$74,$BI$5:$BS$13,$BI$17:$BS$25,$BI$29:$BS$37,$BI$41:$BS$49,$BI$53:$BS$61,$BI$65:$BS$73,$BY$5:$CI$13,$BY$17:$CI$25),MATCH($L$3,$AN$5:$AN$13,0),MATCH(A8,$AO$4:$AY$4,0),MATCH($AG$16,$AL$18:$AL$31,0)))*C8</f>
        <v>0</v>
      </c>
      <c r="Y9" s="19">
        <f>(INDEX(($AO$5:$AY$13,$AO$17:$AY$25,$AO$30:$AY$38,$AO$42:$AY$50,$AO$54:$AY$62,$AO$66:$AY$74,$BI$5:$BS$13,$BI$17:$BS$25,$BI$29:$BS$37,$BI$41:$BS$49,$BI$53:$BS$61,$BI$65:$BS$73,$BY$5:$CI$13,$BY$17:$CI$25),MATCH($L$4,$AN$5:$AN$13,0),MATCH(A8,$AO$4:$AY$4,0),MATCH($AG$16,$AL$18:$AL$31,0)))*C8</f>
        <v>0</v>
      </c>
      <c r="Z9" s="19">
        <f>(INDEX(($AO$5:$AY$13,$AO$17:$AY$25,$AO$30:$AY$38,$AO$42:$AY$50,$AO$54:$AY$62,$AO$66:$AY$74,$BI$5:$BS$13,$BI$17:$BS$25,$BI$29:$BS$37,$BI$41:$BS$49,$BI$53:$BS$61,$BI$65:$BS$73,$BY$5:$CI$13,$BY$17:$CI$25),MATCH($L$5,$AN$5:$AN$13,0),MATCH(A8,$AO$4:$AY$4,0),MATCH($AG$16,$AL$18:$AL$31,0)))*C8</f>
        <v>0</v>
      </c>
      <c r="AA9" s="19">
        <f>(INDEX(($AO$5:$AY$13,$AO$17:$AY$25,$AO$30:$AY$38,$AO$42:$AY$50,$AO$54:$AY$62,$AO$66:$AY$74,$BI$5:$BS$13,$BI$17:$BS$25,$BI$29:$BS$37,$BI$41:$BS$49,$BI$53:$BS$61,$BI$65:$BS$73,$BY$5:$CI$13,$BY$17:$CI$25),MATCH($L$6,$AN$5:$AN$13,0),MATCH(A8,$AO$4:$AY$4,0),MATCH($AG$16,$AL$18:$AL$31,0)))*C8</f>
        <v>0</v>
      </c>
      <c r="AB9" s="19">
        <f>(INDEX(($AO$5:$AY$13,$AO$17:$AY$25,$AO$30:$AY$38,$AO$42:$AY$50,$AO$54:$AY$62,$AO$66:$AY$74,$BI$5:$BS$13,$BI$17:$BS$25,$BI$29:$BS$37,$BI$41:$BS$49,$BI$53:$BS$61,$BI$65:$BS$73,$BY$5:$CI$13,$BY$17:$CI$25),MATCH($L$7,$AN$5:$AN$13,0),MATCH(A8,$AO$4:$AY$4,0),MATCH($AG$16,$AL$18:$AL$31,0)))*C8</f>
        <v>0</v>
      </c>
      <c r="AC9" s="19">
        <f>(INDEX(($AO$5:$AY$13,$AO$17:$AY$25,$AO$30:$AY$38,$AO$42:$AY$50,$AO$54:$AY$62,$AO$66:$AY$74,$BI$5:$BS$13,$BI$17:$BS$25,$BI$29:$BS$37,$BI$41:$BS$49,$BI$53:$BS$61,$BI$65:$BS$73,$BY$5:$CI$13,$BY$17:$CI$25),MATCH($L$8,$AN$5:$AN$13,0),MATCH(A8,$AO$4:$AY$4,0),MATCH($AG$16,$AL$18:$AL$31,0)))*C8</f>
        <v>0</v>
      </c>
      <c r="AD9" s="19">
        <f>(INDEX(($AO$5:$AY$13,$AO$17:$AY$25,$AO$30:$AY$38,$AO$42:$AY$50,$AO$54:$AY$62,$AO$66:$AY$74,$BI$5:$BS$13,$BI$17:$BS$25,$BI$29:$BS$37,$BI$41:$BS$49,$BI$53:$BS$61,$BI$65:$BS$73,$BY$5:$CI$13,$BY$17:$CI$25),MATCH($L$9,$AN$5:$AN$13,0),MATCH(A8,$AO$4:$AY$4,0),MATCH($AG$16,$AL$18:$AL$31,0)))*C8</f>
        <v>0</v>
      </c>
      <c r="AE9" s="19">
        <f>(INDEX(($AO$5:$AY$13,$AO$17:$AY$25,$AO$30:$AY$38,$AO$42:$AY$50,$AO$54:$AY$62,$AO$66:$AY$74,$BI$5:$BS$13,$BI$17:$BS$25,$BI$29:$BS$37,$BI$41:$BS$49,$BI$53:$BS$61,$BI$65:$BS$73,$BY$5:$CI$13,$BY$17:$CI$25),MATCH($L$10,$AN$5:$AN$13,0),MATCH(A8,$AO$4:$AY$4,0),MATCH($AG$16,$AL$18:$AL$31,0)))*C8</f>
        <v>0</v>
      </c>
      <c r="AG9" s="26">
        <v>40</v>
      </c>
      <c r="AH9" s="19" t="s">
        <v>26</v>
      </c>
      <c r="AI9" s="19" t="s">
        <v>27</v>
      </c>
      <c r="AJ9" s="19" t="s">
        <v>54</v>
      </c>
      <c r="AK9" s="19" t="s">
        <v>45</v>
      </c>
      <c r="AN9" s="19" t="s">
        <v>114</v>
      </c>
      <c r="AO9" s="19">
        <v>0</v>
      </c>
      <c r="AP9" s="19">
        <v>0</v>
      </c>
      <c r="AQ9" s="19">
        <v>2</v>
      </c>
      <c r="AR9" s="19">
        <v>0</v>
      </c>
      <c r="AS9" s="19">
        <v>0</v>
      </c>
      <c r="AT9" s="19">
        <v>0</v>
      </c>
      <c r="AU9" s="19">
        <v>0</v>
      </c>
      <c r="AV9" s="19">
        <v>0</v>
      </c>
      <c r="AW9" s="19">
        <v>0</v>
      </c>
      <c r="AX9" s="19">
        <v>0</v>
      </c>
      <c r="AY9" s="19">
        <v>0</v>
      </c>
      <c r="AZ9" s="19"/>
      <c r="BA9" s="19"/>
      <c r="BB9" s="17">
        <v>5</v>
      </c>
      <c r="BC9" s="19"/>
      <c r="BD9" s="19"/>
      <c r="BE9" s="19"/>
      <c r="BF9" s="19"/>
      <c r="BG9" s="19"/>
      <c r="BH9" s="19" t="s">
        <v>114</v>
      </c>
      <c r="BI9" s="19">
        <v>0</v>
      </c>
      <c r="BJ9" s="19">
        <v>0</v>
      </c>
      <c r="BK9" s="19">
        <v>0</v>
      </c>
      <c r="BL9" s="19">
        <v>0</v>
      </c>
      <c r="BM9" s="19">
        <v>0</v>
      </c>
      <c r="BN9" s="19">
        <v>0</v>
      </c>
      <c r="BO9" s="19">
        <v>0</v>
      </c>
      <c r="BP9" s="19">
        <v>0</v>
      </c>
      <c r="BQ9" s="19">
        <v>0</v>
      </c>
      <c r="BR9" s="19">
        <v>0</v>
      </c>
      <c r="BS9" s="19">
        <v>0</v>
      </c>
      <c r="BT9" s="19"/>
      <c r="BU9" s="19"/>
      <c r="BV9" s="19"/>
      <c r="BW9" s="19"/>
      <c r="BX9" s="19" t="s">
        <v>114</v>
      </c>
      <c r="BY9" s="19">
        <v>0</v>
      </c>
      <c r="BZ9" s="19">
        <v>2</v>
      </c>
      <c r="CA9" s="19">
        <v>0</v>
      </c>
      <c r="CB9" s="19">
        <v>0</v>
      </c>
      <c r="CC9" s="19">
        <v>0</v>
      </c>
      <c r="CD9" s="19">
        <v>0</v>
      </c>
      <c r="CE9" s="19">
        <v>0</v>
      </c>
      <c r="CF9" s="19">
        <v>0</v>
      </c>
      <c r="CG9" s="19">
        <v>0</v>
      </c>
      <c r="CH9" s="19">
        <v>0</v>
      </c>
      <c r="CI9" s="19">
        <v>0</v>
      </c>
      <c r="CJ9" s="19"/>
      <c r="CK9" s="19"/>
      <c r="CL9" s="19"/>
      <c r="CM9" s="19"/>
    </row>
    <row r="10" spans="1:91" x14ac:dyDescent="0.25">
      <c r="A10" s="8"/>
      <c r="B10" s="6" t="s">
        <v>61</v>
      </c>
      <c r="C10" s="8"/>
      <c r="D10" s="16" t="s">
        <v>528</v>
      </c>
      <c r="E10" s="4"/>
      <c r="F10" s="4"/>
      <c r="G10" s="4"/>
      <c r="H10" s="4"/>
      <c r="I10" s="4"/>
      <c r="J10" s="4"/>
      <c r="K10" s="4"/>
      <c r="L10" s="6" t="s">
        <v>102</v>
      </c>
      <c r="M10" s="14">
        <f>INDEX(cenník!$C$2:$I$568,MATCH($L10,cenník!$B$2:$B$557,0),MATCH(M$2,cenník!$C$1:$I$1,0))</f>
        <v>852137</v>
      </c>
      <c r="N10" s="14" t="str">
        <f>INDEX(cenník!$C$2:$I$568,MATCH($L10,cenník!$B$2:$B$557,0),MATCH(N$2,cenník!$C$1:$I$1,0))</f>
        <v>ks</v>
      </c>
      <c r="O10" s="14">
        <f>SUM(AE3:AE18)</f>
        <v>0</v>
      </c>
      <c r="P10" s="21">
        <f>INDEX(cenník!$C$2:$I$568,MATCH($L10,cenník!$B$2:$B$557,0),MATCH(P$2,cenník!$C$1:$I$1,0))</f>
        <v>26.88</v>
      </c>
      <c r="Q10" s="21">
        <f t="shared" si="0"/>
        <v>0</v>
      </c>
      <c r="R10" s="22">
        <f t="shared" si="3"/>
        <v>10</v>
      </c>
      <c r="S10" s="21">
        <f t="shared" si="1"/>
        <v>24.192</v>
      </c>
      <c r="T10" s="21">
        <f t="shared" si="2"/>
        <v>0</v>
      </c>
      <c r="U10" s="21">
        <f>INDEX(cenník!$C$2:$I$568,MATCH($L10,cenník!$B$2:$B$557,0),MATCH(U$2,cenník!$C$1:$I$1,0))*O10</f>
        <v>0</v>
      </c>
      <c r="W10" s="19">
        <f>(INDEX(($AO$5:$AY$13,$AO$17:$AY$25,$AO$30:$AY$38,$AO$42:$AY$50,$AO$54:$AY$62,$AO$66:$AY$74,$BI$5:$BS$13,$BI$17:$BS$25,$BI$29:$BS$37,$BI$41:$BS$49,$BI$53:$BS$61,$BI$65:$BS$73,$BY$5:$CI$13,$BY$17:$CI$25),MATCH($L$11,$AN$5:$AN$13,0),MATCH(A9,$AO$4:$AY$4,0),MATCH($AG$16,$AL$18:$AL$31,0)))*C9</f>
        <v>0</v>
      </c>
      <c r="X10" s="19">
        <f>(INDEX(($AO$5:$AY$13,$AO$17:$AY$25,$AO$30:$AY$38,$AO$42:$AY$50,$AO$54:$AY$62,$AO$66:$AY$74,$BI$5:$BS$13,$BI$17:$BS$25,$BI$29:$BS$37,$BI$41:$BS$49,$BI$53:$BS$61,$BI$65:$BS$73,$BY$5:$CI$13,$BY$17:$CI$25),MATCH($L$3,$AN$5:$AN$13,0),MATCH(A9,$AO$4:$AY$4,0),MATCH($AG$16,$AL$18:$AL$31,0)))*C9</f>
        <v>0</v>
      </c>
      <c r="Y10" s="19">
        <f>(INDEX(($AO$5:$AY$13,$AO$17:$AY$25,$AO$30:$AY$38,$AO$42:$AY$50,$AO$54:$AY$62,$AO$66:$AY$74,$BI$5:$BS$13,$BI$17:$BS$25,$BI$29:$BS$37,$BI$41:$BS$49,$BI$53:$BS$61,$BI$65:$BS$73,$BY$5:$CI$13,$BY$17:$CI$25),MATCH($L$4,$AN$5:$AN$13,0),MATCH(A9,$AO$4:$AY$4,0),MATCH($AG$16,$AL$18:$AL$31,0)))*C9</f>
        <v>0</v>
      </c>
      <c r="Z10" s="19">
        <f>(INDEX(($AO$5:$AY$13,$AO$17:$AY$25,$AO$30:$AY$38,$AO$42:$AY$50,$AO$54:$AY$62,$AO$66:$AY$74,$BI$5:$BS$13,$BI$17:$BS$25,$BI$29:$BS$37,$BI$41:$BS$49,$BI$53:$BS$61,$BI$65:$BS$73,$BY$5:$CI$13,$BY$17:$CI$25),MATCH($L$5,$AN$5:$AN$13,0),MATCH(A9,$AO$4:$AY$4,0),MATCH($AG$16,$AL$18:$AL$31,0)))*C9</f>
        <v>0</v>
      </c>
      <c r="AA10" s="19">
        <f>(INDEX(($AO$5:$AY$13,$AO$17:$AY$25,$AO$30:$AY$38,$AO$42:$AY$50,$AO$54:$AY$62,$AO$66:$AY$74,$BI$5:$BS$13,$BI$17:$BS$25,$BI$29:$BS$37,$BI$41:$BS$49,$BI$53:$BS$61,$BI$65:$BS$73,$BY$5:$CI$13,$BY$17:$CI$25),MATCH($L$6,$AN$5:$AN$13,0),MATCH(A9,$AO$4:$AY$4,0),MATCH($AG$16,$AL$18:$AL$31,0)))*C9</f>
        <v>0</v>
      </c>
      <c r="AB10" s="19">
        <f>(INDEX(($AO$5:$AY$13,$AO$17:$AY$25,$AO$30:$AY$38,$AO$42:$AY$50,$AO$54:$AY$62,$AO$66:$AY$74,$BI$5:$BS$13,$BI$17:$BS$25,$BI$29:$BS$37,$BI$41:$BS$49,$BI$53:$BS$61,$BI$65:$BS$73,$BY$5:$CI$13,$BY$17:$CI$25),MATCH($L$7,$AN$5:$AN$13,0),MATCH(A9,$AO$4:$AY$4,0),MATCH($AG$16,$AL$18:$AL$31,0)))*C9</f>
        <v>0</v>
      </c>
      <c r="AC10" s="19">
        <f>(INDEX(($AO$5:$AY$13,$AO$17:$AY$25,$AO$30:$AY$38,$AO$42:$AY$50,$AO$54:$AY$62,$AO$66:$AY$74,$BI$5:$BS$13,$BI$17:$BS$25,$BI$29:$BS$37,$BI$41:$BS$49,$BI$53:$BS$61,$BI$65:$BS$73,$BY$5:$CI$13,$BY$17:$CI$25),MATCH($L$8,$AN$5:$AN$13,0),MATCH(A9,$AO$4:$AY$4,0),MATCH($AG$16,$AL$18:$AL$31,0)))*C9</f>
        <v>0</v>
      </c>
      <c r="AD10" s="19">
        <f>(INDEX(($AO$5:$AY$13,$AO$17:$AY$25,$AO$30:$AY$38,$AO$42:$AY$50,$AO$54:$AY$62,$AO$66:$AY$74,$BI$5:$BS$13,$BI$17:$BS$25,$BI$29:$BS$37,$BI$41:$BS$49,$BI$53:$BS$61,$BI$65:$BS$73,$BY$5:$CI$13,$BY$17:$CI$25),MATCH($L$9,$AN$5:$AN$13,0),MATCH(A9,$AO$4:$AY$4,0),MATCH($AG$16,$AL$18:$AL$31,0)))*C9</f>
        <v>0</v>
      </c>
      <c r="AE10" s="19">
        <f>(INDEX(($AO$5:$AY$13,$AO$17:$AY$25,$AO$30:$AY$38,$AO$42:$AY$50,$AO$54:$AY$62,$AO$66:$AY$74,$BI$5:$BS$13,$BI$17:$BS$25,$BI$29:$BS$37,$BI$41:$BS$49,$BI$53:$BS$61,$BI$65:$BS$73,$BY$5:$CI$13,$BY$17:$CI$25),MATCH($L$10,$AN$5:$AN$13,0),MATCH(A9,$AO$4:$AY$4,0),MATCH($AG$16,$AL$18:$AL$31,0)))*C9</f>
        <v>0</v>
      </c>
      <c r="AG10" s="26">
        <v>42</v>
      </c>
      <c r="AH10" s="19" t="s">
        <v>28</v>
      </c>
      <c r="AI10" s="19"/>
      <c r="AJ10" s="19" t="s">
        <v>54</v>
      </c>
      <c r="AK10" s="19" t="s">
        <v>45</v>
      </c>
      <c r="AN10" s="19" t="s">
        <v>9</v>
      </c>
      <c r="AO10" s="19">
        <v>0</v>
      </c>
      <c r="AP10" s="19">
        <v>0</v>
      </c>
      <c r="AQ10" s="19">
        <v>0</v>
      </c>
      <c r="AR10" s="19">
        <v>0</v>
      </c>
      <c r="AS10" s="19">
        <v>2</v>
      </c>
      <c r="AT10" s="19">
        <v>0</v>
      </c>
      <c r="AU10" s="19">
        <v>2</v>
      </c>
      <c r="AV10" s="19">
        <v>0</v>
      </c>
      <c r="AW10" s="19">
        <v>0</v>
      </c>
      <c r="AX10" s="19">
        <v>0</v>
      </c>
      <c r="AY10" s="19">
        <v>2</v>
      </c>
      <c r="AZ10" s="19"/>
      <c r="BA10" s="19"/>
      <c r="BB10" s="17">
        <v>6</v>
      </c>
      <c r="BC10" s="19"/>
      <c r="BD10" s="19"/>
      <c r="BE10" s="19"/>
      <c r="BF10" s="19"/>
      <c r="BG10" s="19"/>
      <c r="BH10" s="19" t="s">
        <v>9</v>
      </c>
      <c r="BI10" s="19">
        <v>0</v>
      </c>
      <c r="BJ10" s="19">
        <v>0</v>
      </c>
      <c r="BK10" s="19">
        <v>0</v>
      </c>
      <c r="BL10" s="19">
        <v>0</v>
      </c>
      <c r="BM10" s="19">
        <v>0</v>
      </c>
      <c r="BN10" s="19">
        <v>6</v>
      </c>
      <c r="BO10" s="19">
        <v>0</v>
      </c>
      <c r="BP10" s="19">
        <v>6</v>
      </c>
      <c r="BQ10" s="19">
        <v>0</v>
      </c>
      <c r="BR10" s="19">
        <v>6</v>
      </c>
      <c r="BS10" s="19">
        <v>0</v>
      </c>
      <c r="BT10" s="19"/>
      <c r="BU10" s="19"/>
      <c r="BV10" s="19"/>
      <c r="BW10" s="19"/>
      <c r="BX10" s="19" t="s">
        <v>9</v>
      </c>
      <c r="BY10" s="19">
        <v>0</v>
      </c>
      <c r="BZ10" s="19">
        <v>0</v>
      </c>
      <c r="CA10" s="19">
        <v>2</v>
      </c>
      <c r="CB10" s="19">
        <v>2</v>
      </c>
      <c r="CC10" s="19">
        <v>0</v>
      </c>
      <c r="CD10" s="19">
        <v>0</v>
      </c>
      <c r="CE10" s="19">
        <v>6</v>
      </c>
      <c r="CF10" s="19">
        <v>0</v>
      </c>
      <c r="CG10" s="19">
        <v>4</v>
      </c>
      <c r="CH10" s="19">
        <v>10</v>
      </c>
      <c r="CI10" s="19">
        <v>2</v>
      </c>
      <c r="CJ10" s="19"/>
      <c r="CK10" s="19"/>
      <c r="CL10" s="19"/>
      <c r="CM10" s="19"/>
    </row>
    <row r="11" spans="1:91" x14ac:dyDescent="0.25">
      <c r="A11" s="8"/>
      <c r="B11" s="6" t="s">
        <v>61</v>
      </c>
      <c r="C11" s="8"/>
      <c r="D11" s="16" t="s">
        <v>558</v>
      </c>
      <c r="E11" s="4"/>
      <c r="F11" s="4"/>
      <c r="G11" s="4"/>
      <c r="H11" s="4"/>
      <c r="I11" s="4"/>
      <c r="J11" s="4"/>
      <c r="K11" s="4"/>
      <c r="L11" s="6" t="s">
        <v>10</v>
      </c>
      <c r="M11" s="14">
        <f>INDEX(cenník!$C$2:$I$568,MATCH($L11,cenník!$B$2:$B$557,0),MATCH(M$2,cenník!$C$1:$I$1,0))</f>
        <v>851541</v>
      </c>
      <c r="N11" s="14" t="str">
        <f>INDEX(cenník!$C$2:$I$568,MATCH($L11,cenník!$B$2:$B$557,0),MATCH(N$2,cenník!$C$1:$I$1,0))</f>
        <v>ks</v>
      </c>
      <c r="O11" s="14">
        <f>SUM(W3:W18)</f>
        <v>0</v>
      </c>
      <c r="P11" s="21">
        <f>INDEX(cenník!$C$2:$I$568,MATCH($L11,cenník!$B$2:$B$557,0),MATCH(P$2,cenník!$C$1:$I$1,0))</f>
        <v>1.82</v>
      </c>
      <c r="Q11" s="21">
        <f t="shared" si="0"/>
        <v>0</v>
      </c>
      <c r="R11" s="22">
        <f t="shared" si="3"/>
        <v>10</v>
      </c>
      <c r="S11" s="21">
        <f t="shared" si="1"/>
        <v>1.6380000000000001</v>
      </c>
      <c r="T11" s="21">
        <f t="shared" si="2"/>
        <v>0</v>
      </c>
      <c r="U11" s="21">
        <f>INDEX(cenník!$C$2:$I$568,MATCH($L11,cenník!$B$2:$B$557,0),MATCH(U$2,cenník!$C$1:$I$1,0))*O11</f>
        <v>0</v>
      </c>
      <c r="W11" s="19">
        <f>(INDEX(($AO$5:$AY$13,$AO$17:$AY$25,$AO$30:$AY$38,$AO$42:$AY$50,$AO$54:$AY$62,$AO$66:$AY$74,$BI$5:$BS$13,$BI$17:$BS$25,$BI$29:$BS$37,$BI$41:$BS$49,$BI$53:$BS$61,$BI$65:$BS$73,$BY$5:$CI$13,$BY$17:$CI$25),MATCH($L$11,$AN$5:$AN$13,0),MATCH(A10,$AO$4:$AY$4,0),MATCH($AG$16,$AL$18:$AL$31,0)))*C10</f>
        <v>0</v>
      </c>
      <c r="X11" s="19">
        <f>(INDEX(($AO$5:$AY$13,$AO$17:$AY$25,$AO$30:$AY$38,$AO$42:$AY$50,$AO$54:$AY$62,$AO$66:$AY$74,$BI$5:$BS$13,$BI$17:$BS$25,$BI$29:$BS$37,$BI$41:$BS$49,$BI$53:$BS$61,$BI$65:$BS$73,$BY$5:$CI$13,$BY$17:$CI$25),MATCH($L$3,$AN$5:$AN$13,0),MATCH(A10,$AO$4:$AY$4,0),MATCH($AG$16,$AL$18:$AL$31,0)))*C10</f>
        <v>0</v>
      </c>
      <c r="Y11" s="19">
        <f>(INDEX(($AO$5:$AY$13,$AO$17:$AY$25,$AO$30:$AY$38,$AO$42:$AY$50,$AO$54:$AY$62,$AO$66:$AY$74,$BI$5:$BS$13,$BI$17:$BS$25,$BI$29:$BS$37,$BI$41:$BS$49,$BI$53:$BS$61,$BI$65:$BS$73,$BY$5:$CI$13,$BY$17:$CI$25),MATCH($L$4,$AN$5:$AN$13,0),MATCH(A10,$AO$4:$AY$4,0),MATCH($AG$16,$AL$18:$AL$31,0)))*C10</f>
        <v>0</v>
      </c>
      <c r="Z11" s="19">
        <f>(INDEX(($AO$5:$AY$13,$AO$17:$AY$25,$AO$30:$AY$38,$AO$42:$AY$50,$AO$54:$AY$62,$AO$66:$AY$74,$BI$5:$BS$13,$BI$17:$BS$25,$BI$29:$BS$37,$BI$41:$BS$49,$BI$53:$BS$61,$BI$65:$BS$73,$BY$5:$CI$13,$BY$17:$CI$25),MATCH($L$5,$AN$5:$AN$13,0),MATCH(A10,$AO$4:$AY$4,0),MATCH($AG$16,$AL$18:$AL$31,0)))*C10</f>
        <v>0</v>
      </c>
      <c r="AA11" s="19">
        <f>(INDEX(($AO$5:$AY$13,$AO$17:$AY$25,$AO$30:$AY$38,$AO$42:$AY$50,$AO$54:$AY$62,$AO$66:$AY$74,$BI$5:$BS$13,$BI$17:$BS$25,$BI$29:$BS$37,$BI$41:$BS$49,$BI$53:$BS$61,$BI$65:$BS$73,$BY$5:$CI$13,$BY$17:$CI$25),MATCH($L$6,$AN$5:$AN$13,0),MATCH(A10,$AO$4:$AY$4,0),MATCH($AG$16,$AL$18:$AL$31,0)))*C10</f>
        <v>0</v>
      </c>
      <c r="AB11" s="19">
        <f>(INDEX(($AO$5:$AY$13,$AO$17:$AY$25,$AO$30:$AY$38,$AO$42:$AY$50,$AO$54:$AY$62,$AO$66:$AY$74,$BI$5:$BS$13,$BI$17:$BS$25,$BI$29:$BS$37,$BI$41:$BS$49,$BI$53:$BS$61,$BI$65:$BS$73,$BY$5:$CI$13,$BY$17:$CI$25),MATCH($L$7,$AN$5:$AN$13,0),MATCH(A10,$AO$4:$AY$4,0),MATCH($AG$16,$AL$18:$AL$31,0)))*C10</f>
        <v>0</v>
      </c>
      <c r="AC11" s="19">
        <f>(INDEX(($AO$5:$AY$13,$AO$17:$AY$25,$AO$30:$AY$38,$AO$42:$AY$50,$AO$54:$AY$62,$AO$66:$AY$74,$BI$5:$BS$13,$BI$17:$BS$25,$BI$29:$BS$37,$BI$41:$BS$49,$BI$53:$BS$61,$BI$65:$BS$73,$BY$5:$CI$13,$BY$17:$CI$25),MATCH($L$8,$AN$5:$AN$13,0),MATCH(A10,$AO$4:$AY$4,0),MATCH($AG$16,$AL$18:$AL$31,0)))*C10</f>
        <v>0</v>
      </c>
      <c r="AD11" s="19">
        <f>(INDEX(($AO$5:$AY$13,$AO$17:$AY$25,$AO$30:$AY$38,$AO$42:$AY$50,$AO$54:$AY$62,$AO$66:$AY$74,$BI$5:$BS$13,$BI$17:$BS$25,$BI$29:$BS$37,$BI$41:$BS$49,$BI$53:$BS$61,$BI$65:$BS$73,$BY$5:$CI$13,$BY$17:$CI$25),MATCH($L$9,$AN$5:$AN$13,0),MATCH(A10,$AO$4:$AY$4,0),MATCH($AG$16,$AL$18:$AL$31,0)))*C10</f>
        <v>0</v>
      </c>
      <c r="AE11" s="19">
        <f>(INDEX(($AO$5:$AY$13,$AO$17:$AY$25,$AO$30:$AY$38,$AO$42:$AY$50,$AO$54:$AY$62,$AO$66:$AY$74,$BI$5:$BS$13,$BI$17:$BS$25,$BI$29:$BS$37,$BI$41:$BS$49,$BI$53:$BS$61,$BI$65:$BS$73,$BY$5:$CI$13,$BY$17:$CI$25),MATCH($L$10,$AN$5:$AN$13,0),MATCH(A10,$AO$4:$AY$4,0),MATCH($AG$16,$AL$18:$AL$31,0)))*C10</f>
        <v>0</v>
      </c>
      <c r="AG11" s="26">
        <v>45</v>
      </c>
      <c r="AH11" s="19" t="s">
        <v>29</v>
      </c>
      <c r="AI11" s="19"/>
      <c r="AJ11" s="19" t="s">
        <v>82</v>
      </c>
      <c r="AK11" s="19" t="s">
        <v>45</v>
      </c>
      <c r="AN11" s="19" t="s">
        <v>101</v>
      </c>
      <c r="AO11" s="19">
        <v>0</v>
      </c>
      <c r="AP11" s="19">
        <v>0</v>
      </c>
      <c r="AQ11" s="19">
        <v>0</v>
      </c>
      <c r="AR11" s="19">
        <v>2</v>
      </c>
      <c r="AS11" s="19">
        <v>0</v>
      </c>
      <c r="AT11" s="19">
        <v>2</v>
      </c>
      <c r="AU11" s="19">
        <v>2</v>
      </c>
      <c r="AV11" s="19">
        <v>2</v>
      </c>
      <c r="AW11" s="19">
        <v>0</v>
      </c>
      <c r="AX11" s="19">
        <v>0</v>
      </c>
      <c r="AY11" s="19">
        <v>0</v>
      </c>
      <c r="AZ11" s="19"/>
      <c r="BA11" s="19"/>
      <c r="BB11" s="17">
        <v>7</v>
      </c>
      <c r="BC11" s="19"/>
      <c r="BD11" s="19"/>
      <c r="BE11" s="19"/>
      <c r="BF11" s="19"/>
      <c r="BG11" s="19"/>
      <c r="BH11" s="19" t="s">
        <v>101</v>
      </c>
      <c r="BI11" s="19">
        <v>0</v>
      </c>
      <c r="BJ11" s="19">
        <v>0</v>
      </c>
      <c r="BK11" s="19">
        <v>0</v>
      </c>
      <c r="BL11" s="19">
        <v>0</v>
      </c>
      <c r="BM11" s="19">
        <v>2</v>
      </c>
      <c r="BN11" s="19">
        <v>0</v>
      </c>
      <c r="BO11" s="19">
        <v>4</v>
      </c>
      <c r="BP11" s="19">
        <v>2</v>
      </c>
      <c r="BQ11" s="19">
        <v>4</v>
      </c>
      <c r="BR11" s="19">
        <v>4</v>
      </c>
      <c r="BS11" s="19">
        <v>6</v>
      </c>
      <c r="BT11" s="19"/>
      <c r="BU11" s="19"/>
      <c r="BV11" s="19"/>
      <c r="BW11" s="19"/>
      <c r="BX11" s="19" t="s">
        <v>101</v>
      </c>
      <c r="BY11" s="19">
        <v>0</v>
      </c>
      <c r="BZ11" s="19">
        <v>0</v>
      </c>
      <c r="CA11" s="19">
        <v>0</v>
      </c>
      <c r="CB11" s="19">
        <v>2</v>
      </c>
      <c r="CC11" s="19">
        <v>0</v>
      </c>
      <c r="CD11" s="19">
        <v>6</v>
      </c>
      <c r="CE11" s="19">
        <v>2</v>
      </c>
      <c r="CF11" s="19">
        <v>2</v>
      </c>
      <c r="CG11" s="19">
        <v>4</v>
      </c>
      <c r="CH11" s="19">
        <v>0</v>
      </c>
      <c r="CI11" s="19">
        <v>6</v>
      </c>
      <c r="CJ11" s="19"/>
      <c r="CK11" s="19"/>
      <c r="CL11" s="19"/>
      <c r="CM11" s="19"/>
    </row>
    <row r="12" spans="1:91" x14ac:dyDescent="0.25">
      <c r="A12" s="8"/>
      <c r="B12" s="6" t="s">
        <v>61</v>
      </c>
      <c r="C12" s="8"/>
      <c r="D12" s="44" t="s">
        <v>563</v>
      </c>
      <c r="E12" s="4"/>
      <c r="F12" s="4"/>
      <c r="G12" s="4"/>
      <c r="H12" s="4"/>
      <c r="I12" s="4"/>
      <c r="J12" s="4"/>
      <c r="K12" s="4"/>
      <c r="L12" s="6" t="str">
        <f>INDEX(($AH$3:$AI$12),MATCH(I3,$AG$3:$AG$12,0),MATCH(E5,$AH$2:$AI$2,0))</f>
        <v>BUF35</v>
      </c>
      <c r="M12" s="14">
        <f>INDEX(cenník!$C$2:$I$568,MATCH($L12,cenník!$B$2:$B$557,0),MATCH(M$2,cenník!$C$1:$I$1,0))</f>
        <v>897335</v>
      </c>
      <c r="N12" s="14" t="str">
        <f>INDEX(cenník!$C$2:$I$568,MATCH($L12,cenník!$B$2:$B$557,0),MATCH(N$2,cenník!$C$1:$I$1,0))</f>
        <v>ks</v>
      </c>
      <c r="O12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2" s="21">
        <f>INDEX(cenník!$C$2:$I$568,MATCH($L12,cenník!$B$2:$B$557,0),MATCH(P$2,cenník!$C$1:$I$1,0))</f>
        <v>0.62</v>
      </c>
      <c r="Q12" s="21">
        <f t="shared" si="0"/>
        <v>0</v>
      </c>
      <c r="R12" s="22">
        <f t="shared" si="3"/>
        <v>10</v>
      </c>
      <c r="S12" s="21">
        <f t="shared" si="1"/>
        <v>0.55800000000000005</v>
      </c>
      <c r="T12" s="21">
        <f t="shared" si="2"/>
        <v>0</v>
      </c>
      <c r="U12" s="21">
        <f>INDEX(cenník!$C$2:$I$568,MATCH($L12,cenník!$B$2:$B$557,0),MATCH(U$2,cenník!$C$1:$I$1,0))*O12</f>
        <v>0</v>
      </c>
      <c r="W12" s="19">
        <f>(INDEX(($AO$5:$AY$13,$AO$17:$AY$25,$AO$30:$AY$38,$AO$42:$AY$50,$AO$54:$AY$62,$AO$66:$AY$74,$BI$5:$BS$13,$BI$17:$BS$25,$BI$29:$BS$37,$BI$41:$BS$49,$BI$53:$BS$61,$BI$65:$BS$73,$BY$5:$CI$13,$BY$17:$CI$25),MATCH($L$11,$AN$5:$AN$13,0),MATCH(A11,$AO$4:$AY$4,0),MATCH($AG$16,$AL$18:$AL$31,0)))*C11</f>
        <v>0</v>
      </c>
      <c r="X12" s="19">
        <f>(INDEX(($AO$5:$AY$13,$AO$17:$AY$25,$AO$30:$AY$38,$AO$42:$AY$50,$AO$54:$AY$62,$AO$66:$AY$74,$BI$5:$BS$13,$BI$17:$BS$25,$BI$29:$BS$37,$BI$41:$BS$49,$BI$53:$BS$61,$BI$65:$BS$73,$BY$5:$CI$13,$BY$17:$CI$25),MATCH($L$3,$AN$5:$AN$13,0),MATCH(A11,$AO$4:$AY$4,0),MATCH($AG$16,$AL$18:$AL$31,0)))*C11</f>
        <v>0</v>
      </c>
      <c r="Y12" s="19">
        <f>(INDEX(($AO$5:$AY$13,$AO$17:$AY$25,$AO$30:$AY$38,$AO$42:$AY$50,$AO$54:$AY$62,$AO$66:$AY$74,$BI$5:$BS$13,$BI$17:$BS$25,$BI$29:$BS$37,$BI$41:$BS$49,$BI$53:$BS$61,$BI$65:$BS$73,$BY$5:$CI$13,$BY$17:$CI$25),MATCH($L$4,$AN$5:$AN$13,0),MATCH(A11,$AO$4:$AY$4,0),MATCH($AG$16,$AL$18:$AL$31,0)))*C11</f>
        <v>0</v>
      </c>
      <c r="Z12" s="19">
        <f>(INDEX(($AO$5:$AY$13,$AO$17:$AY$25,$AO$30:$AY$38,$AO$42:$AY$50,$AO$54:$AY$62,$AO$66:$AY$74,$BI$5:$BS$13,$BI$17:$BS$25,$BI$29:$BS$37,$BI$41:$BS$49,$BI$53:$BS$61,$BI$65:$BS$73,$BY$5:$CI$13,$BY$17:$CI$25),MATCH($L$5,$AN$5:$AN$13,0),MATCH(A11,$AO$4:$AY$4,0),MATCH($AG$16,$AL$18:$AL$31,0)))*C11</f>
        <v>0</v>
      </c>
      <c r="AA12" s="19">
        <f>(INDEX(($AO$5:$AY$13,$AO$17:$AY$25,$AO$30:$AY$38,$AO$42:$AY$50,$AO$54:$AY$62,$AO$66:$AY$74,$BI$5:$BS$13,$BI$17:$BS$25,$BI$29:$BS$37,$BI$41:$BS$49,$BI$53:$BS$61,$BI$65:$BS$73,$BY$5:$CI$13,$BY$17:$CI$25),MATCH($L$6,$AN$5:$AN$13,0),MATCH(A11,$AO$4:$AY$4,0),MATCH($AG$16,$AL$18:$AL$31,0)))*C11</f>
        <v>0</v>
      </c>
      <c r="AB12" s="19">
        <f>(INDEX(($AO$5:$AY$13,$AO$17:$AY$25,$AO$30:$AY$38,$AO$42:$AY$50,$AO$54:$AY$62,$AO$66:$AY$74,$BI$5:$BS$13,$BI$17:$BS$25,$BI$29:$BS$37,$BI$41:$BS$49,$BI$53:$BS$61,$BI$65:$BS$73,$BY$5:$CI$13,$BY$17:$CI$25),MATCH($L$7,$AN$5:$AN$13,0),MATCH(A11,$AO$4:$AY$4,0),MATCH($AG$16,$AL$18:$AL$31,0)))*C11</f>
        <v>0</v>
      </c>
      <c r="AC12" s="19">
        <f>(INDEX(($AO$5:$AY$13,$AO$17:$AY$25,$AO$30:$AY$38,$AO$42:$AY$50,$AO$54:$AY$62,$AO$66:$AY$74,$BI$5:$BS$13,$BI$17:$BS$25,$BI$29:$BS$37,$BI$41:$BS$49,$BI$53:$BS$61,$BI$65:$BS$73,$BY$5:$CI$13,$BY$17:$CI$25),MATCH($L$8,$AN$5:$AN$13,0),MATCH(A11,$AO$4:$AY$4,0),MATCH($AG$16,$AL$18:$AL$31,0)))*C11</f>
        <v>0</v>
      </c>
      <c r="AD12" s="19">
        <f>(INDEX(($AO$5:$AY$13,$AO$17:$AY$25,$AO$30:$AY$38,$AO$42:$AY$50,$AO$54:$AY$62,$AO$66:$AY$74,$BI$5:$BS$13,$BI$17:$BS$25,$BI$29:$BS$37,$BI$41:$BS$49,$BI$53:$BS$61,$BI$65:$BS$73,$BY$5:$CI$13,$BY$17:$CI$25),MATCH($L$9,$AN$5:$AN$13,0),MATCH(A11,$AO$4:$AY$4,0),MATCH($AG$16,$AL$18:$AL$31,0)))*C11</f>
        <v>0</v>
      </c>
      <c r="AE12" s="19">
        <f>(INDEX(($AO$5:$AY$13,$AO$17:$AY$25,$AO$30:$AY$38,$AO$42:$AY$50,$AO$54:$AY$62,$AO$66:$AY$74,$BI$5:$BS$13,$BI$17:$BS$25,$BI$29:$BS$37,$BI$41:$BS$49,$BI$53:$BS$61,$BI$65:$BS$73,$BY$5:$CI$13,$BY$17:$CI$25),MATCH($L$10,$AN$5:$AN$13,0),MATCH(A11,$AO$4:$AY$4,0),MATCH($AG$16,$AL$18:$AL$31,0)))*C11</f>
        <v>0</v>
      </c>
      <c r="AG12" s="26">
        <v>50</v>
      </c>
      <c r="AH12" s="19" t="s">
        <v>30</v>
      </c>
      <c r="AI12" s="19" t="s">
        <v>31</v>
      </c>
      <c r="AJ12" s="19" t="s">
        <v>83</v>
      </c>
      <c r="AK12" s="19" t="s">
        <v>45</v>
      </c>
      <c r="AN12" s="19" t="s">
        <v>102</v>
      </c>
      <c r="AO12" s="19">
        <v>0</v>
      </c>
      <c r="AP12" s="19">
        <v>0</v>
      </c>
      <c r="AQ12" s="19">
        <v>0</v>
      </c>
      <c r="AR12" s="19">
        <v>0</v>
      </c>
      <c r="AS12" s="19">
        <v>0</v>
      </c>
      <c r="AT12" s="19">
        <v>0</v>
      </c>
      <c r="AU12" s="19">
        <v>0</v>
      </c>
      <c r="AV12" s="19">
        <v>2</v>
      </c>
      <c r="AW12" s="19">
        <v>4</v>
      </c>
      <c r="AX12" s="19">
        <v>4</v>
      </c>
      <c r="AY12" s="19">
        <v>4</v>
      </c>
      <c r="AZ12" s="19"/>
      <c r="BA12" s="19"/>
      <c r="BB12" s="17">
        <v>8</v>
      </c>
      <c r="BC12" s="19"/>
      <c r="BD12" s="19"/>
      <c r="BE12" s="19"/>
      <c r="BF12" s="19"/>
      <c r="BG12" s="19"/>
      <c r="BH12" s="19" t="s">
        <v>102</v>
      </c>
      <c r="BI12" s="19">
        <v>0</v>
      </c>
      <c r="BJ12" s="19">
        <v>0</v>
      </c>
      <c r="BK12" s="19">
        <v>2</v>
      </c>
      <c r="BL12" s="19">
        <v>2</v>
      </c>
      <c r="BM12" s="19">
        <v>2</v>
      </c>
      <c r="BN12" s="19">
        <v>0</v>
      </c>
      <c r="BO12" s="19">
        <v>2</v>
      </c>
      <c r="BP12" s="19">
        <v>0</v>
      </c>
      <c r="BQ12" s="19">
        <v>4</v>
      </c>
      <c r="BR12" s="19">
        <v>0</v>
      </c>
      <c r="BS12" s="19">
        <v>4</v>
      </c>
      <c r="BT12" s="19"/>
      <c r="BU12" s="19"/>
      <c r="BV12" s="19"/>
      <c r="BW12" s="19"/>
      <c r="BX12" s="19" t="s">
        <v>102</v>
      </c>
      <c r="BY12" s="19">
        <v>0</v>
      </c>
      <c r="BZ12" s="19">
        <v>0</v>
      </c>
      <c r="CA12" s="19">
        <v>0</v>
      </c>
      <c r="CB12" s="19">
        <v>0</v>
      </c>
      <c r="CC12" s="19">
        <v>4</v>
      </c>
      <c r="CD12" s="19">
        <v>0</v>
      </c>
      <c r="CE12" s="19">
        <v>0</v>
      </c>
      <c r="CF12" s="19">
        <v>6</v>
      </c>
      <c r="CG12" s="19">
        <v>2</v>
      </c>
      <c r="CH12" s="19">
        <v>2</v>
      </c>
      <c r="CI12" s="19">
        <v>4</v>
      </c>
      <c r="CJ12" s="19"/>
      <c r="CK12" s="19"/>
      <c r="CL12" s="19"/>
      <c r="CM12" s="19"/>
    </row>
    <row r="13" spans="1:91" x14ac:dyDescent="0.25">
      <c r="A13" s="8"/>
      <c r="B13" s="6" t="s">
        <v>61</v>
      </c>
      <c r="C13" s="8"/>
      <c r="D13" s="4"/>
      <c r="E13" s="4"/>
      <c r="F13" s="4"/>
      <c r="G13" s="4"/>
      <c r="H13" s="4"/>
      <c r="I13" s="4"/>
      <c r="J13" s="4"/>
      <c r="K13" s="4"/>
      <c r="L13" s="6" t="str">
        <f>INDEX(($AH$13:$AI$13),1,MATCH(E5,$AH$2:$AI$2,0))</f>
        <v>PUF</v>
      </c>
      <c r="M13" s="14">
        <f>INDEX(cenník!$C$2:$I$568,MATCH($L13,cenník!$B$2:$B$557,0),MATCH(M$2,cenník!$C$1:$I$1,0))</f>
        <v>897300</v>
      </c>
      <c r="N13" s="14" t="str">
        <f>INDEX(cenník!$C$2:$I$568,MATCH($L13,cenník!$B$2:$B$557,0),MATCH(N$2,cenník!$C$1:$I$1,0))</f>
        <v>ks</v>
      </c>
      <c r="O13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3" s="21">
        <f>INDEX(cenník!$C$2:$I$568,MATCH($L13,cenník!$B$2:$B$557,0),MATCH(P$2,cenník!$C$1:$I$1,0))</f>
        <v>0.56999999999999995</v>
      </c>
      <c r="Q13" s="21">
        <f t="shared" si="0"/>
        <v>0</v>
      </c>
      <c r="R13" s="22">
        <f t="shared" si="3"/>
        <v>10</v>
      </c>
      <c r="S13" s="21">
        <f t="shared" si="1"/>
        <v>0.51300000000000001</v>
      </c>
      <c r="T13" s="21">
        <f t="shared" si="2"/>
        <v>0</v>
      </c>
      <c r="U13" s="21">
        <f>INDEX(cenník!$C$2:$I$568,MATCH($L13,cenník!$B$2:$B$557,0),MATCH(U$2,cenník!$C$1:$I$1,0))*O13</f>
        <v>0</v>
      </c>
      <c r="W13" s="19">
        <f>(INDEX(($AO$5:$AY$13,$AO$17:$AY$25,$AO$30:$AY$38,$AO$42:$AY$50,$AO$54:$AY$62,$AO$66:$AY$74,$BI$5:$BS$13,$BI$17:$BS$25,$BI$29:$BS$37,$BI$41:$BS$49,$BI$53:$BS$61,$BI$65:$BS$73,$BY$5:$CI$13,$BY$17:$CI$25),MATCH($L$11,$AN$5:$AN$13,0),MATCH(A12,$AO$4:$AY$4,0),MATCH($AG$16,$AL$18:$AL$31,0)))*C12</f>
        <v>0</v>
      </c>
      <c r="X13" s="19">
        <f>(INDEX(($AO$5:$AY$13,$AO$17:$AY$25,$AO$30:$AY$38,$AO$42:$AY$50,$AO$54:$AY$62,$AO$66:$AY$74,$BI$5:$BS$13,$BI$17:$BS$25,$BI$29:$BS$37,$BI$41:$BS$49,$BI$53:$BS$61,$BI$65:$BS$73,$BY$5:$CI$13,$BY$17:$CI$25),MATCH($L$3,$AN$5:$AN$13,0),MATCH(A12,$AO$4:$AY$4,0),MATCH($AG$16,$AL$18:$AL$31,0)))*C12</f>
        <v>0</v>
      </c>
      <c r="Y13" s="19">
        <f>(INDEX(($AO$5:$AY$13,$AO$17:$AY$25,$AO$30:$AY$38,$AO$42:$AY$50,$AO$54:$AY$62,$AO$66:$AY$74,$BI$5:$BS$13,$BI$17:$BS$25,$BI$29:$BS$37,$BI$41:$BS$49,$BI$53:$BS$61,$BI$65:$BS$73,$BY$5:$CI$13,$BY$17:$CI$25),MATCH($L$4,$AN$5:$AN$13,0),MATCH(A12,$AO$4:$AY$4,0),MATCH($AG$16,$AL$18:$AL$31,0)))*C12</f>
        <v>0</v>
      </c>
      <c r="Z13" s="19">
        <f>(INDEX(($AO$5:$AY$13,$AO$17:$AY$25,$AO$30:$AY$38,$AO$42:$AY$50,$AO$54:$AY$62,$AO$66:$AY$74,$BI$5:$BS$13,$BI$17:$BS$25,$BI$29:$BS$37,$BI$41:$BS$49,$BI$53:$BS$61,$BI$65:$BS$73,$BY$5:$CI$13,$BY$17:$CI$25),MATCH($L$5,$AN$5:$AN$13,0),MATCH(A12,$AO$4:$AY$4,0),MATCH($AG$16,$AL$18:$AL$31,0)))*C12</f>
        <v>0</v>
      </c>
      <c r="AA13" s="19">
        <f>(INDEX(($AO$5:$AY$13,$AO$17:$AY$25,$AO$30:$AY$38,$AO$42:$AY$50,$AO$54:$AY$62,$AO$66:$AY$74,$BI$5:$BS$13,$BI$17:$BS$25,$BI$29:$BS$37,$BI$41:$BS$49,$BI$53:$BS$61,$BI$65:$BS$73,$BY$5:$CI$13,$BY$17:$CI$25),MATCH($L$6,$AN$5:$AN$13,0),MATCH(A12,$AO$4:$AY$4,0),MATCH($AG$16,$AL$18:$AL$31,0)))*C12</f>
        <v>0</v>
      </c>
      <c r="AB13" s="19">
        <f>(INDEX(($AO$5:$AY$13,$AO$17:$AY$25,$AO$30:$AY$38,$AO$42:$AY$50,$AO$54:$AY$62,$AO$66:$AY$74,$BI$5:$BS$13,$BI$17:$BS$25,$BI$29:$BS$37,$BI$41:$BS$49,$BI$53:$BS$61,$BI$65:$BS$73,$BY$5:$CI$13,$BY$17:$CI$25),MATCH($L$7,$AN$5:$AN$13,0),MATCH(A12,$AO$4:$AY$4,0),MATCH($AG$16,$AL$18:$AL$31,0)))*C12</f>
        <v>0</v>
      </c>
      <c r="AC13" s="19">
        <f>(INDEX(($AO$5:$AY$13,$AO$17:$AY$25,$AO$30:$AY$38,$AO$42:$AY$50,$AO$54:$AY$62,$AO$66:$AY$74,$BI$5:$BS$13,$BI$17:$BS$25,$BI$29:$BS$37,$BI$41:$BS$49,$BI$53:$BS$61,$BI$65:$BS$73,$BY$5:$CI$13,$BY$17:$CI$25),MATCH($L$8,$AN$5:$AN$13,0),MATCH(A12,$AO$4:$AY$4,0),MATCH($AG$16,$AL$18:$AL$31,0)))*C12</f>
        <v>0</v>
      </c>
      <c r="AD13" s="19">
        <f>(INDEX(($AO$5:$AY$13,$AO$17:$AY$25,$AO$30:$AY$38,$AO$42:$AY$50,$AO$54:$AY$62,$AO$66:$AY$74,$BI$5:$BS$13,$BI$17:$BS$25,$BI$29:$BS$37,$BI$41:$BS$49,$BI$53:$BS$61,$BI$65:$BS$73,$BY$5:$CI$13,$BY$17:$CI$25),MATCH($L$9,$AN$5:$AN$13,0),MATCH(A12,$AO$4:$AY$4,0),MATCH($AG$16,$AL$18:$AL$31,0)))*C12</f>
        <v>0</v>
      </c>
      <c r="AE13" s="19">
        <f>(INDEX(($AO$5:$AY$13,$AO$17:$AY$25,$AO$30:$AY$38,$AO$42:$AY$50,$AO$54:$AY$62,$AO$66:$AY$74,$BI$5:$BS$13,$BI$17:$BS$25,$BI$29:$BS$37,$BI$41:$BS$49,$BI$53:$BS$61,$BI$65:$BS$73,$BY$5:$CI$13,$BY$17:$CI$25),MATCH($L$10,$AN$5:$AN$13,0),MATCH(A12,$AO$4:$AY$4,0),MATCH($AG$16,$AL$18:$AL$31,0)))*C12</f>
        <v>0</v>
      </c>
      <c r="AG13" s="26"/>
      <c r="AH13" s="19" t="s">
        <v>12</v>
      </c>
      <c r="AI13" s="19" t="s">
        <v>47</v>
      </c>
      <c r="AJ13" s="19"/>
      <c r="AK13" s="19"/>
      <c r="AN13" s="19" t="s">
        <v>10</v>
      </c>
      <c r="AO13" s="19">
        <v>0</v>
      </c>
      <c r="AP13" s="19">
        <v>0</v>
      </c>
      <c r="AQ13" s="19">
        <v>0</v>
      </c>
      <c r="AR13" s="19">
        <v>0</v>
      </c>
      <c r="AS13" s="19">
        <v>2</v>
      </c>
      <c r="AT13" s="19">
        <v>2</v>
      </c>
      <c r="AU13" s="19">
        <v>2</v>
      </c>
      <c r="AV13" s="19">
        <v>2</v>
      </c>
      <c r="AW13" s="19">
        <v>4</v>
      </c>
      <c r="AX13" s="19">
        <v>4</v>
      </c>
      <c r="AY13" s="19">
        <v>4</v>
      </c>
      <c r="AZ13" s="19"/>
      <c r="BA13" s="19"/>
      <c r="BB13" s="17">
        <v>9</v>
      </c>
      <c r="BC13" s="19"/>
      <c r="BD13" s="19"/>
      <c r="BE13" s="19"/>
      <c r="BF13" s="19"/>
      <c r="BG13" s="19"/>
      <c r="BH13" s="19" t="s">
        <v>10</v>
      </c>
      <c r="BI13" s="19">
        <v>0</v>
      </c>
      <c r="BJ13" s="19">
        <v>0</v>
      </c>
      <c r="BK13" s="19">
        <v>0</v>
      </c>
      <c r="BL13" s="19">
        <v>2</v>
      </c>
      <c r="BM13" s="19">
        <v>2</v>
      </c>
      <c r="BN13" s="19">
        <v>4</v>
      </c>
      <c r="BO13" s="19">
        <v>4</v>
      </c>
      <c r="BP13" s="19">
        <v>6</v>
      </c>
      <c r="BQ13" s="19">
        <v>6</v>
      </c>
      <c r="BR13" s="19">
        <v>8</v>
      </c>
      <c r="BS13" s="19">
        <v>8</v>
      </c>
      <c r="BT13" s="19"/>
      <c r="BU13" s="19"/>
      <c r="BV13" s="19"/>
      <c r="BW13" s="19"/>
      <c r="BX13" s="19" t="s">
        <v>10</v>
      </c>
      <c r="BY13" s="19">
        <v>0</v>
      </c>
      <c r="BZ13" s="19">
        <v>0</v>
      </c>
      <c r="CA13" s="19">
        <v>2</v>
      </c>
      <c r="CB13" s="19">
        <v>2</v>
      </c>
      <c r="CC13" s="19">
        <v>4</v>
      </c>
      <c r="CD13" s="19">
        <v>4</v>
      </c>
      <c r="CE13" s="19">
        <v>6</v>
      </c>
      <c r="CF13" s="19">
        <v>6</v>
      </c>
      <c r="CG13" s="19">
        <v>8</v>
      </c>
      <c r="CH13" s="19">
        <v>10</v>
      </c>
      <c r="CI13" s="19">
        <v>10</v>
      </c>
      <c r="CJ13" s="19"/>
      <c r="CK13" s="19"/>
      <c r="CL13" s="19"/>
      <c r="CM13" s="19"/>
    </row>
    <row r="14" spans="1:91" x14ac:dyDescent="0.25">
      <c r="A14" s="8"/>
      <c r="B14" s="6" t="s">
        <v>61</v>
      </c>
      <c r="C14" s="8"/>
      <c r="D14" s="4"/>
      <c r="E14" s="4"/>
      <c r="F14" s="4"/>
      <c r="G14" s="4"/>
      <c r="H14" s="4"/>
      <c r="I14" s="4"/>
      <c r="J14" s="4"/>
      <c r="K14" s="4"/>
      <c r="L14" s="6" t="str">
        <f>INDEX(($AJ$3:$AJ$12),MATCH(I3,$AG$3:$AG$12,0),1)</f>
        <v>SAM8X30E</v>
      </c>
      <c r="M14" s="14">
        <f>INDEX(cenník!$C$2:$I$568,MATCH($L14,cenník!$B$2:$B$557,0),MATCH(M$2,cenník!$C$1:$I$1,0))</f>
        <v>898530</v>
      </c>
      <c r="N14" s="14" t="str">
        <f>INDEX(cenník!$C$2:$I$568,MATCH($L14,cenník!$B$2:$B$557,0),MATCH(N$2,cenník!$C$1:$I$1,0))</f>
        <v>ks</v>
      </c>
      <c r="O14" s="14">
        <f>SUM(O12:O13)</f>
        <v>0</v>
      </c>
      <c r="P14" s="21">
        <f>INDEX(cenník!$C$2:$I$568,MATCH($L14,cenník!$B$2:$B$557,0),MATCH(P$2,cenník!$C$1:$I$1,0))</f>
        <v>0.18</v>
      </c>
      <c r="Q14" s="21">
        <f t="shared" si="0"/>
        <v>0</v>
      </c>
      <c r="R14" s="22">
        <f t="shared" si="3"/>
        <v>10</v>
      </c>
      <c r="S14" s="21">
        <f t="shared" si="1"/>
        <v>0.16200000000000001</v>
      </c>
      <c r="T14" s="21">
        <f t="shared" si="2"/>
        <v>0</v>
      </c>
      <c r="U14" s="21">
        <f>INDEX(cenník!$C$2:$I$568,MATCH($L14,cenník!$B$2:$B$557,0),MATCH(U$2,cenník!$C$1:$I$1,0))*O14</f>
        <v>0</v>
      </c>
      <c r="W14" s="19">
        <f>(INDEX(($AO$5:$AY$13,$AO$17:$AY$25,$AO$30:$AY$38,$AO$42:$AY$50,$AO$54:$AY$62,$AO$66:$AY$74,$BI$5:$BS$13,$BI$17:$BS$25,$BI$29:$BS$37,$BI$41:$BS$49,$BI$53:$BS$61,$BI$65:$BS$73,$BY$5:$CI$13,$BY$17:$CI$25),MATCH($L$11,$AN$5:$AN$13,0),MATCH(A13,$AO$4:$AY$4,0),MATCH($AG$16,$AL$18:$AL$31,0)))*C13</f>
        <v>0</v>
      </c>
      <c r="X14" s="19">
        <f>(INDEX(($AO$5:$AY$13,$AO$17:$AY$25,$AO$30:$AY$38,$AO$42:$AY$50,$AO$54:$AY$62,$AO$66:$AY$74,$BI$5:$BS$13,$BI$17:$BS$25,$BI$29:$BS$37,$BI$41:$BS$49,$BI$53:$BS$61,$BI$65:$BS$73,$BY$5:$CI$13,$BY$17:$CI$25),MATCH($L$3,$AN$5:$AN$13,0),MATCH(A13,$AO$4:$AY$4,0),MATCH($AG$16,$AL$18:$AL$31,0)))*C13</f>
        <v>0</v>
      </c>
      <c r="Y14" s="19">
        <f>(INDEX(($AO$5:$AY$13,$AO$17:$AY$25,$AO$30:$AY$38,$AO$42:$AY$50,$AO$54:$AY$62,$AO$66:$AY$74,$BI$5:$BS$13,$BI$17:$BS$25,$BI$29:$BS$37,$BI$41:$BS$49,$BI$53:$BS$61,$BI$65:$BS$73,$BY$5:$CI$13,$BY$17:$CI$25),MATCH($L$4,$AN$5:$AN$13,0),MATCH(A13,$AO$4:$AY$4,0),MATCH($AG$16,$AL$18:$AL$31,0)))*C13</f>
        <v>0</v>
      </c>
      <c r="Z14" s="19">
        <f>(INDEX(($AO$5:$AY$13,$AO$17:$AY$25,$AO$30:$AY$38,$AO$42:$AY$50,$AO$54:$AY$62,$AO$66:$AY$74,$BI$5:$BS$13,$BI$17:$BS$25,$BI$29:$BS$37,$BI$41:$BS$49,$BI$53:$BS$61,$BI$65:$BS$73,$BY$5:$CI$13,$BY$17:$CI$25),MATCH($L$5,$AN$5:$AN$13,0),MATCH(A13,$AO$4:$AY$4,0),MATCH($AG$16,$AL$18:$AL$31,0)))*C13</f>
        <v>0</v>
      </c>
      <c r="AA14" s="19">
        <f>(INDEX(($AO$5:$AY$13,$AO$17:$AY$25,$AO$30:$AY$38,$AO$42:$AY$50,$AO$54:$AY$62,$AO$66:$AY$74,$BI$5:$BS$13,$BI$17:$BS$25,$BI$29:$BS$37,$BI$41:$BS$49,$BI$53:$BS$61,$BI$65:$BS$73,$BY$5:$CI$13,$BY$17:$CI$25),MATCH($L$6,$AN$5:$AN$13,0),MATCH(A13,$AO$4:$AY$4,0),MATCH($AG$16,$AL$18:$AL$31,0)))*C13</f>
        <v>0</v>
      </c>
      <c r="AB14" s="19">
        <f>(INDEX(($AO$5:$AY$13,$AO$17:$AY$25,$AO$30:$AY$38,$AO$42:$AY$50,$AO$54:$AY$62,$AO$66:$AY$74,$BI$5:$BS$13,$BI$17:$BS$25,$BI$29:$BS$37,$BI$41:$BS$49,$BI$53:$BS$61,$BI$65:$BS$73,$BY$5:$CI$13,$BY$17:$CI$25),MATCH($L$7,$AN$5:$AN$13,0),MATCH(A13,$AO$4:$AY$4,0),MATCH($AG$16,$AL$18:$AL$31,0)))*C13</f>
        <v>0</v>
      </c>
      <c r="AC14" s="19">
        <f>(INDEX(($AO$5:$AY$13,$AO$17:$AY$25,$AO$30:$AY$38,$AO$42:$AY$50,$AO$54:$AY$62,$AO$66:$AY$74,$BI$5:$BS$13,$BI$17:$BS$25,$BI$29:$BS$37,$BI$41:$BS$49,$BI$53:$BS$61,$BI$65:$BS$73,$BY$5:$CI$13,$BY$17:$CI$25),MATCH($L$8,$AN$5:$AN$13,0),MATCH(A13,$AO$4:$AY$4,0),MATCH($AG$16,$AL$18:$AL$31,0)))*C13</f>
        <v>0</v>
      </c>
      <c r="AD14" s="19">
        <f>(INDEX(($AO$5:$AY$13,$AO$17:$AY$25,$AO$30:$AY$38,$AO$42:$AY$50,$AO$54:$AY$62,$AO$66:$AY$74,$BI$5:$BS$13,$BI$17:$BS$25,$BI$29:$BS$37,$BI$41:$BS$49,$BI$53:$BS$61,$BI$65:$BS$73,$BY$5:$CI$13,$BY$17:$CI$25),MATCH($L$9,$AN$5:$AN$13,0),MATCH(A13,$AO$4:$AY$4,0),MATCH($AG$16,$AL$18:$AL$31,0)))*C13</f>
        <v>0</v>
      </c>
      <c r="AE14" s="19">
        <f>(INDEX(($AO$5:$AY$13,$AO$17:$AY$25,$AO$30:$AY$38,$AO$42:$AY$50,$AO$54:$AY$62,$AO$66:$AY$74,$BI$5:$BS$13,$BI$17:$BS$25,$BI$29:$BS$37,$BI$41:$BS$49,$BI$53:$BS$61,$BI$65:$BS$73,$BY$5:$CI$13,$BY$17:$CI$25),MATCH($L$10,$AN$5:$AN$13,0),MATCH(A13,$AO$4:$AY$4,0),MATCH($AG$16,$AL$18:$AL$31,0)))*C13</f>
        <v>0</v>
      </c>
      <c r="AN14" s="19"/>
      <c r="AO14" s="19"/>
      <c r="AP14" s="19"/>
      <c r="AQ14" s="19"/>
      <c r="AR14" s="19"/>
      <c r="AS14" s="19"/>
      <c r="AT14" s="19"/>
      <c r="AU14" s="19"/>
      <c r="AV14" s="19"/>
      <c r="AW14" s="19"/>
      <c r="AX14" s="19"/>
      <c r="AY14" s="19"/>
      <c r="AZ14" s="19"/>
      <c r="BA14" s="19"/>
      <c r="BB14" s="17">
        <v>10</v>
      </c>
      <c r="BC14" s="19"/>
      <c r="BD14" s="19"/>
      <c r="BE14" s="19"/>
      <c r="BF14" s="19"/>
      <c r="BG14" s="19"/>
      <c r="BT14" s="19"/>
      <c r="BU14" s="19"/>
      <c r="BV14" s="19"/>
      <c r="BW14" s="19"/>
      <c r="CJ14" s="19"/>
      <c r="CK14" s="19"/>
      <c r="CL14" s="19"/>
      <c r="CM14" s="19"/>
    </row>
    <row r="15" spans="1:91" x14ac:dyDescent="0.25">
      <c r="A15" s="8"/>
      <c r="B15" s="6" t="s">
        <v>61</v>
      </c>
      <c r="C15" s="8"/>
      <c r="D15" s="4"/>
      <c r="E15" s="4"/>
      <c r="F15" s="4"/>
      <c r="G15" s="4"/>
      <c r="H15" s="4"/>
      <c r="I15" s="4"/>
      <c r="J15" s="4"/>
      <c r="K15" s="4"/>
      <c r="L15" s="6" t="s">
        <v>244</v>
      </c>
      <c r="M15" s="14">
        <f>INDEX(cenník!$C$2:$I$568,MATCH($L15,cenník!$B$2:$B$557,0),MATCH(M$2,cenník!$C$1:$I$1,0))</f>
        <v>166794</v>
      </c>
      <c r="N15" s="14" t="str">
        <f>INDEX(cenník!$C$2:$I$568,MATCH($L15,cenník!$B$2:$B$557,0),MATCH(N$2,cenník!$C$1:$I$1,0))</f>
        <v>100ks</v>
      </c>
      <c r="O15" s="14">
        <f>ROUNDUP(O14/100,0)</f>
        <v>0</v>
      </c>
      <c r="P15" s="21">
        <f>INDEX(cenník!$C$2:$I$568,MATCH($L15,cenník!$B$2:$B$557,0),MATCH(P$2,cenník!$C$1:$I$1,0))</f>
        <v>1.38</v>
      </c>
      <c r="Q15" s="21">
        <f t="shared" si="0"/>
        <v>0</v>
      </c>
      <c r="R15" s="22">
        <f t="shared" si="3"/>
        <v>10</v>
      </c>
      <c r="S15" s="21">
        <f t="shared" si="1"/>
        <v>1.242</v>
      </c>
      <c r="T15" s="21">
        <f t="shared" si="2"/>
        <v>0</v>
      </c>
      <c r="U15" s="21">
        <f>INDEX(cenník!$C$2:$I$568,MATCH($L15,cenník!$B$2:$B$557,0),MATCH(U$2,cenník!$C$1:$I$1,0))*O15</f>
        <v>0</v>
      </c>
      <c r="W15" s="19">
        <f>(INDEX(($AO$5:$AY$13,$AO$17:$AY$25,$AO$30:$AY$38,$AO$42:$AY$50,$AO$54:$AY$62,$AO$66:$AY$74,$BI$5:$BS$13,$BI$17:$BS$25,$BI$29:$BS$37,$BI$41:$BS$49,$BI$53:$BS$61,$BI$65:$BS$73,$BY$5:$CI$13,$BY$17:$CI$25),MATCH($L$11,$AN$5:$AN$13,0),MATCH(A14,$AO$4:$AY$4,0),MATCH($AG$16,$AL$18:$AL$31,0)))*C14</f>
        <v>0</v>
      </c>
      <c r="X15" s="19">
        <f>(INDEX(($AO$5:$AY$13,$AO$17:$AY$25,$AO$30:$AY$38,$AO$42:$AY$50,$AO$54:$AY$62,$AO$66:$AY$74,$BI$5:$BS$13,$BI$17:$BS$25,$BI$29:$BS$37,$BI$41:$BS$49,$BI$53:$BS$61,$BI$65:$BS$73,$BY$5:$CI$13,$BY$17:$CI$25),MATCH($L$3,$AN$5:$AN$13,0),MATCH(A14,$AO$4:$AY$4,0),MATCH($AG$16,$AL$18:$AL$31,0)))*C14</f>
        <v>0</v>
      </c>
      <c r="Y15" s="19">
        <f>(INDEX(($AO$5:$AY$13,$AO$17:$AY$25,$AO$30:$AY$38,$AO$42:$AY$50,$AO$54:$AY$62,$AO$66:$AY$74,$BI$5:$BS$13,$BI$17:$BS$25,$BI$29:$BS$37,$BI$41:$BS$49,$BI$53:$BS$61,$BI$65:$BS$73,$BY$5:$CI$13,$BY$17:$CI$25),MATCH($L$4,$AN$5:$AN$13,0),MATCH(A14,$AO$4:$AY$4,0),MATCH($AG$16,$AL$18:$AL$31,0)))*C14</f>
        <v>0</v>
      </c>
      <c r="Z15" s="19">
        <f>(INDEX(($AO$5:$AY$13,$AO$17:$AY$25,$AO$30:$AY$38,$AO$42:$AY$50,$AO$54:$AY$62,$AO$66:$AY$74,$BI$5:$BS$13,$BI$17:$BS$25,$BI$29:$BS$37,$BI$41:$BS$49,$BI$53:$BS$61,$BI$65:$BS$73,$BY$5:$CI$13,$BY$17:$CI$25),MATCH($L$5,$AN$5:$AN$13,0),MATCH(A14,$AO$4:$AY$4,0),MATCH($AG$16,$AL$18:$AL$31,0)))*C14</f>
        <v>0</v>
      </c>
      <c r="AA15" s="19">
        <f>(INDEX(($AO$5:$AY$13,$AO$17:$AY$25,$AO$30:$AY$38,$AO$42:$AY$50,$AO$54:$AY$62,$AO$66:$AY$74,$BI$5:$BS$13,$BI$17:$BS$25,$BI$29:$BS$37,$BI$41:$BS$49,$BI$53:$BS$61,$BI$65:$BS$73,$BY$5:$CI$13,$BY$17:$CI$25),MATCH($L$6,$AN$5:$AN$13,0),MATCH(A14,$AO$4:$AY$4,0),MATCH($AG$16,$AL$18:$AL$31,0)))*C14</f>
        <v>0</v>
      </c>
      <c r="AB15" s="19">
        <f>(INDEX(($AO$5:$AY$13,$AO$17:$AY$25,$AO$30:$AY$38,$AO$42:$AY$50,$AO$54:$AY$62,$AO$66:$AY$74,$BI$5:$BS$13,$BI$17:$BS$25,$BI$29:$BS$37,$BI$41:$BS$49,$BI$53:$BS$61,$BI$65:$BS$73,$BY$5:$CI$13,$BY$17:$CI$25),MATCH($L$7,$AN$5:$AN$13,0),MATCH(A14,$AO$4:$AY$4,0),MATCH($AG$16,$AL$18:$AL$31,0)))*C14</f>
        <v>0</v>
      </c>
      <c r="AC15" s="19">
        <f>(INDEX(($AO$5:$AY$13,$AO$17:$AY$25,$AO$30:$AY$38,$AO$42:$AY$50,$AO$54:$AY$62,$AO$66:$AY$74,$BI$5:$BS$13,$BI$17:$BS$25,$BI$29:$BS$37,$BI$41:$BS$49,$BI$53:$BS$61,$BI$65:$BS$73,$BY$5:$CI$13,$BY$17:$CI$25),MATCH($L$8,$AN$5:$AN$13,0),MATCH(A14,$AO$4:$AY$4,0),MATCH($AG$16,$AL$18:$AL$31,0)))*C14</f>
        <v>0</v>
      </c>
      <c r="AD15" s="19">
        <f>(INDEX(($AO$5:$AY$13,$AO$17:$AY$25,$AO$30:$AY$38,$AO$42:$AY$50,$AO$54:$AY$62,$AO$66:$AY$74,$BI$5:$BS$13,$BI$17:$BS$25,$BI$29:$BS$37,$BI$41:$BS$49,$BI$53:$BS$61,$BI$65:$BS$73,$BY$5:$CI$13,$BY$17:$CI$25),MATCH($L$9,$AN$5:$AN$13,0),MATCH(A14,$AO$4:$AY$4,0),MATCH($AG$16,$AL$18:$AL$31,0)))*C14</f>
        <v>0</v>
      </c>
      <c r="AE15" s="19">
        <f>(INDEX(($AO$5:$AY$13,$AO$17:$AY$25,$AO$30:$AY$38,$AO$42:$AY$50,$AO$54:$AY$62,$AO$66:$AY$74,$BI$5:$BS$13,$BI$17:$BS$25,$BI$29:$BS$37,$BI$41:$BS$49,$BI$53:$BS$61,$BI$65:$BS$73,$BY$5:$CI$13,$BY$17:$CI$25),MATCH($L$10,$AN$5:$AN$13,0),MATCH(A14,$AO$4:$AY$4,0),MATCH($AG$16,$AL$18:$AL$31,0)))*C14</f>
        <v>0</v>
      </c>
      <c r="AN15" s="19" t="s">
        <v>60</v>
      </c>
      <c r="AO15" s="19"/>
      <c r="AP15" s="19"/>
      <c r="AQ15" s="19"/>
      <c r="AR15" s="19"/>
      <c r="AS15" s="19"/>
      <c r="AT15" s="19"/>
      <c r="AU15" s="19"/>
      <c r="AV15" s="19"/>
      <c r="AW15" s="19"/>
      <c r="AX15" s="19"/>
      <c r="AY15" s="19"/>
      <c r="AZ15" s="19"/>
      <c r="BA15" s="19"/>
      <c r="BB15" s="17"/>
      <c r="BC15" s="19"/>
      <c r="BD15" s="19"/>
      <c r="BE15" s="19"/>
      <c r="BF15" s="19"/>
      <c r="BG15" s="19"/>
      <c r="BH15" s="19" t="s">
        <v>195</v>
      </c>
      <c r="BI15" s="19"/>
      <c r="BJ15" s="19"/>
      <c r="BK15" s="19"/>
      <c r="BL15" s="19"/>
      <c r="BM15" s="19"/>
      <c r="BN15" s="19"/>
      <c r="BO15" s="19"/>
      <c r="BP15" s="19"/>
      <c r="BQ15" s="19"/>
      <c r="BR15" s="19"/>
      <c r="BS15" s="19"/>
      <c r="BT15" s="19"/>
      <c r="BU15" s="19"/>
      <c r="BV15" s="19"/>
      <c r="BW15" s="19"/>
      <c r="BX15" s="19" t="s">
        <v>72</v>
      </c>
      <c r="BY15" s="19"/>
      <c r="BZ15" s="19"/>
      <c r="CA15" s="19"/>
      <c r="CB15" s="19"/>
      <c r="CC15" s="19"/>
      <c r="CD15" s="19"/>
      <c r="CE15" s="19"/>
      <c r="CF15" s="19"/>
      <c r="CG15" s="19"/>
      <c r="CH15" s="19"/>
      <c r="CI15" s="19"/>
      <c r="CJ15" s="19"/>
      <c r="CK15" s="19"/>
      <c r="CL15" s="19"/>
      <c r="CM15" s="19"/>
    </row>
    <row r="16" spans="1:91" x14ac:dyDescent="0.25">
      <c r="A16" s="8"/>
      <c r="B16" s="6" t="s">
        <v>61</v>
      </c>
      <c r="C16" s="8"/>
      <c r="F16" s="4"/>
      <c r="G16" s="4"/>
      <c r="H16" s="4"/>
      <c r="I16" s="4"/>
      <c r="J16" s="4"/>
      <c r="K16" s="4"/>
      <c r="L16" s="15" t="s">
        <v>129</v>
      </c>
      <c r="M16" s="14">
        <f>INDEX(cenník!$C$2:$I$568,MATCH($L16,cenník!$B$2:$B$557,0),MATCH(M$2,cenník!$C$1:$I$1,0))</f>
        <v>890101</v>
      </c>
      <c r="N16" s="14" t="str">
        <f>INDEX(cenník!$C$2:$I$568,MATCH($L16,cenník!$B$2:$B$557,0),MATCH(N$2,cenník!$C$1:$I$1,0))</f>
        <v>ks</v>
      </c>
      <c r="O16" s="14">
        <f>O14</f>
        <v>0</v>
      </c>
      <c r="P16" s="21">
        <f>INDEX(cenník!$C$2:$I$568,MATCH($L16,cenník!$B$2:$B$557,0),MATCH(P$2,cenník!$C$1:$I$1,0))</f>
        <v>0.78</v>
      </c>
      <c r="Q16" s="21">
        <f t="shared" si="0"/>
        <v>0</v>
      </c>
      <c r="R16" s="22">
        <f t="shared" si="3"/>
        <v>10</v>
      </c>
      <c r="S16" s="21">
        <f t="shared" si="1"/>
        <v>0.70200000000000007</v>
      </c>
      <c r="T16" s="21">
        <f t="shared" si="2"/>
        <v>0</v>
      </c>
      <c r="U16" s="21">
        <f>INDEX(cenník!$C$2:$I$568,MATCH($L16,cenník!$B$2:$B$557,0),MATCH(U$2,cenník!$C$1:$I$1,0))*O16</f>
        <v>0</v>
      </c>
      <c r="W16" s="19">
        <f>(INDEX(($AO$5:$AY$13,$AO$17:$AY$25,$AO$30:$AY$38,$AO$42:$AY$50,$AO$54:$AY$62,$AO$66:$AY$74,$BI$5:$BS$13,$BI$17:$BS$25,$BI$29:$BS$37,$BI$41:$BS$49,$BI$53:$BS$61,$BI$65:$BS$73,$BY$5:$CI$13,$BY$17:$CI$25),MATCH($L$11,$AN$5:$AN$13,0),MATCH(A15,$AO$4:$AY$4,0),MATCH($AG$16,$AL$18:$AL$31,0)))*C15</f>
        <v>0</v>
      </c>
      <c r="X16" s="19">
        <f>(INDEX(($AO$5:$AY$13,$AO$17:$AY$25,$AO$30:$AY$38,$AO$42:$AY$50,$AO$54:$AY$62,$AO$66:$AY$74,$BI$5:$BS$13,$BI$17:$BS$25,$BI$29:$BS$37,$BI$41:$BS$49,$BI$53:$BS$61,$BI$65:$BS$73,$BY$5:$CI$13,$BY$17:$CI$25),MATCH($L$3,$AN$5:$AN$13,0),MATCH(A15,$AO$4:$AY$4,0),MATCH($AG$16,$AL$18:$AL$31,0)))*C15</f>
        <v>0</v>
      </c>
      <c r="Y16" s="19">
        <f>(INDEX(($AO$5:$AY$13,$AO$17:$AY$25,$AO$30:$AY$38,$AO$42:$AY$50,$AO$54:$AY$62,$AO$66:$AY$74,$BI$5:$BS$13,$BI$17:$BS$25,$BI$29:$BS$37,$BI$41:$BS$49,$BI$53:$BS$61,$BI$65:$BS$73,$BY$5:$CI$13,$BY$17:$CI$25),MATCH($L$4,$AN$5:$AN$13,0),MATCH(A15,$AO$4:$AY$4,0),MATCH($AG$16,$AL$18:$AL$31,0)))*C15</f>
        <v>0</v>
      </c>
      <c r="Z16" s="19">
        <f>(INDEX(($AO$5:$AY$13,$AO$17:$AY$25,$AO$30:$AY$38,$AO$42:$AY$50,$AO$54:$AY$62,$AO$66:$AY$74,$BI$5:$BS$13,$BI$17:$BS$25,$BI$29:$BS$37,$BI$41:$BS$49,$BI$53:$BS$61,$BI$65:$BS$73,$BY$5:$CI$13,$BY$17:$CI$25),MATCH($L$5,$AN$5:$AN$13,0),MATCH(A15,$AO$4:$AY$4,0),MATCH($AG$16,$AL$18:$AL$31,0)))*C15</f>
        <v>0</v>
      </c>
      <c r="AA16" s="19">
        <f>(INDEX(($AO$5:$AY$13,$AO$17:$AY$25,$AO$30:$AY$38,$AO$42:$AY$50,$AO$54:$AY$62,$AO$66:$AY$74,$BI$5:$BS$13,$BI$17:$BS$25,$BI$29:$BS$37,$BI$41:$BS$49,$BI$53:$BS$61,$BI$65:$BS$73,$BY$5:$CI$13,$BY$17:$CI$25),MATCH($L$6,$AN$5:$AN$13,0),MATCH(A15,$AO$4:$AY$4,0),MATCH($AG$16,$AL$18:$AL$31,0)))*C15</f>
        <v>0</v>
      </c>
      <c r="AB16" s="19">
        <f>(INDEX(($AO$5:$AY$13,$AO$17:$AY$25,$AO$30:$AY$38,$AO$42:$AY$50,$AO$54:$AY$62,$AO$66:$AY$74,$BI$5:$BS$13,$BI$17:$BS$25,$BI$29:$BS$37,$BI$41:$BS$49,$BI$53:$BS$61,$BI$65:$BS$73,$BY$5:$CI$13,$BY$17:$CI$25),MATCH($L$7,$AN$5:$AN$13,0),MATCH(A15,$AO$4:$AY$4,0),MATCH($AG$16,$AL$18:$AL$31,0)))*C15</f>
        <v>0</v>
      </c>
      <c r="AC16" s="19">
        <f>(INDEX(($AO$5:$AY$13,$AO$17:$AY$25,$AO$30:$AY$38,$AO$42:$AY$50,$AO$54:$AY$62,$AO$66:$AY$74,$BI$5:$BS$13,$BI$17:$BS$25,$BI$29:$BS$37,$BI$41:$BS$49,$BI$53:$BS$61,$BI$65:$BS$73,$BY$5:$CI$13,$BY$17:$CI$25),MATCH($L$8,$AN$5:$AN$13,0),MATCH(A15,$AO$4:$AY$4,0),MATCH($AG$16,$AL$18:$AL$31,0)))*C15</f>
        <v>0</v>
      </c>
      <c r="AD16" s="19">
        <f>(INDEX(($AO$5:$AY$13,$AO$17:$AY$25,$AO$30:$AY$38,$AO$42:$AY$50,$AO$54:$AY$62,$AO$66:$AY$74,$BI$5:$BS$13,$BI$17:$BS$25,$BI$29:$BS$37,$BI$41:$BS$49,$BI$53:$BS$61,$BI$65:$BS$73,$BY$5:$CI$13,$BY$17:$CI$25),MATCH($L$9,$AN$5:$AN$13,0),MATCH(A15,$AO$4:$AY$4,0),MATCH($AG$16,$AL$18:$AL$31,0)))*C15</f>
        <v>0</v>
      </c>
      <c r="AE16" s="19">
        <f>(INDEX(($AO$5:$AY$13,$AO$17:$AY$25,$AO$30:$AY$38,$AO$42:$AY$50,$AO$54:$AY$62,$AO$66:$AY$74,$BI$5:$BS$13,$BI$17:$BS$25,$BI$29:$BS$37,$BI$41:$BS$49,$BI$53:$BS$61,$BI$65:$BS$73,$BY$5:$CI$13,$BY$17:$CI$25),MATCH($L$10,$AN$5:$AN$13,0),MATCH(A15,$AO$4:$AY$4,0),MATCH($AG$16,$AL$18:$AL$31,0)))*C15</f>
        <v>0</v>
      </c>
      <c r="AG16" s="20" t="str">
        <f>IF(E4="vertikálne",G3,IF(E4="horizontálne",E3,0))</f>
        <v>1000-1050</v>
      </c>
      <c r="AN16" s="19"/>
      <c r="AO16" s="19">
        <v>0</v>
      </c>
      <c r="AP16" s="19">
        <v>1</v>
      </c>
      <c r="AQ16" s="19">
        <v>2</v>
      </c>
      <c r="AR16" s="19">
        <v>3</v>
      </c>
      <c r="AS16" s="19">
        <v>4</v>
      </c>
      <c r="AT16" s="19">
        <v>5</v>
      </c>
      <c r="AU16" s="19">
        <v>6</v>
      </c>
      <c r="AV16" s="19">
        <v>7</v>
      </c>
      <c r="AW16" s="19">
        <v>8</v>
      </c>
      <c r="AX16" s="19">
        <v>9</v>
      </c>
      <c r="AY16" s="19">
        <v>10</v>
      </c>
      <c r="AZ16" s="19"/>
      <c r="BA16" s="19"/>
      <c r="BB16" s="17">
        <v>30</v>
      </c>
      <c r="BC16" s="19"/>
      <c r="BD16" s="19"/>
      <c r="BE16" s="19"/>
      <c r="BF16" s="19"/>
      <c r="BG16" s="19"/>
      <c r="BH16" s="19"/>
      <c r="BI16" s="19">
        <v>0</v>
      </c>
      <c r="BJ16" s="19">
        <v>1</v>
      </c>
      <c r="BK16" s="19">
        <v>2</v>
      </c>
      <c r="BL16" s="19">
        <v>3</v>
      </c>
      <c r="BM16" s="19">
        <v>4</v>
      </c>
      <c r="BN16" s="19">
        <v>5</v>
      </c>
      <c r="BO16" s="19">
        <v>6</v>
      </c>
      <c r="BP16" s="19">
        <v>7</v>
      </c>
      <c r="BQ16" s="19">
        <v>8</v>
      </c>
      <c r="BR16" s="19">
        <v>9</v>
      </c>
      <c r="BS16" s="19">
        <v>10</v>
      </c>
      <c r="BT16" s="19"/>
      <c r="BU16" s="19"/>
      <c r="BV16" s="19"/>
      <c r="BW16" s="19"/>
      <c r="BX16" s="19"/>
      <c r="BY16" s="19">
        <v>0</v>
      </c>
      <c r="BZ16" s="19">
        <v>1</v>
      </c>
      <c r="CA16" s="19">
        <v>2</v>
      </c>
      <c r="CB16" s="19">
        <v>3</v>
      </c>
      <c r="CC16" s="19">
        <v>4</v>
      </c>
      <c r="CD16" s="19">
        <v>5</v>
      </c>
      <c r="CE16" s="19">
        <v>6</v>
      </c>
      <c r="CF16" s="19">
        <v>7</v>
      </c>
      <c r="CG16" s="19">
        <v>8</v>
      </c>
      <c r="CH16" s="19">
        <v>9</v>
      </c>
      <c r="CI16" s="19">
        <v>10</v>
      </c>
      <c r="CJ16" s="19"/>
      <c r="CK16" s="19"/>
      <c r="CL16" s="19"/>
      <c r="CM16" s="19"/>
    </row>
    <row r="17" spans="1:91" x14ac:dyDescent="0.25">
      <c r="A17" s="8"/>
      <c r="B17" s="6" t="s">
        <v>61</v>
      </c>
      <c r="C17" s="8"/>
      <c r="F17" s="4"/>
      <c r="G17" s="4"/>
      <c r="H17" s="4"/>
      <c r="I17" s="4"/>
      <c r="J17" s="4"/>
      <c r="K17" s="4"/>
      <c r="L17" s="6" t="s">
        <v>178</v>
      </c>
      <c r="M17" s="14">
        <f>INDEX(cenník!$C$2:$I$568,MATCH($L17,cenník!$B$2:$B$557,0),MATCH(M$2,cenník!$C$1:$I$1,0))</f>
        <v>651643</v>
      </c>
      <c r="N17" s="14" t="str">
        <f>INDEX(cenník!$C$2:$I$568,MATCH($L17,cenník!$B$2:$B$557,0),MATCH(N$2,cenník!$C$1:$I$1,0))</f>
        <v>100ks</v>
      </c>
      <c r="O17" s="14">
        <f>ROUNDUP(((O11*12))/100,0)</f>
        <v>0</v>
      </c>
      <c r="P17" s="21">
        <f>INDEX(cenník!$C$2:$I$568,MATCH($L17,cenník!$B$2:$B$557,0),MATCH(P$2,cenník!$C$1:$I$1,0))</f>
        <v>49.87</v>
      </c>
      <c r="Q17" s="21">
        <f t="shared" si="0"/>
        <v>0</v>
      </c>
      <c r="R17" s="22">
        <f t="shared" si="3"/>
        <v>10</v>
      </c>
      <c r="S17" s="21">
        <f t="shared" si="1"/>
        <v>44.882999999999996</v>
      </c>
      <c r="T17" s="21">
        <f t="shared" si="2"/>
        <v>0</v>
      </c>
      <c r="U17" s="21">
        <f>INDEX(cenník!$C$2:$I$568,MATCH($L17,cenník!$B$2:$B$557,0),MATCH(U$2,cenník!$C$1:$I$1,0))*O17</f>
        <v>0</v>
      </c>
      <c r="W17" s="19">
        <f>(INDEX(($AO$5:$AY$13,$AO$17:$AY$25,$AO$30:$AY$38,$AO$42:$AY$50,$AO$54:$AY$62,$AO$66:$AY$74,$BI$5:$BS$13,$BI$17:$BS$25,$BI$29:$BS$37,$BI$41:$BS$49,$BI$53:$BS$61,$BI$65:$BS$73,$BY$5:$CI$13,$BY$17:$CI$25),MATCH($L$11,$AN$5:$AN$13,0),MATCH(A16,$AO$4:$AY$4,0),MATCH($AG$16,$AL$18:$AL$31,0)))*C16</f>
        <v>0</v>
      </c>
      <c r="X17" s="19">
        <f>(INDEX(($AO$5:$AY$13,$AO$17:$AY$25,$AO$30:$AY$38,$AO$42:$AY$50,$AO$54:$AY$62,$AO$66:$AY$74,$BI$5:$BS$13,$BI$17:$BS$25,$BI$29:$BS$37,$BI$41:$BS$49,$BI$53:$BS$61,$BI$65:$BS$73,$BY$5:$CI$13,$BY$17:$CI$25),MATCH($L$3,$AN$5:$AN$13,0),MATCH(A16,$AO$4:$AY$4,0),MATCH($AG$16,$AL$18:$AL$31,0)))*C16</f>
        <v>0</v>
      </c>
      <c r="Y17" s="19">
        <f>(INDEX(($AO$5:$AY$13,$AO$17:$AY$25,$AO$30:$AY$38,$AO$42:$AY$50,$AO$54:$AY$62,$AO$66:$AY$74,$BI$5:$BS$13,$BI$17:$BS$25,$BI$29:$BS$37,$BI$41:$BS$49,$BI$53:$BS$61,$BI$65:$BS$73,$BY$5:$CI$13,$BY$17:$CI$25),MATCH($L$4,$AN$5:$AN$13,0),MATCH(A16,$AO$4:$AY$4,0),MATCH($AG$16,$AL$18:$AL$31,0)))*C16</f>
        <v>0</v>
      </c>
      <c r="Z17" s="19">
        <f>(INDEX(($AO$5:$AY$13,$AO$17:$AY$25,$AO$30:$AY$38,$AO$42:$AY$50,$AO$54:$AY$62,$AO$66:$AY$74,$BI$5:$BS$13,$BI$17:$BS$25,$BI$29:$BS$37,$BI$41:$BS$49,$BI$53:$BS$61,$BI$65:$BS$73,$BY$5:$CI$13,$BY$17:$CI$25),MATCH($L$5,$AN$5:$AN$13,0),MATCH(A16,$AO$4:$AY$4,0),MATCH($AG$16,$AL$18:$AL$31,0)))*C16</f>
        <v>0</v>
      </c>
      <c r="AA17" s="19">
        <f>(INDEX(($AO$5:$AY$13,$AO$17:$AY$25,$AO$30:$AY$38,$AO$42:$AY$50,$AO$54:$AY$62,$AO$66:$AY$74,$BI$5:$BS$13,$BI$17:$BS$25,$BI$29:$BS$37,$BI$41:$BS$49,$BI$53:$BS$61,$BI$65:$BS$73,$BY$5:$CI$13,$BY$17:$CI$25),MATCH($L$6,$AN$5:$AN$13,0),MATCH(A16,$AO$4:$AY$4,0),MATCH($AG$16,$AL$18:$AL$31,0)))*C16</f>
        <v>0</v>
      </c>
      <c r="AB17" s="19">
        <f>(INDEX(($AO$5:$AY$13,$AO$17:$AY$25,$AO$30:$AY$38,$AO$42:$AY$50,$AO$54:$AY$62,$AO$66:$AY$74,$BI$5:$BS$13,$BI$17:$BS$25,$BI$29:$BS$37,$BI$41:$BS$49,$BI$53:$BS$61,$BI$65:$BS$73,$BY$5:$CI$13,$BY$17:$CI$25),MATCH($L$7,$AN$5:$AN$13,0),MATCH(A16,$AO$4:$AY$4,0),MATCH($AG$16,$AL$18:$AL$31,0)))*C16</f>
        <v>0</v>
      </c>
      <c r="AC17" s="19">
        <f>(INDEX(($AO$5:$AY$13,$AO$17:$AY$25,$AO$30:$AY$38,$AO$42:$AY$50,$AO$54:$AY$62,$AO$66:$AY$74,$BI$5:$BS$13,$BI$17:$BS$25,$BI$29:$BS$37,$BI$41:$BS$49,$BI$53:$BS$61,$BI$65:$BS$73,$BY$5:$CI$13,$BY$17:$CI$25),MATCH($L$8,$AN$5:$AN$13,0),MATCH(A16,$AO$4:$AY$4,0),MATCH($AG$16,$AL$18:$AL$31,0)))*C16</f>
        <v>0</v>
      </c>
      <c r="AD17" s="19">
        <f>(INDEX(($AO$5:$AY$13,$AO$17:$AY$25,$AO$30:$AY$38,$AO$42:$AY$50,$AO$54:$AY$62,$AO$66:$AY$74,$BI$5:$BS$13,$BI$17:$BS$25,$BI$29:$BS$37,$BI$41:$BS$49,$BI$53:$BS$61,$BI$65:$BS$73,$BY$5:$CI$13,$BY$17:$CI$25),MATCH($L$9,$AN$5:$AN$13,0),MATCH(A16,$AO$4:$AY$4,0),MATCH($AG$16,$AL$18:$AL$31,0)))*C16</f>
        <v>0</v>
      </c>
      <c r="AE17" s="19">
        <f>(INDEX(($AO$5:$AY$13,$AO$17:$AY$25,$AO$30:$AY$38,$AO$42:$AY$50,$AO$54:$AY$62,$AO$66:$AY$74,$BI$5:$BS$13,$BI$17:$BS$25,$BI$29:$BS$37,$BI$41:$BS$49,$BI$53:$BS$61,$BI$65:$BS$73,$BY$5:$CI$13,$BY$17:$CI$25),MATCH($L$10,$AN$5:$AN$13,0),MATCH(A16,$AO$4:$AY$4,0),MATCH($AG$16,$AL$18:$AL$31,0)))*C16</f>
        <v>0</v>
      </c>
      <c r="AI17" s="20" t="s">
        <v>462</v>
      </c>
      <c r="AN17" s="19" t="s">
        <v>99</v>
      </c>
      <c r="AO17" s="19">
        <v>0</v>
      </c>
      <c r="AP17" s="19">
        <v>0</v>
      </c>
      <c r="AQ17" s="19">
        <v>0</v>
      </c>
      <c r="AR17" s="19">
        <v>0</v>
      </c>
      <c r="AS17" s="19">
        <v>2</v>
      </c>
      <c r="AT17" s="19">
        <v>0</v>
      </c>
      <c r="AU17" s="19">
        <v>0</v>
      </c>
      <c r="AV17" s="19">
        <v>2</v>
      </c>
      <c r="AW17" s="19">
        <v>0</v>
      </c>
      <c r="AX17" s="19">
        <v>0</v>
      </c>
      <c r="AY17" s="19">
        <v>0</v>
      </c>
      <c r="AZ17" s="19"/>
      <c r="BA17" s="19"/>
      <c r="BB17" s="17">
        <v>32</v>
      </c>
      <c r="BC17" s="19"/>
      <c r="BD17" s="19"/>
      <c r="BE17" s="19"/>
      <c r="BF17" s="19"/>
      <c r="BG17" s="19"/>
      <c r="BH17" s="19" t="s">
        <v>99</v>
      </c>
      <c r="BI17" s="19">
        <v>0</v>
      </c>
      <c r="BJ17" s="19">
        <v>0</v>
      </c>
      <c r="BK17" s="19">
        <v>0</v>
      </c>
      <c r="BL17" s="19">
        <v>0</v>
      </c>
      <c r="BM17" s="19">
        <v>0</v>
      </c>
      <c r="BN17" s="19">
        <v>0</v>
      </c>
      <c r="BO17" s="19">
        <v>0</v>
      </c>
      <c r="BP17" s="19">
        <v>0</v>
      </c>
      <c r="BQ17" s="19">
        <v>0</v>
      </c>
      <c r="BR17" s="19">
        <v>0</v>
      </c>
      <c r="BS17" s="19">
        <v>0</v>
      </c>
      <c r="BT17" s="19"/>
      <c r="BU17" s="19"/>
      <c r="BV17" s="19"/>
      <c r="BW17" s="19"/>
      <c r="BX17" s="19" t="s">
        <v>99</v>
      </c>
      <c r="BY17" s="19">
        <v>0</v>
      </c>
      <c r="BZ17" s="19">
        <v>0</v>
      </c>
      <c r="CA17" s="19">
        <v>2</v>
      </c>
      <c r="CB17" s="19">
        <v>0</v>
      </c>
      <c r="CC17" s="19">
        <v>0</v>
      </c>
      <c r="CD17" s="19">
        <v>0</v>
      </c>
      <c r="CE17" s="19">
        <v>0</v>
      </c>
      <c r="CF17" s="19">
        <v>0</v>
      </c>
      <c r="CG17" s="19">
        <v>0</v>
      </c>
      <c r="CH17" s="19">
        <v>0</v>
      </c>
      <c r="CI17" s="19">
        <v>0</v>
      </c>
      <c r="CJ17" s="19"/>
      <c r="CK17" s="19"/>
      <c r="CL17" s="19"/>
      <c r="CM17" s="19"/>
    </row>
    <row r="18" spans="1:91" x14ac:dyDescent="0.25">
      <c r="L18" s="6" t="s">
        <v>65</v>
      </c>
      <c r="M18" s="14">
        <f>INDEX(cenník!$C$2:$I$568,MATCH($L18,cenník!$B$2:$B$557,0),MATCH(M$2,cenník!$C$1:$I$1,0))</f>
        <v>897303</v>
      </c>
      <c r="N18" s="14" t="str">
        <f>INDEX(cenník!$C$2:$I$568,MATCH($L18,cenník!$B$2:$B$557,0),MATCH(N$2,cenník!$C$1:$I$1,0))</f>
        <v>ks</v>
      </c>
      <c r="O18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18" s="21">
        <f>INDEX(cenník!$C$2:$I$568,MATCH($L18,cenník!$B$2:$B$557,0),MATCH(P$2,cenník!$C$1:$I$1,0))</f>
        <v>0.83</v>
      </c>
      <c r="Q18" s="21">
        <f t="shared" si="0"/>
        <v>0</v>
      </c>
      <c r="R18" s="22">
        <f t="shared" si="3"/>
        <v>10</v>
      </c>
      <c r="S18" s="21">
        <f t="shared" si="1"/>
        <v>0.747</v>
      </c>
      <c r="T18" s="21">
        <f t="shared" si="2"/>
        <v>0</v>
      </c>
      <c r="U18" s="21">
        <f>INDEX(cenník!$C$2:$I$568,MATCH($L18,cenník!$B$2:$B$557,0),MATCH(U$2,cenník!$C$1:$I$1,0))*O18</f>
        <v>0</v>
      </c>
      <c r="W18" s="19">
        <f>(INDEX(($AO$5:$AY$13,$AO$17:$AY$25,$AO$30:$AY$38,$AO$42:$AY$50,$AO$54:$AY$62,$AO$66:$AY$74,$BI$5:$BS$13,$BI$17:$BS$25,$BI$29:$BS$37,$BI$41:$BS$49,$BI$53:$BS$61,$BI$65:$BS$73,$BY$5:$CI$13,$BY$17:$CI$25),MATCH($L$11,$AN$5:$AN$13,0),MATCH(A17,$AO$4:$AY$4,0),MATCH($AG$16,$AL$18:$AL$31,0)))*C17</f>
        <v>0</v>
      </c>
      <c r="X18" s="19">
        <f>(INDEX(($AO$5:$AY$13,$AO$17:$AY$25,$AO$30:$AY$38,$AO$42:$AY$50,$AO$54:$AY$62,$AO$66:$AY$74,$BI$5:$BS$13,$BI$17:$BS$25,$BI$29:$BS$37,$BI$41:$BS$49,$BI$53:$BS$61,$BI$65:$BS$73,$BY$5:$CI$13,$BY$17:$CI$25),MATCH($L$3,$AN$5:$AN$13,0),MATCH(A17,$AO$4:$AY$4,0),MATCH($AG$16,$AL$18:$AL$31,0)))*C17</f>
        <v>0</v>
      </c>
      <c r="Y18" s="19">
        <f>(INDEX(($AO$5:$AY$13,$AO$17:$AY$25,$AO$30:$AY$38,$AO$42:$AY$50,$AO$54:$AY$62,$AO$66:$AY$74,$BI$5:$BS$13,$BI$17:$BS$25,$BI$29:$BS$37,$BI$41:$BS$49,$BI$53:$BS$61,$BI$65:$BS$73,$BY$5:$CI$13,$BY$17:$CI$25),MATCH($L$4,$AN$5:$AN$13,0),MATCH(A17,$AO$4:$AY$4,0),MATCH($AG$16,$AL$18:$AL$31,0)))*C17</f>
        <v>0</v>
      </c>
      <c r="Z18" s="19">
        <f>(INDEX(($AO$5:$AY$13,$AO$17:$AY$25,$AO$30:$AY$38,$AO$42:$AY$50,$AO$54:$AY$62,$AO$66:$AY$74,$BI$5:$BS$13,$BI$17:$BS$25,$BI$29:$BS$37,$BI$41:$BS$49,$BI$53:$BS$61,$BI$65:$BS$73,$BY$5:$CI$13,$BY$17:$CI$25),MATCH($L$5,$AN$5:$AN$13,0),MATCH(A17,$AO$4:$AY$4,0),MATCH($AG$16,$AL$18:$AL$31,0)))*C17</f>
        <v>0</v>
      </c>
      <c r="AA18" s="19">
        <f>(INDEX(($AO$5:$AY$13,$AO$17:$AY$25,$AO$30:$AY$38,$AO$42:$AY$50,$AO$54:$AY$62,$AO$66:$AY$74,$BI$5:$BS$13,$BI$17:$BS$25,$BI$29:$BS$37,$BI$41:$BS$49,$BI$53:$BS$61,$BI$65:$BS$73,$BY$5:$CI$13,$BY$17:$CI$25),MATCH($L$6,$AN$5:$AN$13,0),MATCH(A17,$AO$4:$AY$4,0),MATCH($AG$16,$AL$18:$AL$31,0)))*C17</f>
        <v>0</v>
      </c>
      <c r="AB18" s="19">
        <f>(INDEX(($AO$5:$AY$13,$AO$17:$AY$25,$AO$30:$AY$38,$AO$42:$AY$50,$AO$54:$AY$62,$AO$66:$AY$74,$BI$5:$BS$13,$BI$17:$BS$25,$BI$29:$BS$37,$BI$41:$BS$49,$BI$53:$BS$61,$BI$65:$BS$73,$BY$5:$CI$13,$BY$17:$CI$25),MATCH($L$7,$AN$5:$AN$13,0),MATCH(A17,$AO$4:$AY$4,0),MATCH($AG$16,$AL$18:$AL$31,0)))*C17</f>
        <v>0</v>
      </c>
      <c r="AC18" s="19">
        <f>(INDEX(($AO$5:$AY$13,$AO$17:$AY$25,$AO$30:$AY$38,$AO$42:$AY$50,$AO$54:$AY$62,$AO$66:$AY$74,$BI$5:$BS$13,$BI$17:$BS$25,$BI$29:$BS$37,$BI$41:$BS$49,$BI$53:$BS$61,$BI$65:$BS$73,$BY$5:$CI$13,$BY$17:$CI$25),MATCH($L$8,$AN$5:$AN$13,0),MATCH(A17,$AO$4:$AY$4,0),MATCH($AG$16,$AL$18:$AL$31,0)))*C17</f>
        <v>0</v>
      </c>
      <c r="AD18" s="19">
        <f>(INDEX(($AO$5:$AY$13,$AO$17:$AY$25,$AO$30:$AY$38,$AO$42:$AY$50,$AO$54:$AY$62,$AO$66:$AY$74,$BI$5:$BS$13,$BI$17:$BS$25,$BI$29:$BS$37,$BI$41:$BS$49,$BI$53:$BS$61,$BI$65:$BS$73,$BY$5:$CI$13,$BY$17:$CI$25),MATCH($L$9,$AN$5:$AN$13,0),MATCH(A17,$AO$4:$AY$4,0),MATCH($AG$16,$AL$18:$AL$31,0)))*C17</f>
        <v>0</v>
      </c>
      <c r="AE18" s="19">
        <f>(INDEX(($AO$5:$AY$13,$AO$17:$AY$25,$AO$30:$AY$38,$AO$42:$AY$50,$AO$54:$AY$62,$AO$66:$AY$74,$BI$5:$BS$13,$BI$17:$BS$25,$BI$29:$BS$37,$BI$41:$BS$49,$BI$53:$BS$61,$BI$65:$BS$73,$BY$5:$CI$13,$BY$17:$CI$25),MATCH($L$10,$AN$5:$AN$13,0),MATCH(A17,$AO$4:$AY$4,0),MATCH($AG$16,$AL$18:$AL$31,0)))*C17</f>
        <v>0</v>
      </c>
      <c r="AI18" s="20" t="s">
        <v>463</v>
      </c>
      <c r="AL18" s="19" t="s">
        <v>59</v>
      </c>
      <c r="AN18" s="19" t="s">
        <v>8</v>
      </c>
      <c r="AO18" s="19">
        <v>0</v>
      </c>
      <c r="AP18" s="19">
        <v>2</v>
      </c>
      <c r="AQ18" s="19">
        <v>0</v>
      </c>
      <c r="AR18" s="19">
        <v>0</v>
      </c>
      <c r="AS18" s="19">
        <v>0</v>
      </c>
      <c r="AT18" s="19">
        <v>0</v>
      </c>
      <c r="AU18" s="19">
        <v>0</v>
      </c>
      <c r="AV18" s="19">
        <v>0</v>
      </c>
      <c r="AW18" s="19">
        <v>0</v>
      </c>
      <c r="AX18" s="19">
        <v>0</v>
      </c>
      <c r="AY18" s="19">
        <v>0</v>
      </c>
      <c r="AZ18" s="19"/>
      <c r="BA18" s="19"/>
      <c r="BB18" s="17">
        <v>35</v>
      </c>
      <c r="BC18" s="19"/>
      <c r="BD18" s="19"/>
      <c r="BE18" s="19"/>
      <c r="BF18" s="19"/>
      <c r="BG18" s="19"/>
      <c r="BH18" s="19" t="s">
        <v>8</v>
      </c>
      <c r="BI18" s="19">
        <v>0</v>
      </c>
      <c r="BJ18" s="19">
        <v>0</v>
      </c>
      <c r="BK18" s="19">
        <v>0</v>
      </c>
      <c r="BL18" s="19">
        <v>0</v>
      </c>
      <c r="BM18" s="19">
        <v>0</v>
      </c>
      <c r="BN18" s="19">
        <v>0</v>
      </c>
      <c r="BO18" s="19">
        <v>0</v>
      </c>
      <c r="BP18" s="19">
        <v>0</v>
      </c>
      <c r="BQ18" s="19">
        <v>0</v>
      </c>
      <c r="BR18" s="19">
        <v>0</v>
      </c>
      <c r="BS18" s="19">
        <v>0</v>
      </c>
      <c r="BT18" s="19"/>
      <c r="BU18" s="19"/>
      <c r="BV18" s="19"/>
      <c r="BW18" s="19"/>
      <c r="BX18" s="19" t="s">
        <v>8</v>
      </c>
      <c r="BY18" s="19">
        <v>0</v>
      </c>
      <c r="BZ18" s="19">
        <v>0</v>
      </c>
      <c r="CA18" s="19">
        <v>0</v>
      </c>
      <c r="CB18" s="19">
        <v>0</v>
      </c>
      <c r="CC18" s="19">
        <v>2</v>
      </c>
      <c r="CD18" s="19">
        <v>0</v>
      </c>
      <c r="CE18" s="19">
        <v>0</v>
      </c>
      <c r="CF18" s="19">
        <v>0</v>
      </c>
      <c r="CG18" s="19">
        <v>0</v>
      </c>
      <c r="CH18" s="19">
        <v>0</v>
      </c>
      <c r="CI18" s="19">
        <v>0</v>
      </c>
      <c r="CJ18" s="19"/>
      <c r="CK18" s="19"/>
      <c r="CL18" s="19"/>
      <c r="CM18" s="19"/>
    </row>
    <row r="19" spans="1:91" x14ac:dyDescent="0.25">
      <c r="L19" s="6" t="s">
        <v>19</v>
      </c>
      <c r="M19" s="14">
        <f>INDEX(cenník!$C$2:$I$568,MATCH($L19,cenník!$B$2:$B$557,0),MATCH(M$2,cenník!$C$1:$I$1,0))</f>
        <v>6506513</v>
      </c>
      <c r="N19" s="14" t="str">
        <f>INDEX(cenník!$C$2:$I$568,MATCH($L19,cenník!$B$2:$B$557,0),MATCH(N$2,cenník!$C$1:$I$1,0))</f>
        <v>ks</v>
      </c>
      <c r="O19" s="14">
        <f>O20+E7</f>
        <v>10</v>
      </c>
      <c r="P19" s="21">
        <f>INDEX(cenník!$C$2:$I$568,MATCH($L19,cenník!$B$2:$B$557,0),MATCH(P$2,cenník!$C$1:$I$1,0))</f>
        <v>1.46</v>
      </c>
      <c r="Q19" s="21">
        <f>O19*P19</f>
        <v>14.6</v>
      </c>
      <c r="R19" s="22">
        <f t="shared" si="3"/>
        <v>10</v>
      </c>
      <c r="S19" s="21">
        <f t="shared" si="1"/>
        <v>1.3140000000000001</v>
      </c>
      <c r="T19" s="21">
        <f>O19*S19</f>
        <v>13.14</v>
      </c>
      <c r="U19" s="21">
        <f>INDEX(cenník!$C$2:$I$568,MATCH($L19,cenník!$B$2:$B$557,0),MATCH(U$2,cenník!$C$1:$I$1,0))*O19</f>
        <v>0.6</v>
      </c>
      <c r="AE19" s="19"/>
      <c r="AL19" s="19" t="s">
        <v>60</v>
      </c>
      <c r="AN19" s="19" t="s">
        <v>98</v>
      </c>
      <c r="AO19" s="19">
        <v>0</v>
      </c>
      <c r="AP19" s="19">
        <v>0</v>
      </c>
      <c r="AQ19" s="19">
        <v>0</v>
      </c>
      <c r="AR19" s="19">
        <v>0</v>
      </c>
      <c r="AS19" s="19">
        <v>0</v>
      </c>
      <c r="AT19" s="19">
        <v>0</v>
      </c>
      <c r="AU19" s="19">
        <v>0</v>
      </c>
      <c r="AV19" s="19">
        <v>0</v>
      </c>
      <c r="AW19" s="19">
        <v>2</v>
      </c>
      <c r="AX19" s="19">
        <v>0</v>
      </c>
      <c r="AY19" s="19">
        <v>0</v>
      </c>
      <c r="AZ19" s="19"/>
      <c r="BA19" s="19"/>
      <c r="BB19" s="17">
        <v>38</v>
      </c>
      <c r="BC19" s="19"/>
      <c r="BD19" s="19"/>
      <c r="BE19" s="19"/>
      <c r="BF19" s="19"/>
      <c r="BG19" s="19"/>
      <c r="BH19" s="19" t="s">
        <v>98</v>
      </c>
      <c r="BI19" s="19">
        <v>0</v>
      </c>
      <c r="BJ19" s="19">
        <v>0</v>
      </c>
      <c r="BK19" s="19">
        <v>0</v>
      </c>
      <c r="BL19" s="19">
        <v>0</v>
      </c>
      <c r="BM19" s="19">
        <v>0</v>
      </c>
      <c r="BN19" s="19">
        <v>0</v>
      </c>
      <c r="BO19" s="19">
        <v>0</v>
      </c>
      <c r="BP19" s="19">
        <v>2</v>
      </c>
      <c r="BQ19" s="19">
        <v>0</v>
      </c>
      <c r="BR19" s="19">
        <v>0</v>
      </c>
      <c r="BS19" s="19">
        <v>0</v>
      </c>
      <c r="BT19" s="19"/>
      <c r="BU19" s="19"/>
      <c r="BV19" s="19"/>
      <c r="BW19" s="19"/>
      <c r="BX19" s="19" t="s">
        <v>98</v>
      </c>
      <c r="BY19" s="19">
        <v>0</v>
      </c>
      <c r="BZ19" s="19">
        <v>0</v>
      </c>
      <c r="CA19" s="19">
        <v>0</v>
      </c>
      <c r="CB19" s="19">
        <v>0</v>
      </c>
      <c r="CC19" s="19">
        <v>0</v>
      </c>
      <c r="CD19" s="19">
        <v>0</v>
      </c>
      <c r="CE19" s="19">
        <v>0</v>
      </c>
      <c r="CF19" s="19">
        <v>0</v>
      </c>
      <c r="CG19" s="19">
        <v>0</v>
      </c>
      <c r="CH19" s="19">
        <v>0</v>
      </c>
      <c r="CI19" s="19">
        <v>0</v>
      </c>
      <c r="CJ19" s="19"/>
      <c r="CK19" s="19"/>
      <c r="CL19" s="19"/>
      <c r="CM19" s="19"/>
    </row>
    <row r="20" spans="1:91" x14ac:dyDescent="0.25">
      <c r="L20" s="6" t="s">
        <v>280</v>
      </c>
      <c r="M20" s="14">
        <f>INDEX(cenník!$C$2:$I$568,MATCH($L20,cenník!$B$2:$B$557,0),MATCH(M$2,cenník!$C$1:$I$1,0))</f>
        <v>892525</v>
      </c>
      <c r="N20" s="14" t="str">
        <f>INDEX(cenník!$C$2:$I$568,MATCH($L20,cenník!$B$2:$B$557,0),MATCH(N$2,cenník!$C$1:$I$1,0))</f>
        <v>ks</v>
      </c>
      <c r="O20" s="14">
        <f>SUM((A2*C2),(A3*C3),(A4*C4),(A5*C5),(A6*C6),(A7*C7),(A8*C8),(A9*C9),(A10*C10),(A11*C11),(A12*C12),(A13*C13),(A14*C14),(A15*C15),(A16*C16),(A17*C17))</f>
        <v>0</v>
      </c>
      <c r="P20" s="21">
        <f>INDEX(cenník!$C$2:$I$568,MATCH($L20,cenník!$B$2:$B$557,0),MATCH(P$2,cenník!$C$1:$I$1,0))</f>
        <v>5.43</v>
      </c>
      <c r="Q20" s="21">
        <f>O20*P20</f>
        <v>0</v>
      </c>
      <c r="R20" s="22">
        <f>$E$6</f>
        <v>10</v>
      </c>
      <c r="S20" s="21">
        <f t="shared" si="1"/>
        <v>4.8869999999999996</v>
      </c>
      <c r="T20" s="21">
        <f>O20*S20</f>
        <v>0</v>
      </c>
      <c r="U20" s="21">
        <f>INDEX(cenník!$C$2:$I$568,MATCH($L20,cenník!$B$2:$B$557,0),MATCH(U$2,cenník!$C$1:$I$1,0))*O20</f>
        <v>0</v>
      </c>
      <c r="AE20" s="19"/>
      <c r="AL20" s="19" t="s">
        <v>199</v>
      </c>
      <c r="AN20" s="19" t="s">
        <v>100</v>
      </c>
      <c r="AO20" s="19">
        <v>0</v>
      </c>
      <c r="AP20" s="19">
        <v>0</v>
      </c>
      <c r="AQ20" s="19">
        <v>0</v>
      </c>
      <c r="AR20" s="19">
        <v>0</v>
      </c>
      <c r="AS20" s="19">
        <v>0</v>
      </c>
      <c r="AT20" s="19">
        <v>2</v>
      </c>
      <c r="AU20" s="19">
        <v>0</v>
      </c>
      <c r="AV20" s="19">
        <v>0</v>
      </c>
      <c r="AW20" s="19">
        <v>0</v>
      </c>
      <c r="AX20" s="19">
        <v>0</v>
      </c>
      <c r="AY20" s="19">
        <v>0</v>
      </c>
      <c r="AZ20" s="19"/>
      <c r="BA20" s="19"/>
      <c r="BB20" s="17">
        <v>40</v>
      </c>
      <c r="BC20" s="19"/>
      <c r="BD20" s="19"/>
      <c r="BE20" s="19"/>
      <c r="BF20" s="19"/>
      <c r="BG20" s="19"/>
      <c r="BH20" s="19" t="s">
        <v>100</v>
      </c>
      <c r="BI20" s="19">
        <v>0</v>
      </c>
      <c r="BJ20" s="19">
        <v>2</v>
      </c>
      <c r="BK20" s="19">
        <v>0</v>
      </c>
      <c r="BL20" s="19">
        <v>2</v>
      </c>
      <c r="BM20" s="19">
        <v>0</v>
      </c>
      <c r="BN20" s="19">
        <v>2</v>
      </c>
      <c r="BO20" s="19">
        <v>0</v>
      </c>
      <c r="BP20" s="19">
        <v>0</v>
      </c>
      <c r="BQ20" s="19">
        <v>0</v>
      </c>
      <c r="BR20" s="19">
        <v>0</v>
      </c>
      <c r="BS20" s="19">
        <v>0</v>
      </c>
      <c r="BT20" s="19"/>
      <c r="BU20" s="19"/>
      <c r="BV20" s="19"/>
      <c r="BW20" s="19"/>
      <c r="BX20" s="19" t="s">
        <v>100</v>
      </c>
      <c r="BY20" s="19">
        <v>0</v>
      </c>
      <c r="BZ20" s="19">
        <v>0</v>
      </c>
      <c r="CA20" s="19">
        <v>0</v>
      </c>
      <c r="CB20" s="19">
        <v>0</v>
      </c>
      <c r="CC20" s="19">
        <v>0</v>
      </c>
      <c r="CD20" s="19">
        <v>0</v>
      </c>
      <c r="CE20" s="19">
        <v>0</v>
      </c>
      <c r="CF20" s="19">
        <v>0</v>
      </c>
      <c r="CG20" s="19">
        <v>0</v>
      </c>
      <c r="CH20" s="19">
        <v>0</v>
      </c>
      <c r="CI20" s="19">
        <v>0</v>
      </c>
      <c r="CJ20" s="19"/>
      <c r="CK20" s="19"/>
      <c r="CL20" s="19"/>
      <c r="CM20" s="19"/>
    </row>
    <row r="21" spans="1:91" x14ac:dyDescent="0.25">
      <c r="L21" s="6" t="s">
        <v>164</v>
      </c>
      <c r="M21" s="14">
        <f>INDEX(cenník!$C$2:$I$568,MATCH($L21,cenník!$B$2:$B$557,0),MATCH(M$2,cenník!$C$1:$I$1,0))</f>
        <v>890404</v>
      </c>
      <c r="N21" s="14" t="str">
        <f>INDEX(cenník!$C$2:$I$568,MATCH($L21,cenník!$B$2:$B$557,0),MATCH(N$2,cenník!$C$1:$I$1,0))</f>
        <v>ks</v>
      </c>
      <c r="O21" s="14">
        <f>SUM(C2:C17)*4</f>
        <v>0</v>
      </c>
      <c r="P21" s="21">
        <f>INDEX(cenník!$C$2:$I$568,MATCH($L21,cenník!$B$2:$B$557,0),MATCH(P$2,cenník!$C$1:$I$1,0))</f>
        <v>0.26</v>
      </c>
      <c r="Q21" s="21">
        <f>O21*P21</f>
        <v>0</v>
      </c>
      <c r="R21" s="22">
        <f>$E$6</f>
        <v>10</v>
      </c>
      <c r="S21" s="21">
        <f t="shared" ref="S21" si="4">P21*((100-$E$6)/100)</f>
        <v>0.23400000000000001</v>
      </c>
      <c r="T21" s="21">
        <f>O21*S21</f>
        <v>0</v>
      </c>
      <c r="U21" s="21">
        <f>INDEX(cenník!$C$2:$I$568,MATCH($L21,cenník!$B$2:$B$557,0),MATCH(U$2,cenník!$C$1:$I$1,0))*O21</f>
        <v>0</v>
      </c>
      <c r="AE21" s="19"/>
      <c r="AL21" s="19" t="s">
        <v>205</v>
      </c>
      <c r="AN21" s="19" t="s">
        <v>114</v>
      </c>
      <c r="AO21" s="19">
        <v>0</v>
      </c>
      <c r="AP21" s="19">
        <v>0</v>
      </c>
      <c r="AQ21" s="19">
        <v>2</v>
      </c>
      <c r="AR21" s="19">
        <v>0</v>
      </c>
      <c r="AS21" s="19">
        <v>0</v>
      </c>
      <c r="AT21" s="19">
        <v>0</v>
      </c>
      <c r="AU21" s="19">
        <v>0</v>
      </c>
      <c r="AV21" s="19">
        <v>0</v>
      </c>
      <c r="AW21" s="19">
        <v>0</v>
      </c>
      <c r="AX21" s="19">
        <v>0</v>
      </c>
      <c r="AY21" s="19">
        <v>0</v>
      </c>
      <c r="AZ21" s="19"/>
      <c r="BA21" s="19"/>
      <c r="BB21" s="17">
        <v>42</v>
      </c>
      <c r="BC21" s="19"/>
      <c r="BD21" s="19"/>
      <c r="BE21" s="19"/>
      <c r="BF21" s="19"/>
      <c r="BG21" s="19"/>
      <c r="BH21" s="19" t="s">
        <v>114</v>
      </c>
      <c r="BI21" s="19">
        <v>0</v>
      </c>
      <c r="BJ21" s="19">
        <v>0</v>
      </c>
      <c r="BK21" s="19">
        <v>0</v>
      </c>
      <c r="BL21" s="19">
        <v>0</v>
      </c>
      <c r="BM21" s="19">
        <v>0</v>
      </c>
      <c r="BN21" s="19">
        <v>0</v>
      </c>
      <c r="BO21" s="19">
        <v>0</v>
      </c>
      <c r="BP21" s="19">
        <v>0</v>
      </c>
      <c r="BQ21" s="19">
        <v>0</v>
      </c>
      <c r="BR21" s="19">
        <v>0</v>
      </c>
      <c r="BS21" s="19">
        <v>0</v>
      </c>
      <c r="BT21" s="19"/>
      <c r="BU21" s="19"/>
      <c r="BV21" s="19"/>
      <c r="BW21" s="19"/>
      <c r="BX21" s="19" t="s">
        <v>114</v>
      </c>
      <c r="BY21" s="19">
        <v>0</v>
      </c>
      <c r="BZ21" s="19">
        <v>2</v>
      </c>
      <c r="CA21" s="19">
        <v>0</v>
      </c>
      <c r="CB21" s="19">
        <v>0</v>
      </c>
      <c r="CC21" s="19">
        <v>0</v>
      </c>
      <c r="CD21" s="19">
        <v>0</v>
      </c>
      <c r="CE21" s="19">
        <v>0</v>
      </c>
      <c r="CF21" s="19">
        <v>2</v>
      </c>
      <c r="CG21" s="19">
        <v>0</v>
      </c>
      <c r="CH21" s="19">
        <v>0</v>
      </c>
      <c r="CI21" s="19">
        <v>0</v>
      </c>
      <c r="CJ21" s="19"/>
      <c r="CK21" s="19"/>
      <c r="CL21" s="19"/>
      <c r="CM21" s="19"/>
    </row>
    <row r="22" spans="1:91" x14ac:dyDescent="0.25">
      <c r="T22" s="21">
        <f>SUM(T3:T21)</f>
        <v>13.14</v>
      </c>
      <c r="U22" s="21">
        <f>SUM(U3:U21)</f>
        <v>0.6</v>
      </c>
      <c r="AE22" s="19"/>
      <c r="AL22" s="19" t="s">
        <v>56</v>
      </c>
      <c r="AN22" s="19" t="s">
        <v>9</v>
      </c>
      <c r="AO22" s="19">
        <v>0</v>
      </c>
      <c r="AP22" s="19">
        <v>0</v>
      </c>
      <c r="AQ22" s="19">
        <v>0</v>
      </c>
      <c r="AR22" s="19">
        <v>0</v>
      </c>
      <c r="AS22" s="19">
        <v>0</v>
      </c>
      <c r="AT22" s="19">
        <v>0</v>
      </c>
      <c r="AU22" s="19">
        <v>2</v>
      </c>
      <c r="AV22" s="19">
        <v>2</v>
      </c>
      <c r="AW22" s="19">
        <v>0</v>
      </c>
      <c r="AX22" s="19">
        <v>4</v>
      </c>
      <c r="AY22" s="19">
        <v>0</v>
      </c>
      <c r="AZ22" s="19"/>
      <c r="BA22" s="19"/>
      <c r="BB22" s="17">
        <v>45</v>
      </c>
      <c r="BC22" s="19"/>
      <c r="BD22" s="19"/>
      <c r="BE22" s="19"/>
      <c r="BF22" s="19"/>
      <c r="BG22" s="19"/>
      <c r="BH22" s="19" t="s">
        <v>9</v>
      </c>
      <c r="BI22" s="19">
        <v>0</v>
      </c>
      <c r="BJ22" s="19">
        <v>0</v>
      </c>
      <c r="BK22" s="19">
        <v>0</v>
      </c>
      <c r="BL22" s="19">
        <v>0</v>
      </c>
      <c r="BM22" s="19">
        <v>0</v>
      </c>
      <c r="BN22" s="19">
        <v>0</v>
      </c>
      <c r="BO22" s="19">
        <v>0</v>
      </c>
      <c r="BP22" s="19">
        <v>0</v>
      </c>
      <c r="BQ22" s="19">
        <v>0</v>
      </c>
      <c r="BR22" s="19">
        <v>4</v>
      </c>
      <c r="BS22" s="19">
        <v>0</v>
      </c>
      <c r="BT22" s="19"/>
      <c r="BU22" s="19"/>
      <c r="BV22" s="19"/>
      <c r="BW22" s="19"/>
      <c r="BX22" s="19" t="s">
        <v>9</v>
      </c>
      <c r="BY22" s="19">
        <v>0</v>
      </c>
      <c r="BZ22" s="19">
        <v>0</v>
      </c>
      <c r="CA22" s="19">
        <v>0</v>
      </c>
      <c r="CB22" s="19">
        <v>2</v>
      </c>
      <c r="CC22" s="19">
        <v>0</v>
      </c>
      <c r="CD22" s="19">
        <v>0</v>
      </c>
      <c r="CE22" s="19">
        <v>4</v>
      </c>
      <c r="CF22" s="19">
        <v>6</v>
      </c>
      <c r="CG22" s="19">
        <v>4</v>
      </c>
      <c r="CH22" s="19">
        <v>8</v>
      </c>
      <c r="CI22" s="19">
        <v>0</v>
      </c>
      <c r="CJ22" s="19"/>
      <c r="CK22" s="19"/>
      <c r="CL22" s="19"/>
      <c r="CM22" s="19"/>
    </row>
    <row r="23" spans="1:91" ht="39" x14ac:dyDescent="0.25">
      <c r="A23" s="3" t="s">
        <v>549</v>
      </c>
      <c r="B23" s="6"/>
      <c r="C23" s="3" t="s">
        <v>550</v>
      </c>
      <c r="D23" s="4"/>
      <c r="E23" s="4"/>
      <c r="F23" s="4"/>
      <c r="G23" s="4"/>
      <c r="H23" s="4"/>
      <c r="I23" s="4"/>
      <c r="J23" s="4"/>
      <c r="K23" s="4"/>
      <c r="L23" s="221" t="s">
        <v>529</v>
      </c>
      <c r="M23" s="221"/>
      <c r="N23" s="221"/>
      <c r="O23" s="221"/>
      <c r="P23" s="221"/>
      <c r="Q23" s="221"/>
      <c r="R23" s="221"/>
      <c r="S23" s="221"/>
      <c r="T23" s="221"/>
      <c r="U23" s="221"/>
      <c r="AL23" s="19" t="s">
        <v>57</v>
      </c>
      <c r="AN23" s="19" t="s">
        <v>101</v>
      </c>
      <c r="AO23" s="19">
        <v>0</v>
      </c>
      <c r="AP23" s="19">
        <v>0</v>
      </c>
      <c r="AQ23" s="19">
        <v>0</v>
      </c>
      <c r="AR23" s="19">
        <v>2</v>
      </c>
      <c r="AS23" s="19">
        <v>2</v>
      </c>
      <c r="AT23" s="19">
        <v>2</v>
      </c>
      <c r="AU23" s="19">
        <v>2</v>
      </c>
      <c r="AV23" s="19">
        <v>0</v>
      </c>
      <c r="AW23" s="19">
        <v>4</v>
      </c>
      <c r="AX23" s="19">
        <v>0</v>
      </c>
      <c r="AY23" s="19">
        <v>2</v>
      </c>
      <c r="AZ23" s="19"/>
      <c r="BA23" s="19"/>
      <c r="BB23" s="17">
        <v>50</v>
      </c>
      <c r="BC23" s="19"/>
      <c r="BD23" s="19"/>
      <c r="BE23" s="19"/>
      <c r="BF23" s="19"/>
      <c r="BG23" s="19"/>
      <c r="BH23" s="19" t="s">
        <v>101</v>
      </c>
      <c r="BI23" s="19">
        <v>0</v>
      </c>
      <c r="BJ23" s="19">
        <v>0</v>
      </c>
      <c r="BK23" s="19">
        <v>0</v>
      </c>
      <c r="BL23" s="19">
        <v>0</v>
      </c>
      <c r="BM23" s="19">
        <v>0</v>
      </c>
      <c r="BN23" s="19">
        <v>2</v>
      </c>
      <c r="BO23" s="19">
        <v>0</v>
      </c>
      <c r="BP23" s="19">
        <v>0</v>
      </c>
      <c r="BQ23" s="19">
        <v>0</v>
      </c>
      <c r="BR23" s="19">
        <v>6</v>
      </c>
      <c r="BS23" s="19">
        <v>2</v>
      </c>
      <c r="BT23" s="19"/>
      <c r="BU23" s="19"/>
      <c r="BV23" s="19"/>
      <c r="BW23" s="19"/>
      <c r="BX23" s="19" t="s">
        <v>101</v>
      </c>
      <c r="BY23" s="19">
        <v>0</v>
      </c>
      <c r="BZ23" s="19">
        <v>0</v>
      </c>
      <c r="CA23" s="19">
        <v>2</v>
      </c>
      <c r="CB23" s="19">
        <v>2</v>
      </c>
      <c r="CC23" s="19">
        <v>0</v>
      </c>
      <c r="CD23" s="19">
        <v>4</v>
      </c>
      <c r="CE23" s="19">
        <v>4</v>
      </c>
      <c r="CF23" s="19">
        <v>0</v>
      </c>
      <c r="CG23" s="19">
        <v>0</v>
      </c>
      <c r="CH23" s="19">
        <v>2</v>
      </c>
      <c r="CI23" s="19">
        <v>8</v>
      </c>
      <c r="CJ23" s="19"/>
      <c r="CK23" s="19"/>
      <c r="CL23" s="19"/>
      <c r="CM23" s="19"/>
    </row>
    <row r="24" spans="1:91" x14ac:dyDescent="0.25">
      <c r="A24" s="8"/>
      <c r="B24" s="6" t="s">
        <v>61</v>
      </c>
      <c r="C24" s="8"/>
      <c r="D24" s="4"/>
      <c r="E24" s="4"/>
      <c r="F24" s="4"/>
      <c r="G24" s="4"/>
      <c r="H24" s="4"/>
      <c r="I24" s="4"/>
      <c r="J24" s="4"/>
      <c r="K24" s="4"/>
      <c r="L24" s="5" t="s">
        <v>53</v>
      </c>
      <c r="M24" s="5" t="s">
        <v>559</v>
      </c>
      <c r="N24" s="5" t="s">
        <v>436</v>
      </c>
      <c r="O24" s="5" t="s">
        <v>442</v>
      </c>
      <c r="P24" s="5" t="s">
        <v>443</v>
      </c>
      <c r="Q24" s="5" t="s">
        <v>444</v>
      </c>
      <c r="R24" s="5" t="s">
        <v>445</v>
      </c>
      <c r="S24" s="5" t="s">
        <v>446</v>
      </c>
      <c r="T24" s="5" t="s">
        <v>447</v>
      </c>
      <c r="U24" s="5" t="s">
        <v>438</v>
      </c>
      <c r="W24" s="25" t="s">
        <v>10</v>
      </c>
      <c r="X24" s="19" t="s">
        <v>99</v>
      </c>
      <c r="Y24" s="19" t="s">
        <v>8</v>
      </c>
      <c r="Z24" s="25" t="s">
        <v>98</v>
      </c>
      <c r="AA24" s="25" t="s">
        <v>100</v>
      </c>
      <c r="AB24" s="25" t="s">
        <v>114</v>
      </c>
      <c r="AC24" s="25" t="s">
        <v>9</v>
      </c>
      <c r="AD24" s="25" t="s">
        <v>101</v>
      </c>
      <c r="AE24" s="25" t="s">
        <v>102</v>
      </c>
      <c r="AF24" s="28"/>
      <c r="AG24" s="28"/>
      <c r="AL24" s="19" t="s">
        <v>67</v>
      </c>
      <c r="AN24" s="19" t="s">
        <v>102</v>
      </c>
      <c r="AO24" s="19">
        <v>0</v>
      </c>
      <c r="AP24" s="19">
        <v>0</v>
      </c>
      <c r="AQ24" s="19">
        <v>0</v>
      </c>
      <c r="AR24" s="19">
        <v>0</v>
      </c>
      <c r="AS24" s="19">
        <v>0</v>
      </c>
      <c r="AT24" s="19">
        <v>0</v>
      </c>
      <c r="AU24" s="19">
        <v>0</v>
      </c>
      <c r="AV24" s="19">
        <v>2</v>
      </c>
      <c r="AW24" s="19">
        <v>0</v>
      </c>
      <c r="AX24" s="19">
        <v>2</v>
      </c>
      <c r="AY24" s="19">
        <v>4</v>
      </c>
      <c r="AZ24" s="19"/>
      <c r="BA24" s="19"/>
      <c r="BC24" s="19"/>
      <c r="BD24" s="19"/>
      <c r="BE24" s="19"/>
      <c r="BF24" s="19"/>
      <c r="BG24" s="19"/>
      <c r="BH24" s="19" t="s">
        <v>102</v>
      </c>
      <c r="BI24" s="19">
        <v>0</v>
      </c>
      <c r="BJ24" s="19">
        <v>0</v>
      </c>
      <c r="BK24" s="19">
        <v>2</v>
      </c>
      <c r="BL24" s="19">
        <v>2</v>
      </c>
      <c r="BM24" s="19">
        <v>4</v>
      </c>
      <c r="BN24" s="19">
        <v>2</v>
      </c>
      <c r="BO24" s="19">
        <v>6</v>
      </c>
      <c r="BP24" s="19">
        <v>6</v>
      </c>
      <c r="BQ24" s="19">
        <v>8</v>
      </c>
      <c r="BR24" s="19">
        <v>0</v>
      </c>
      <c r="BS24" s="19">
        <v>8</v>
      </c>
      <c r="BT24" s="19"/>
      <c r="BU24" s="19"/>
      <c r="BV24" s="19"/>
      <c r="BW24" s="19"/>
      <c r="BX24" s="19" t="s">
        <v>102</v>
      </c>
      <c r="BY24" s="19">
        <v>0</v>
      </c>
      <c r="BZ24" s="19">
        <v>0</v>
      </c>
      <c r="CA24" s="19">
        <v>0</v>
      </c>
      <c r="CB24" s="19">
        <v>0</v>
      </c>
      <c r="CC24" s="19">
        <v>4</v>
      </c>
      <c r="CD24" s="19">
        <v>2</v>
      </c>
      <c r="CE24" s="19">
        <v>0</v>
      </c>
      <c r="CF24" s="19">
        <v>2</v>
      </c>
      <c r="CG24" s="19">
        <v>6</v>
      </c>
      <c r="CH24" s="19">
        <v>2</v>
      </c>
      <c r="CI24" s="19">
        <v>4</v>
      </c>
      <c r="CJ24" s="19"/>
      <c r="CK24" s="19"/>
      <c r="CL24" s="19"/>
      <c r="CM24" s="19"/>
    </row>
    <row r="25" spans="1:91" x14ac:dyDescent="0.25">
      <c r="A25" s="8"/>
      <c r="B25" s="6" t="s">
        <v>61</v>
      </c>
      <c r="C25" s="8"/>
      <c r="D25" s="6" t="s">
        <v>452</v>
      </c>
      <c r="E25" s="8" t="s">
        <v>56</v>
      </c>
      <c r="F25" s="5" t="s">
        <v>61</v>
      </c>
      <c r="G25" s="8" t="s">
        <v>59</v>
      </c>
      <c r="H25" s="5" t="s">
        <v>61</v>
      </c>
      <c r="I25" s="8">
        <v>35</v>
      </c>
      <c r="J25" s="5" t="s">
        <v>62</v>
      </c>
      <c r="K25" s="4"/>
      <c r="L25" s="6" t="s">
        <v>99</v>
      </c>
      <c r="M25" s="14">
        <f>INDEX(cenník!$C$2:$I$568,MATCH($L25,cenník!$B$2:$B$557,0),MATCH(M$2,cenník!$C$1:$I$1,0))</f>
        <v>856210</v>
      </c>
      <c r="N25" s="14" t="str">
        <f>INDEX(cenník!$C$2:$I$568,MATCH($L25,cenník!$B$2:$B$557,0),MATCH(N$2,cenník!$C$1:$I$1,0))</f>
        <v>ks</v>
      </c>
      <c r="O25" s="14">
        <f>SUM(X25:X40)</f>
        <v>0</v>
      </c>
      <c r="P25" s="21">
        <f>INDEX(cenník!$C$2:$I$568,MATCH($L25,cenník!$B$2:$B$557,0),MATCH(P$2,cenník!$C$1:$I$1,0))</f>
        <v>7.25</v>
      </c>
      <c r="Q25" s="21">
        <f>O25*P25</f>
        <v>0</v>
      </c>
      <c r="R25" s="22">
        <f>$E$27</f>
        <v>0</v>
      </c>
      <c r="S25" s="21">
        <f>P25*((100-$E$27)/100)</f>
        <v>7.25</v>
      </c>
      <c r="T25" s="21">
        <f>O25*S25</f>
        <v>0</v>
      </c>
      <c r="U25" s="21">
        <f>INDEX(cenník!$C$2:$I$568,MATCH($L25,cenník!$B$2:$B$557,0),MATCH(U$2,cenník!$C$1:$I$1,0))*O25</f>
        <v>0</v>
      </c>
      <c r="W25" s="19">
        <f>(INDEX(($AO$5:$AY$13,$AO$17:$AY$25,$AO$30:$AY$38,$AO$42:$AY$50,$AO$54:$AY$62,$AO$66:$AY$74,$BI$5:$BS$13,$BI$17:$BS$25,$BI$29:$BS$37,$BI$41:$BS$49,$BI$53:$BS$61,$BI$65:$BS$73,$BY$5:$CI$13,$BY$17:$CI$25),MATCH($L$33,$AN$5:$AN$13,0),MATCH(A24,$AO$4:$AY$4,0),MATCH($G$25,$AL$18:$AL$31,0)))*C24</f>
        <v>0</v>
      </c>
      <c r="X25" s="19">
        <f>(INDEX(($AO$5:$AY$13,$AO$17:$AY$25,$AO$30:$AY$38,$AO$42:$AY$50,$AO$54:$AY$62,$AO$66:$AY$74,$BI$5:$BS$13,$BI$17:$BS$25,$BI$29:$BS$37,$BI$41:$BS$49,$BI$53:$BS$61,$BI$65:$BS$73,$BY$5:$CI$13,$BY$17:$CI$25),MATCH($L$25,$AN$5:$AN$13,0),MATCH(A24,$AO$4:$AY$4,0),MATCH($G$25,$AL$18:$AL$31,0)))*C24</f>
        <v>0</v>
      </c>
      <c r="Y25" s="19">
        <f>(INDEX(($AO$5:$AY$13,$AO$17:$AY$25,$AO$30:$AY$38,$AO$42:$AY$50,$AO$54:$AY$62,$AO$66:$AY$74,$BI$5:$BS$13,$BI$17:$BS$25,$BI$29:$BS$37,$BI$41:$BS$49,$BI$53:$BS$61,$BI$65:$BS$73,$BY$5:$CI$13,$BY$17:$CI$25),MATCH($L$26,$AN$5:$AN$13,0),MATCH(A24,$AO$4:$AY$4,0),MATCH($G$25,$AL$18:$AL$31,0)))*C24</f>
        <v>0</v>
      </c>
      <c r="Z25" s="19">
        <f>(INDEX(($AO$5:$AY$13,$AO$17:$AY$25,$AO$30:$AY$38,$AO$42:$AY$50,$AO$54:$AY$62,$AO$66:$AY$74,$BI$5:$BS$13,$BI$17:$BS$25,$BI$29:$BS$37,$BI$41:$BS$49,$BI$53:$BS$61,$BI$65:$BS$73,$BY$5:$CI$13,$BY$17:$CI$25),MATCH($L$27,$AN$5:$AN$13,0),MATCH(A24,$AO$4:$AY$4,0),MATCH($G$25,$AL$18:$AL$31,0)))*C24</f>
        <v>0</v>
      </c>
      <c r="AA25" s="19">
        <f>(INDEX(($AO$5:$AY$13,$AO$17:$AY$25,$AO$30:$AY$38,$AO$42:$AY$50,$AO$54:$AY$62,$AO$66:$AY$74,$BI$5:$BS$13,$BI$17:$BS$25,$BI$29:$BS$37,$BI$41:$BS$49,$BI$53:$BS$61,$BI$65:$BS$73,$BY$5:$CI$13,$BY$17:$CI$25),MATCH($L$28,$AN$5:$AN$13,0),MATCH(A24,$AO$4:$AY$4,0),MATCH($G$25,$AL$18:$AL$31,0)))*C24</f>
        <v>0</v>
      </c>
      <c r="AB25" s="19">
        <f>(INDEX(($AO$5:$AY$13,$AO$17:$AY$25,$AO$30:$AY$38,$AO$42:$AY$50,$AO$54:$AY$62,$AO$66:$AY$74,$BI$5:$BS$13,$BI$17:$BS$25,$BI$29:$BS$37,$BI$41:$BS$49,$BI$53:$BS$61,$BI$65:$BS$73,$BY$5:$CI$13,$BY$17:$CI$25),MATCH($L$29,$AN$5:$AN$13,0),MATCH(A24,$AO$4:$AY$4,0),MATCH($G$25,$AL$18:$AL$31,0)))*C24</f>
        <v>0</v>
      </c>
      <c r="AC25" s="19">
        <f>(INDEX(($AO$5:$AY$13,$AO$17:$AY$25,$AO$30:$AY$38,$AO$42:$AY$50,$AO$54:$AY$62,$AO$66:$AY$74,$BI$5:$BS$13,$BI$17:$BS$25,$BI$29:$BS$37,$BI$41:$BS$49,$BI$53:$BS$61,$BI$65:$BS$73,$BY$5:$CI$13,$BY$17:$CI$25),MATCH($L$30,$AN$5:$AN$13,0),MATCH(A24,$AO$4:$AY$4,0),MATCH($G$25,$AL$18:$AL$31,0)))*C24</f>
        <v>0</v>
      </c>
      <c r="AD25" s="19">
        <f>(INDEX(($AO$5:$AY$13,$AO$17:$AY$25,$AO$30:$AY$38,$AO$42:$AY$50,$AO$54:$AY$62,$AO$66:$AY$74,$BI$5:$BS$13,$BI$17:$BS$25,$BI$29:$BS$37,$BI$41:$BS$49,$BI$53:$BS$61,$BI$65:$BS$73,$BY$5:$CI$13,$BY$17:$CI$25),MATCH($L$31,$AN$5:$AN$13,0),MATCH(A24,$AO$4:$AY$4,0),MATCH($G$25,$AL$18:$AL$31,0)))*C24</f>
        <v>0</v>
      </c>
      <c r="AE25" s="19">
        <f>(INDEX(($AO$5:$AY$13,$AO$17:$AY$25,$AO$30:$AY$38,$AO$42:$AY$50,$AO$54:$AY$62,$AO$66:$AY$74,$BI$5:$BS$13,$BI$17:$BS$25,$BI$29:$BS$37,$BI$41:$BS$49,$BI$53:$BS$61,$BI$65:$BS$73,$BY$5:$CI$13,$BY$17:$CI$25),MATCH($L$32,$AN$5:$AN$13,0),MATCH(A24,$AO$4:$AY$4,0),MATCH($G$25,$AL$18:$AL$31,0)))*C24</f>
        <v>0</v>
      </c>
      <c r="AL25" s="19" t="s">
        <v>195</v>
      </c>
      <c r="AN25" s="19" t="s">
        <v>10</v>
      </c>
      <c r="AO25" s="19">
        <v>0</v>
      </c>
      <c r="AP25" s="19">
        <v>0</v>
      </c>
      <c r="AQ25" s="19">
        <v>0</v>
      </c>
      <c r="AR25" s="19">
        <v>0</v>
      </c>
      <c r="AS25" s="19">
        <v>2</v>
      </c>
      <c r="AT25" s="19">
        <v>2</v>
      </c>
      <c r="AU25" s="19">
        <v>2</v>
      </c>
      <c r="AV25" s="19">
        <v>4</v>
      </c>
      <c r="AW25" s="19">
        <v>4</v>
      </c>
      <c r="AX25" s="19">
        <v>4</v>
      </c>
      <c r="AY25" s="19">
        <v>4</v>
      </c>
      <c r="AZ25" s="19"/>
      <c r="BA25" s="19"/>
      <c r="BB25" s="24">
        <v>25</v>
      </c>
      <c r="BC25" s="19"/>
      <c r="BD25" s="19"/>
      <c r="BE25" s="19"/>
      <c r="BF25" s="19"/>
      <c r="BG25" s="19"/>
      <c r="BH25" s="19" t="s">
        <v>10</v>
      </c>
      <c r="BI25" s="19">
        <v>0</v>
      </c>
      <c r="BJ25" s="19">
        <v>0</v>
      </c>
      <c r="BK25" s="19">
        <v>0</v>
      </c>
      <c r="BL25" s="19">
        <v>2</v>
      </c>
      <c r="BM25" s="19">
        <v>2</v>
      </c>
      <c r="BN25" s="19">
        <v>4</v>
      </c>
      <c r="BO25" s="19">
        <v>4</v>
      </c>
      <c r="BP25" s="19">
        <v>6</v>
      </c>
      <c r="BQ25" s="19">
        <v>6</v>
      </c>
      <c r="BR25" s="19">
        <v>8</v>
      </c>
      <c r="BS25" s="19">
        <v>8</v>
      </c>
      <c r="BT25" s="19"/>
      <c r="BU25" s="19"/>
      <c r="BV25" s="19"/>
      <c r="BW25" s="19"/>
      <c r="BX25" s="19" t="s">
        <v>10</v>
      </c>
      <c r="BY25" s="19">
        <v>0</v>
      </c>
      <c r="BZ25" s="19">
        <v>0</v>
      </c>
      <c r="CA25" s="19">
        <v>2</v>
      </c>
      <c r="CB25" s="19">
        <v>2</v>
      </c>
      <c r="CC25" s="19">
        <v>4</v>
      </c>
      <c r="CD25" s="19">
        <v>4</v>
      </c>
      <c r="CE25" s="19">
        <v>6</v>
      </c>
      <c r="CF25" s="19">
        <v>8</v>
      </c>
      <c r="CG25" s="19">
        <v>8</v>
      </c>
      <c r="CH25" s="19">
        <v>10</v>
      </c>
      <c r="CI25" s="19">
        <v>10</v>
      </c>
      <c r="CJ25" s="19"/>
      <c r="CK25" s="19"/>
      <c r="CL25" s="19"/>
      <c r="CM25" s="19"/>
    </row>
    <row r="26" spans="1:91" x14ac:dyDescent="0.25">
      <c r="A26" s="8"/>
      <c r="B26" s="6" t="s">
        <v>61</v>
      </c>
      <c r="C26" s="8"/>
      <c r="D26" s="6" t="s">
        <v>525</v>
      </c>
      <c r="E26" s="8" t="s">
        <v>466</v>
      </c>
      <c r="F26" s="5"/>
      <c r="G26" s="5"/>
      <c r="H26" s="5"/>
      <c r="I26" s="5"/>
      <c r="J26" s="5"/>
      <c r="K26" s="4"/>
      <c r="L26" s="6" t="s">
        <v>8</v>
      </c>
      <c r="M26" s="14">
        <f>INDEX(cenník!$C$2:$I$568,MATCH($L26,cenník!$B$2:$B$557,0),MATCH(M$2,cenník!$C$1:$I$1,0))</f>
        <v>856211</v>
      </c>
      <c r="N26" s="14" t="str">
        <f>INDEX(cenník!$C$2:$I$568,MATCH($L26,cenník!$B$2:$B$557,0),MATCH(N$2,cenník!$C$1:$I$1,0))</f>
        <v>ks</v>
      </c>
      <c r="O26" s="14">
        <f>SUM(Y25:Y40)</f>
        <v>0</v>
      </c>
      <c r="P26" s="21">
        <f>INDEX(cenník!$C$2:$I$568,MATCH($L26,cenník!$B$2:$B$557,0),MATCH(P$2,cenník!$C$1:$I$1,0))</f>
        <v>8.7100000000000009</v>
      </c>
      <c r="Q26" s="21">
        <f t="shared" ref="Q26:Q45" si="5">O26*P26</f>
        <v>0</v>
      </c>
      <c r="R26" s="22">
        <f t="shared" ref="R26:R46" si="6">$E$27</f>
        <v>0</v>
      </c>
      <c r="S26" s="21">
        <f t="shared" ref="S26:S45" si="7">P26*((100-$E$27)/100)</f>
        <v>8.7100000000000009</v>
      </c>
      <c r="T26" s="21">
        <f t="shared" ref="T26:T45" si="8">O26*S26</f>
        <v>0</v>
      </c>
      <c r="U26" s="21">
        <f>INDEX(cenník!$C$2:$I$568,MATCH($L26,cenník!$B$2:$B$557,0),MATCH(U$2,cenník!$C$1:$I$1,0))*O26</f>
        <v>0</v>
      </c>
      <c r="W26" s="19">
        <f>(INDEX(($AO$5:$AY$13,$AO$17:$AY$25,$AO$30:$AY$38,$AO$42:$AY$50,$AO$54:$AY$62,$AO$66:$AY$74,$BI$5:$BS$13,$BI$17:$BS$25,$BI$29:$BS$37,$BI$41:$BS$49,$BI$53:$BS$61,$BI$65:$BS$73,$BY$5:$CI$13,$BY$17:$CI$25),MATCH($L$33,$AN$5:$AN$13,0),MATCH(A25,$AO$4:$AY$4,0),MATCH($G$25,$AL$18:$AL$31,0)))*C25</f>
        <v>0</v>
      </c>
      <c r="X26" s="19">
        <f>(INDEX(($AO$5:$AY$13,$AO$17:$AY$25,$AO$30:$AY$38,$AO$42:$AY$50,$AO$54:$AY$62,$AO$66:$AY$74,$BI$5:$BS$13,$BI$17:$BS$25,$BI$29:$BS$37,$BI$41:$BS$49,$BI$53:$BS$61,$BI$65:$BS$73,$BY$5:$CI$13,$BY$17:$CI$25),MATCH($L$25,$AN$5:$AN$13,0),MATCH(A25,$AO$4:$AY$4,0),MATCH($G$25,$AL$18:$AL$31,0)))*C25</f>
        <v>0</v>
      </c>
      <c r="Y26" s="19">
        <f>(INDEX(($AO$5:$AY$13,$AO$17:$AY$25,$AO$30:$AY$38,$AO$42:$AY$50,$AO$54:$AY$62,$AO$66:$AY$74,$BI$5:$BS$13,$BI$17:$BS$25,$BI$29:$BS$37,$BI$41:$BS$49,$BI$53:$BS$61,$BI$65:$BS$73,$BY$5:$CI$13,$BY$17:$CI$25),MATCH($L$26,$AN$5:$AN$13,0),MATCH(A25,$AO$4:$AY$4,0),MATCH($G$25,$AL$18:$AL$31,0)))*C25</f>
        <v>0</v>
      </c>
      <c r="Z26" s="19">
        <f>(INDEX(($AO$5:$AY$13,$AO$17:$AY$25,$AO$30:$AY$38,$AO$42:$AY$50,$AO$54:$AY$62,$AO$66:$AY$74,$BI$5:$BS$13,$BI$17:$BS$25,$BI$29:$BS$37,$BI$41:$BS$49,$BI$53:$BS$61,$BI$65:$BS$73,$BY$5:$CI$13,$BY$17:$CI$25),MATCH($L$27,$AN$5:$AN$13,0),MATCH(A25,$AO$4:$AY$4,0),MATCH($G$25,$AL$18:$AL$31,0)))*C25</f>
        <v>0</v>
      </c>
      <c r="AA26" s="19">
        <f>(INDEX(($AO$5:$AY$13,$AO$17:$AY$25,$AO$30:$AY$38,$AO$42:$AY$50,$AO$54:$AY$62,$AO$66:$AY$74,$BI$5:$BS$13,$BI$17:$BS$25,$BI$29:$BS$37,$BI$41:$BS$49,$BI$53:$BS$61,$BI$65:$BS$73,$BY$5:$CI$13,$BY$17:$CI$25),MATCH($L$28,$AN$5:$AN$13,0),MATCH(A25,$AO$4:$AY$4,0),MATCH($G$25,$AL$18:$AL$31,0)))*C25</f>
        <v>0</v>
      </c>
      <c r="AB26" s="19">
        <f>(INDEX(($AO$5:$AY$13,$AO$17:$AY$25,$AO$30:$AY$38,$AO$42:$AY$50,$AO$54:$AY$62,$AO$66:$AY$74,$BI$5:$BS$13,$BI$17:$BS$25,$BI$29:$BS$37,$BI$41:$BS$49,$BI$53:$BS$61,$BI$65:$BS$73,$BY$5:$CI$13,$BY$17:$CI$25),MATCH($L$29,$AN$5:$AN$13,0),MATCH(A25,$AO$4:$AY$4,0),MATCH($G$25,$AL$18:$AL$31,0)))*C25</f>
        <v>0</v>
      </c>
      <c r="AC26" s="19">
        <f>(INDEX(($AO$5:$AY$13,$AO$17:$AY$25,$AO$30:$AY$38,$AO$42:$AY$50,$AO$54:$AY$62,$AO$66:$AY$74,$BI$5:$BS$13,$BI$17:$BS$25,$BI$29:$BS$37,$BI$41:$BS$49,$BI$53:$BS$61,$BI$65:$BS$73,$BY$5:$CI$13,$BY$17:$CI$25),MATCH($L$30,$AN$5:$AN$13,0),MATCH(A25,$AO$4:$AY$4,0),MATCH($G$25,$AL$18:$AL$31,0)))*C25</f>
        <v>0</v>
      </c>
      <c r="AD26" s="19">
        <f>(INDEX(($AO$5:$AY$13,$AO$17:$AY$25,$AO$30:$AY$38,$AO$42:$AY$50,$AO$54:$AY$62,$AO$66:$AY$74,$BI$5:$BS$13,$BI$17:$BS$25,$BI$29:$BS$37,$BI$41:$BS$49,$BI$53:$BS$61,$BI$65:$BS$73,$BY$5:$CI$13,$BY$17:$CI$25),MATCH($L$31,$AN$5:$AN$13,0),MATCH(A25,$AO$4:$AY$4,0),MATCH($G$25,$AL$18:$AL$31,0)))*C25</f>
        <v>0</v>
      </c>
      <c r="AE26" s="19">
        <f>(INDEX(($AO$5:$AY$13,$AO$17:$AY$25,$AO$30:$AY$38,$AO$42:$AY$50,$AO$54:$AY$62,$AO$66:$AY$74,$BI$5:$BS$13,$BI$17:$BS$25,$BI$29:$BS$37,$BI$41:$BS$49,$BI$53:$BS$61,$BI$65:$BS$73,$BY$5:$CI$13,$BY$17:$CI$25),MATCH($L$32,$AN$5:$AN$13,0),MATCH(A25,$AO$4:$AY$4,0),MATCH($G$25,$AL$18:$AL$31,0)))*C25</f>
        <v>0</v>
      </c>
      <c r="AL26" s="19" t="s">
        <v>197</v>
      </c>
      <c r="AN26" s="19"/>
      <c r="AO26" s="19"/>
      <c r="AP26" s="19"/>
      <c r="AQ26" s="19"/>
      <c r="AR26" s="19"/>
      <c r="AS26" s="19"/>
      <c r="AT26" s="19"/>
      <c r="AU26" s="19"/>
      <c r="AV26" s="19"/>
      <c r="AW26" s="19"/>
      <c r="AX26" s="19"/>
      <c r="AY26" s="19"/>
      <c r="AZ26" s="19"/>
      <c r="BA26" s="19"/>
      <c r="BB26" s="24">
        <v>30</v>
      </c>
      <c r="BC26" s="19"/>
      <c r="BD26" s="19"/>
      <c r="BE26" s="19"/>
      <c r="BF26" s="19"/>
      <c r="BG26" s="19"/>
      <c r="BT26" s="19"/>
      <c r="BU26" s="19"/>
      <c r="BV26" s="19"/>
      <c r="BW26" s="19"/>
      <c r="BX26" s="19"/>
      <c r="BY26" s="19"/>
      <c r="BZ26" s="19"/>
      <c r="CA26" s="19"/>
      <c r="CB26" s="19"/>
      <c r="CC26" s="19"/>
      <c r="CD26" s="19"/>
      <c r="CE26" s="19"/>
      <c r="CF26" s="19"/>
      <c r="CG26" s="19"/>
      <c r="CH26" s="19"/>
      <c r="CI26" s="19"/>
      <c r="CJ26" s="19"/>
      <c r="CK26" s="19"/>
      <c r="CL26" s="19"/>
      <c r="CM26" s="19"/>
    </row>
    <row r="27" spans="1:91" x14ac:dyDescent="0.25">
      <c r="A27" s="8"/>
      <c r="B27" s="6" t="s">
        <v>61</v>
      </c>
      <c r="C27" s="8"/>
      <c r="D27" s="6" t="s">
        <v>456</v>
      </c>
      <c r="E27" s="8">
        <v>0</v>
      </c>
      <c r="F27" s="5"/>
      <c r="G27" s="5"/>
      <c r="H27" s="5"/>
      <c r="I27" s="5"/>
      <c r="J27" s="5" t="s">
        <v>95</v>
      </c>
      <c r="K27" s="4"/>
      <c r="L27" s="6" t="s">
        <v>98</v>
      </c>
      <c r="M27" s="14">
        <f>INDEX(cenník!$C$2:$I$568,MATCH($L27,cenník!$B$2:$B$557,0),MATCH(M$2,cenník!$C$1:$I$1,0))</f>
        <v>851117</v>
      </c>
      <c r="N27" s="14" t="str">
        <f>INDEX(cenník!$C$2:$I$568,MATCH($L27,cenník!$B$2:$B$557,0),MATCH(N$2,cenník!$C$1:$I$1,0))</f>
        <v>ks</v>
      </c>
      <c r="O27" s="14">
        <f>SUM(Z25:Z40)</f>
        <v>0</v>
      </c>
      <c r="P27" s="21">
        <f>INDEX(cenník!$C$2:$I$568,MATCH($L27,cenník!$B$2:$B$557,0),MATCH(P$2,cenník!$C$1:$I$1,0))</f>
        <v>12.35</v>
      </c>
      <c r="Q27" s="21">
        <f t="shared" si="5"/>
        <v>0</v>
      </c>
      <c r="R27" s="22">
        <f t="shared" si="6"/>
        <v>0</v>
      </c>
      <c r="S27" s="21">
        <f t="shared" si="7"/>
        <v>12.35</v>
      </c>
      <c r="T27" s="21">
        <f t="shared" si="8"/>
        <v>0</v>
      </c>
      <c r="U27" s="21">
        <f>INDEX(cenník!$C$2:$I$568,MATCH($L27,cenník!$B$2:$B$557,0),MATCH(U$2,cenník!$C$1:$I$1,0))*O27</f>
        <v>0</v>
      </c>
      <c r="W27" s="19">
        <f>(INDEX(($AO$5:$AY$13,$AO$17:$AY$25,$AO$30:$AY$38,$AO$42:$AY$50,$AO$54:$AY$62,$AO$66:$AY$74,$BI$5:$BS$13,$BI$17:$BS$25,$BI$29:$BS$37,$BI$41:$BS$49,$BI$53:$BS$61,$BI$65:$BS$73,$BY$5:$CI$13,$BY$17:$CI$25),MATCH($L$33,$AN$5:$AN$13,0),MATCH(A26,$AO$4:$AY$4,0),MATCH($G$25,$AL$18:$AL$31,0)))*C26</f>
        <v>0</v>
      </c>
      <c r="X27" s="19">
        <f>(INDEX(($AO$5:$AY$13,$AO$17:$AY$25,$AO$30:$AY$38,$AO$42:$AY$50,$AO$54:$AY$62,$AO$66:$AY$74,$BI$5:$BS$13,$BI$17:$BS$25,$BI$29:$BS$37,$BI$41:$BS$49,$BI$53:$BS$61,$BI$65:$BS$73,$BY$5:$CI$13,$BY$17:$CI$25),MATCH($L$25,$AN$5:$AN$13,0),MATCH(A26,$AO$4:$AY$4,0),MATCH($G$25,$AL$18:$AL$31,0)))*C26</f>
        <v>0</v>
      </c>
      <c r="Y27" s="19">
        <f>(INDEX(($AO$5:$AY$13,$AO$17:$AY$25,$AO$30:$AY$38,$AO$42:$AY$50,$AO$54:$AY$62,$AO$66:$AY$74,$BI$5:$BS$13,$BI$17:$BS$25,$BI$29:$BS$37,$BI$41:$BS$49,$BI$53:$BS$61,$BI$65:$BS$73,$BY$5:$CI$13,$BY$17:$CI$25),MATCH($L$26,$AN$5:$AN$13,0),MATCH(A26,$AO$4:$AY$4,0),MATCH($G$25,$AL$18:$AL$31,0)))*C26</f>
        <v>0</v>
      </c>
      <c r="Z27" s="19">
        <f>(INDEX(($AO$5:$AY$13,$AO$17:$AY$25,$AO$30:$AY$38,$AO$42:$AY$50,$AO$54:$AY$62,$AO$66:$AY$74,$BI$5:$BS$13,$BI$17:$BS$25,$BI$29:$BS$37,$BI$41:$BS$49,$BI$53:$BS$61,$BI$65:$BS$73,$BY$5:$CI$13,$BY$17:$CI$25),MATCH($L$27,$AN$5:$AN$13,0),MATCH(A26,$AO$4:$AY$4,0),MATCH($G$25,$AL$18:$AL$31,0)))*C26</f>
        <v>0</v>
      </c>
      <c r="AA27" s="19">
        <f>(INDEX(($AO$5:$AY$13,$AO$17:$AY$25,$AO$30:$AY$38,$AO$42:$AY$50,$AO$54:$AY$62,$AO$66:$AY$74,$BI$5:$BS$13,$BI$17:$BS$25,$BI$29:$BS$37,$BI$41:$BS$49,$BI$53:$BS$61,$BI$65:$BS$73,$BY$5:$CI$13,$BY$17:$CI$25),MATCH($L$28,$AN$5:$AN$13,0),MATCH(A26,$AO$4:$AY$4,0),MATCH($G$25,$AL$18:$AL$31,0)))*C26</f>
        <v>0</v>
      </c>
      <c r="AB27" s="19">
        <f>(INDEX(($AO$5:$AY$13,$AO$17:$AY$25,$AO$30:$AY$38,$AO$42:$AY$50,$AO$54:$AY$62,$AO$66:$AY$74,$BI$5:$BS$13,$BI$17:$BS$25,$BI$29:$BS$37,$BI$41:$BS$49,$BI$53:$BS$61,$BI$65:$BS$73,$BY$5:$CI$13,$BY$17:$CI$25),MATCH($L$29,$AN$5:$AN$13,0),MATCH(A26,$AO$4:$AY$4,0),MATCH($G$25,$AL$18:$AL$31,0)))*C26</f>
        <v>0</v>
      </c>
      <c r="AC27" s="19">
        <f>(INDEX(($AO$5:$AY$13,$AO$17:$AY$25,$AO$30:$AY$38,$AO$42:$AY$50,$AO$54:$AY$62,$AO$66:$AY$74,$BI$5:$BS$13,$BI$17:$BS$25,$BI$29:$BS$37,$BI$41:$BS$49,$BI$53:$BS$61,$BI$65:$BS$73,$BY$5:$CI$13,$BY$17:$CI$25),MATCH($L$30,$AN$5:$AN$13,0),MATCH(A26,$AO$4:$AY$4,0),MATCH($G$25,$AL$18:$AL$31,0)))*C26</f>
        <v>0</v>
      </c>
      <c r="AD27" s="19">
        <f>(INDEX(($AO$5:$AY$13,$AO$17:$AY$25,$AO$30:$AY$38,$AO$42:$AY$50,$AO$54:$AY$62,$AO$66:$AY$74,$BI$5:$BS$13,$BI$17:$BS$25,$BI$29:$BS$37,$BI$41:$BS$49,$BI$53:$BS$61,$BI$65:$BS$73,$BY$5:$CI$13,$BY$17:$CI$25),MATCH($L$31,$AN$5:$AN$13,0),MATCH(A26,$AO$4:$AY$4,0),MATCH($G$25,$AL$18:$AL$31,0)))*C26</f>
        <v>0</v>
      </c>
      <c r="AE27" s="19">
        <f>(INDEX(($AO$5:$AY$13,$AO$17:$AY$25,$AO$30:$AY$38,$AO$42:$AY$50,$AO$54:$AY$62,$AO$66:$AY$74,$BI$5:$BS$13,$BI$17:$BS$25,$BI$29:$BS$37,$BI$41:$BS$49,$BI$53:$BS$61,$BI$65:$BS$73,$BY$5:$CI$13,$BY$17:$CI$25),MATCH($L$32,$AN$5:$AN$13,0),MATCH(A26,$AO$4:$AY$4,0),MATCH($G$25,$AL$18:$AL$31,0)))*C26</f>
        <v>0</v>
      </c>
      <c r="AL27" s="19" t="s">
        <v>196</v>
      </c>
      <c r="AN27" s="19"/>
      <c r="AO27" s="19"/>
      <c r="AP27" s="19"/>
      <c r="AQ27" s="19"/>
      <c r="AR27" s="19"/>
      <c r="AS27" s="19"/>
      <c r="AT27" s="19"/>
      <c r="AU27" s="19"/>
      <c r="AV27" s="19"/>
      <c r="AW27" s="19"/>
      <c r="AX27" s="19"/>
      <c r="AY27" s="19"/>
      <c r="AZ27" s="19"/>
      <c r="BA27" s="19"/>
      <c r="BB27" s="17"/>
      <c r="BC27" s="19"/>
      <c r="BD27" s="19"/>
      <c r="BE27" s="19"/>
      <c r="BF27" s="19"/>
      <c r="BG27" s="19"/>
      <c r="BH27" s="19" t="s">
        <v>197</v>
      </c>
      <c r="BI27" s="19"/>
      <c r="BJ27" s="19"/>
      <c r="BK27" s="19"/>
      <c r="BL27" s="19"/>
      <c r="BM27" s="19"/>
      <c r="BN27" s="19"/>
      <c r="BO27" s="19"/>
      <c r="BP27" s="19"/>
      <c r="BQ27" s="19"/>
      <c r="BR27" s="19"/>
      <c r="BS27" s="19"/>
      <c r="BT27" s="19"/>
      <c r="BU27" s="19"/>
      <c r="BV27" s="19"/>
      <c r="BW27" s="19"/>
      <c r="BX27" s="19"/>
      <c r="BY27" s="19"/>
      <c r="BZ27" s="19"/>
      <c r="CA27" s="19"/>
      <c r="CB27" s="19"/>
      <c r="CC27" s="19"/>
      <c r="CD27" s="19"/>
      <c r="CE27" s="19"/>
      <c r="CF27" s="19"/>
      <c r="CG27" s="19"/>
      <c r="CH27" s="19"/>
      <c r="CI27" s="19"/>
      <c r="CJ27" s="19"/>
      <c r="CK27" s="19"/>
      <c r="CL27" s="19"/>
      <c r="CM27" s="19"/>
    </row>
    <row r="28" spans="1:91" x14ac:dyDescent="0.25">
      <c r="A28" s="8"/>
      <c r="B28" s="6" t="s">
        <v>61</v>
      </c>
      <c r="C28" s="8"/>
      <c r="D28" s="6" t="s">
        <v>458</v>
      </c>
      <c r="E28" s="8">
        <v>25</v>
      </c>
      <c r="F28" s="5"/>
      <c r="G28" s="5"/>
      <c r="H28" s="5"/>
      <c r="I28" s="5"/>
      <c r="J28" s="5"/>
      <c r="K28" s="4"/>
      <c r="L28" s="6" t="s">
        <v>100</v>
      </c>
      <c r="M28" s="14">
        <f>INDEX(cenník!$C$2:$I$568,MATCH($L28,cenník!$B$2:$B$557,0),MATCH(M$2,cenník!$C$1:$I$1,0))</f>
        <v>851120</v>
      </c>
      <c r="N28" s="14" t="str">
        <f>INDEX(cenník!$C$2:$I$568,MATCH($L28,cenník!$B$2:$B$557,0),MATCH(N$2,cenník!$C$1:$I$1,0))</f>
        <v>ks</v>
      </c>
      <c r="O28" s="14">
        <f>SUM(AA25:AA40)</f>
        <v>0</v>
      </c>
      <c r="P28" s="21">
        <f>INDEX(cenník!$C$2:$I$568,MATCH($L28,cenník!$B$2:$B$557,0),MATCH(P$2,cenník!$C$1:$I$1,0))</f>
        <v>14.51</v>
      </c>
      <c r="Q28" s="21">
        <f t="shared" si="5"/>
        <v>0</v>
      </c>
      <c r="R28" s="22">
        <f t="shared" si="6"/>
        <v>0</v>
      </c>
      <c r="S28" s="21">
        <f t="shared" si="7"/>
        <v>14.51</v>
      </c>
      <c r="T28" s="21">
        <f t="shared" si="8"/>
        <v>0</v>
      </c>
      <c r="U28" s="21">
        <f>INDEX(cenník!$C$2:$I$568,MATCH($L28,cenník!$B$2:$B$557,0),MATCH(U$2,cenník!$C$1:$I$1,0))*O28</f>
        <v>0</v>
      </c>
      <c r="W28" s="19">
        <f>(INDEX(($AO$5:$AY$13,$AO$17:$AY$25,$AO$30:$AY$38,$AO$42:$AY$50,$AO$54:$AY$62,$AO$66:$AY$74,$BI$5:$BS$13,$BI$17:$BS$25,$BI$29:$BS$37,$BI$41:$BS$49,$BI$53:$BS$61,$BI$65:$BS$73,$BY$5:$CI$13,$BY$17:$CI$25),MATCH($L$33,$AN$5:$AN$13,0),MATCH(A27,$AO$4:$AY$4,0),MATCH($G$25,$AL$18:$AL$31,0)))*C27</f>
        <v>0</v>
      </c>
      <c r="X28" s="19">
        <f>(INDEX(($AO$5:$AY$13,$AO$17:$AY$25,$AO$30:$AY$38,$AO$42:$AY$50,$AO$54:$AY$62,$AO$66:$AY$74,$BI$5:$BS$13,$BI$17:$BS$25,$BI$29:$BS$37,$BI$41:$BS$49,$BI$53:$BS$61,$BI$65:$BS$73,$BY$5:$CI$13,$BY$17:$CI$25),MATCH($L$25,$AN$5:$AN$13,0),MATCH(A27,$AO$4:$AY$4,0),MATCH($G$25,$AL$18:$AL$31,0)))*C27</f>
        <v>0</v>
      </c>
      <c r="Y28" s="19">
        <f>(INDEX(($AO$5:$AY$13,$AO$17:$AY$25,$AO$30:$AY$38,$AO$42:$AY$50,$AO$54:$AY$62,$AO$66:$AY$74,$BI$5:$BS$13,$BI$17:$BS$25,$BI$29:$BS$37,$BI$41:$BS$49,$BI$53:$BS$61,$BI$65:$BS$73,$BY$5:$CI$13,$BY$17:$CI$25),MATCH($L$26,$AN$5:$AN$13,0),MATCH(A27,$AO$4:$AY$4,0),MATCH($G$25,$AL$18:$AL$31,0)))*C27</f>
        <v>0</v>
      </c>
      <c r="Z28" s="19">
        <f>(INDEX(($AO$5:$AY$13,$AO$17:$AY$25,$AO$30:$AY$38,$AO$42:$AY$50,$AO$54:$AY$62,$AO$66:$AY$74,$BI$5:$BS$13,$BI$17:$BS$25,$BI$29:$BS$37,$BI$41:$BS$49,$BI$53:$BS$61,$BI$65:$BS$73,$BY$5:$CI$13,$BY$17:$CI$25),MATCH($L$27,$AN$5:$AN$13,0),MATCH(A27,$AO$4:$AY$4,0),MATCH($G$25,$AL$18:$AL$31,0)))*C27</f>
        <v>0</v>
      </c>
      <c r="AA28" s="19">
        <f>(INDEX(($AO$5:$AY$13,$AO$17:$AY$25,$AO$30:$AY$38,$AO$42:$AY$50,$AO$54:$AY$62,$AO$66:$AY$74,$BI$5:$BS$13,$BI$17:$BS$25,$BI$29:$BS$37,$BI$41:$BS$49,$BI$53:$BS$61,$BI$65:$BS$73,$BY$5:$CI$13,$BY$17:$CI$25),MATCH($L$28,$AN$5:$AN$13,0),MATCH(A27,$AO$4:$AY$4,0),MATCH($G$25,$AL$18:$AL$31,0)))*C27</f>
        <v>0</v>
      </c>
      <c r="AB28" s="19">
        <f>(INDEX(($AO$5:$AY$13,$AO$17:$AY$25,$AO$30:$AY$38,$AO$42:$AY$50,$AO$54:$AY$62,$AO$66:$AY$74,$BI$5:$BS$13,$BI$17:$BS$25,$BI$29:$BS$37,$BI$41:$BS$49,$BI$53:$BS$61,$BI$65:$BS$73,$BY$5:$CI$13,$BY$17:$CI$25),MATCH($L$29,$AN$5:$AN$13,0),MATCH(A27,$AO$4:$AY$4,0),MATCH($G$25,$AL$18:$AL$31,0)))*C27</f>
        <v>0</v>
      </c>
      <c r="AC28" s="19">
        <f>(INDEX(($AO$5:$AY$13,$AO$17:$AY$25,$AO$30:$AY$38,$AO$42:$AY$50,$AO$54:$AY$62,$AO$66:$AY$74,$BI$5:$BS$13,$BI$17:$BS$25,$BI$29:$BS$37,$BI$41:$BS$49,$BI$53:$BS$61,$BI$65:$BS$73,$BY$5:$CI$13,$BY$17:$CI$25),MATCH($L$30,$AN$5:$AN$13,0),MATCH(A27,$AO$4:$AY$4,0),MATCH($G$25,$AL$18:$AL$31,0)))*C27</f>
        <v>0</v>
      </c>
      <c r="AD28" s="19">
        <f>(INDEX(($AO$5:$AY$13,$AO$17:$AY$25,$AO$30:$AY$38,$AO$42:$AY$50,$AO$54:$AY$62,$AO$66:$AY$74,$BI$5:$BS$13,$BI$17:$BS$25,$BI$29:$BS$37,$BI$41:$BS$49,$BI$53:$BS$61,$BI$65:$BS$73,$BY$5:$CI$13,$BY$17:$CI$25),MATCH($L$31,$AN$5:$AN$13,0),MATCH(A27,$AO$4:$AY$4,0),MATCH($G$25,$AL$18:$AL$31,0)))*C27</f>
        <v>0</v>
      </c>
      <c r="AE28" s="19">
        <f>(INDEX(($AO$5:$AY$13,$AO$17:$AY$25,$AO$30:$AY$38,$AO$42:$AY$50,$AO$54:$AY$62,$AO$66:$AY$74,$BI$5:$BS$13,$BI$17:$BS$25,$BI$29:$BS$37,$BI$41:$BS$49,$BI$53:$BS$61,$BI$65:$BS$73,$BY$5:$CI$13,$BY$17:$CI$25),MATCH($L$32,$AN$5:$AN$13,0),MATCH(A27,$AO$4:$AY$4,0),MATCH($G$25,$AL$18:$AL$31,0)))*C27</f>
        <v>0</v>
      </c>
      <c r="AL28" s="19" t="s">
        <v>198</v>
      </c>
      <c r="AN28" s="19" t="s">
        <v>199</v>
      </c>
      <c r="AO28" s="19"/>
      <c r="AP28" s="19"/>
      <c r="AQ28" s="19"/>
      <c r="AR28" s="19"/>
      <c r="AS28" s="19"/>
      <c r="AT28" s="19"/>
      <c r="AU28" s="19"/>
      <c r="AV28" s="19"/>
      <c r="AW28" s="19"/>
      <c r="AX28" s="19"/>
      <c r="AY28" s="19"/>
      <c r="AZ28" s="19"/>
      <c r="BA28" s="19"/>
      <c r="BB28" s="17"/>
      <c r="BC28" s="19"/>
      <c r="BD28" s="19"/>
      <c r="BE28" s="19"/>
      <c r="BF28" s="19"/>
      <c r="BG28" s="19"/>
      <c r="BH28" s="19"/>
      <c r="BI28" s="19">
        <v>0</v>
      </c>
      <c r="BJ28" s="19">
        <v>1</v>
      </c>
      <c r="BK28" s="19">
        <v>2</v>
      </c>
      <c r="BL28" s="19">
        <v>3</v>
      </c>
      <c r="BM28" s="19">
        <v>4</v>
      </c>
      <c r="BN28" s="19">
        <v>5</v>
      </c>
      <c r="BO28" s="19">
        <v>6</v>
      </c>
      <c r="BP28" s="19">
        <v>7</v>
      </c>
      <c r="BQ28" s="19">
        <v>8</v>
      </c>
      <c r="BR28" s="19">
        <v>9</v>
      </c>
      <c r="BS28" s="19">
        <v>10</v>
      </c>
      <c r="BT28" s="19"/>
      <c r="BU28" s="19"/>
      <c r="BV28" s="19"/>
      <c r="BW28" s="19"/>
      <c r="BX28" s="19"/>
      <c r="BY28" s="19"/>
      <c r="BZ28" s="19"/>
      <c r="CA28" s="19"/>
      <c r="CB28" s="19"/>
      <c r="CC28" s="19"/>
      <c r="CD28" s="19"/>
      <c r="CE28" s="19"/>
      <c r="CF28" s="19"/>
      <c r="CG28" s="19"/>
      <c r="CH28" s="19"/>
      <c r="CI28" s="19"/>
      <c r="CJ28" s="19"/>
      <c r="CK28" s="19"/>
      <c r="CL28" s="19"/>
      <c r="CM28" s="19"/>
    </row>
    <row r="29" spans="1:91" x14ac:dyDescent="0.25">
      <c r="A29" s="8"/>
      <c r="B29" s="6" t="s">
        <v>61</v>
      </c>
      <c r="C29" s="8"/>
      <c r="D29" s="6" t="s">
        <v>460</v>
      </c>
      <c r="E29" s="8">
        <v>0</v>
      </c>
      <c r="F29" s="5"/>
      <c r="G29" s="5"/>
      <c r="H29" s="5"/>
      <c r="I29" s="5"/>
      <c r="J29" s="5" t="s">
        <v>461</v>
      </c>
      <c r="K29" s="4"/>
      <c r="L29" s="6" t="s">
        <v>114</v>
      </c>
      <c r="M29" s="14">
        <f>INDEX(cenník!$C$2:$I$568,MATCH($L29,cenník!$B$2:$B$557,0),MATCH(M$2,cenník!$C$1:$I$1,0))</f>
        <v>851122</v>
      </c>
      <c r="N29" s="14" t="str">
        <f>INDEX(cenník!$C$2:$I$568,MATCH($L29,cenník!$B$2:$B$557,0),MATCH(N$2,cenník!$C$1:$I$1,0))</f>
        <v>ks</v>
      </c>
      <c r="O29" s="14">
        <f>SUM(AB25:AB40)</f>
        <v>0</v>
      </c>
      <c r="P29" s="21">
        <f>INDEX(cenník!$C$2:$I$568,MATCH($L29,cenník!$B$2:$B$557,0),MATCH(P$2,cenník!$C$1:$I$1,0))</f>
        <v>15.99</v>
      </c>
      <c r="Q29" s="21">
        <f t="shared" si="5"/>
        <v>0</v>
      </c>
      <c r="R29" s="22">
        <f t="shared" si="6"/>
        <v>0</v>
      </c>
      <c r="S29" s="21">
        <f t="shared" si="7"/>
        <v>15.99</v>
      </c>
      <c r="T29" s="21">
        <f t="shared" si="8"/>
        <v>0</v>
      </c>
      <c r="U29" s="21">
        <f>INDEX(cenník!$C$2:$I$568,MATCH($L29,cenník!$B$2:$B$557,0),MATCH(U$2,cenník!$C$1:$I$1,0))*O29</f>
        <v>0</v>
      </c>
      <c r="W29" s="19">
        <f>(INDEX(($AO$5:$AY$13,$AO$17:$AY$25,$AO$30:$AY$38,$AO$42:$AY$50,$AO$54:$AY$62,$AO$66:$AY$74,$BI$5:$BS$13,$BI$17:$BS$25,$BI$29:$BS$37,$BI$41:$BS$49,$BI$53:$BS$61,$BI$65:$BS$73,$BY$5:$CI$13,$BY$17:$CI$25),MATCH($L$33,$AN$5:$AN$13,0),MATCH(A28,$AO$4:$AY$4,0),MATCH($G$25,$AL$18:$AL$31,0)))*C28</f>
        <v>0</v>
      </c>
      <c r="X29" s="19">
        <f>(INDEX(($AO$5:$AY$13,$AO$17:$AY$25,$AO$30:$AY$38,$AO$42:$AY$50,$AO$54:$AY$62,$AO$66:$AY$74,$BI$5:$BS$13,$BI$17:$BS$25,$BI$29:$BS$37,$BI$41:$BS$49,$BI$53:$BS$61,$BI$65:$BS$73,$BY$5:$CI$13,$BY$17:$CI$25),MATCH($L$25,$AN$5:$AN$13,0),MATCH(A28,$AO$4:$AY$4,0),MATCH($G$25,$AL$18:$AL$31,0)))*C28</f>
        <v>0</v>
      </c>
      <c r="Y29" s="19">
        <f>(INDEX(($AO$5:$AY$13,$AO$17:$AY$25,$AO$30:$AY$38,$AO$42:$AY$50,$AO$54:$AY$62,$AO$66:$AY$74,$BI$5:$BS$13,$BI$17:$BS$25,$BI$29:$BS$37,$BI$41:$BS$49,$BI$53:$BS$61,$BI$65:$BS$73,$BY$5:$CI$13,$BY$17:$CI$25),MATCH($L$26,$AN$5:$AN$13,0),MATCH(A28,$AO$4:$AY$4,0),MATCH($G$25,$AL$18:$AL$31,0)))*C28</f>
        <v>0</v>
      </c>
      <c r="Z29" s="19">
        <f>(INDEX(($AO$5:$AY$13,$AO$17:$AY$25,$AO$30:$AY$38,$AO$42:$AY$50,$AO$54:$AY$62,$AO$66:$AY$74,$BI$5:$BS$13,$BI$17:$BS$25,$BI$29:$BS$37,$BI$41:$BS$49,$BI$53:$BS$61,$BI$65:$BS$73,$BY$5:$CI$13,$BY$17:$CI$25),MATCH($L$27,$AN$5:$AN$13,0),MATCH(A28,$AO$4:$AY$4,0),MATCH($G$25,$AL$18:$AL$31,0)))*C28</f>
        <v>0</v>
      </c>
      <c r="AA29" s="19">
        <f>(INDEX(($AO$5:$AY$13,$AO$17:$AY$25,$AO$30:$AY$38,$AO$42:$AY$50,$AO$54:$AY$62,$AO$66:$AY$74,$BI$5:$BS$13,$BI$17:$BS$25,$BI$29:$BS$37,$BI$41:$BS$49,$BI$53:$BS$61,$BI$65:$BS$73,$BY$5:$CI$13,$BY$17:$CI$25),MATCH($L$28,$AN$5:$AN$13,0),MATCH(A28,$AO$4:$AY$4,0),MATCH($G$25,$AL$18:$AL$31,0)))*C28</f>
        <v>0</v>
      </c>
      <c r="AB29" s="19">
        <f>(INDEX(($AO$5:$AY$13,$AO$17:$AY$25,$AO$30:$AY$38,$AO$42:$AY$50,$AO$54:$AY$62,$AO$66:$AY$74,$BI$5:$BS$13,$BI$17:$BS$25,$BI$29:$BS$37,$BI$41:$BS$49,$BI$53:$BS$61,$BI$65:$BS$73,$BY$5:$CI$13,$BY$17:$CI$25),MATCH($L$29,$AN$5:$AN$13,0),MATCH(A28,$AO$4:$AY$4,0),MATCH($G$25,$AL$18:$AL$31,0)))*C28</f>
        <v>0</v>
      </c>
      <c r="AC29" s="19">
        <f>(INDEX(($AO$5:$AY$13,$AO$17:$AY$25,$AO$30:$AY$38,$AO$42:$AY$50,$AO$54:$AY$62,$AO$66:$AY$74,$BI$5:$BS$13,$BI$17:$BS$25,$BI$29:$BS$37,$BI$41:$BS$49,$BI$53:$BS$61,$BI$65:$BS$73,$BY$5:$CI$13,$BY$17:$CI$25),MATCH($L$30,$AN$5:$AN$13,0),MATCH(A28,$AO$4:$AY$4,0),MATCH($G$25,$AL$18:$AL$31,0)))*C28</f>
        <v>0</v>
      </c>
      <c r="AD29" s="19">
        <f>(INDEX(($AO$5:$AY$13,$AO$17:$AY$25,$AO$30:$AY$38,$AO$42:$AY$50,$AO$54:$AY$62,$AO$66:$AY$74,$BI$5:$BS$13,$BI$17:$BS$25,$BI$29:$BS$37,$BI$41:$BS$49,$BI$53:$BS$61,$BI$65:$BS$73,$BY$5:$CI$13,$BY$17:$CI$25),MATCH($L$31,$AN$5:$AN$13,0),MATCH(A28,$AO$4:$AY$4,0),MATCH($G$25,$AL$18:$AL$31,0)))*C28</f>
        <v>0</v>
      </c>
      <c r="AE29" s="19">
        <f>(INDEX(($AO$5:$AY$13,$AO$17:$AY$25,$AO$30:$AY$38,$AO$42:$AY$50,$AO$54:$AY$62,$AO$66:$AY$74,$BI$5:$BS$13,$BI$17:$BS$25,$BI$29:$BS$37,$BI$41:$BS$49,$BI$53:$BS$61,$BI$65:$BS$73,$BY$5:$CI$13,$BY$17:$CI$25),MATCH($L$32,$AN$5:$AN$13,0),MATCH(A28,$AO$4:$AY$4,0),MATCH($G$25,$AL$18:$AL$31,0)))*C28</f>
        <v>0</v>
      </c>
      <c r="AL29" s="19" t="s">
        <v>58</v>
      </c>
      <c r="AN29" s="19"/>
      <c r="AO29" s="19">
        <v>0</v>
      </c>
      <c r="AP29" s="19">
        <v>1</v>
      </c>
      <c r="AQ29" s="19">
        <v>2</v>
      </c>
      <c r="AR29" s="19">
        <v>3</v>
      </c>
      <c r="AS29" s="19">
        <v>4</v>
      </c>
      <c r="AT29" s="19">
        <v>5</v>
      </c>
      <c r="AU29" s="19">
        <v>6</v>
      </c>
      <c r="AV29" s="19">
        <v>7</v>
      </c>
      <c r="AW29" s="19">
        <v>8</v>
      </c>
      <c r="AX29" s="19">
        <v>9</v>
      </c>
      <c r="AY29" s="19">
        <v>10</v>
      </c>
      <c r="AZ29" s="19"/>
      <c r="BA29" s="19"/>
      <c r="BB29" s="17"/>
      <c r="BC29" s="19"/>
      <c r="BD29" s="19"/>
      <c r="BE29" s="19"/>
      <c r="BF29" s="19"/>
      <c r="BG29" s="19"/>
      <c r="BH29" s="19" t="s">
        <v>99</v>
      </c>
      <c r="BI29" s="19">
        <v>0</v>
      </c>
      <c r="BJ29" s="19">
        <v>0</v>
      </c>
      <c r="BK29" s="19">
        <v>2</v>
      </c>
      <c r="BL29" s="19">
        <v>0</v>
      </c>
      <c r="BM29" s="19">
        <v>2</v>
      </c>
      <c r="BN29" s="19">
        <v>0</v>
      </c>
      <c r="BO29" s="19">
        <v>2</v>
      </c>
      <c r="BP29" s="19">
        <v>0</v>
      </c>
      <c r="BQ29" s="19">
        <v>2</v>
      </c>
      <c r="BR29" s="19">
        <v>0</v>
      </c>
      <c r="BS29" s="19">
        <v>2</v>
      </c>
      <c r="BT29" s="19"/>
      <c r="BU29" s="19"/>
      <c r="BV29" s="19"/>
      <c r="BW29" s="19"/>
      <c r="BX29" s="19"/>
      <c r="BY29" s="19"/>
      <c r="BZ29" s="19"/>
      <c r="CA29" s="19"/>
      <c r="CB29" s="19"/>
      <c r="CC29" s="19"/>
      <c r="CD29" s="19"/>
      <c r="CE29" s="19"/>
      <c r="CF29" s="19"/>
      <c r="CG29" s="19"/>
      <c r="CH29" s="19"/>
      <c r="CI29" s="19"/>
      <c r="CJ29" s="19"/>
      <c r="CK29" s="19"/>
      <c r="CL29" s="19"/>
      <c r="CM29" s="19"/>
    </row>
    <row r="30" spans="1:91" x14ac:dyDescent="0.25">
      <c r="A30" s="8"/>
      <c r="B30" s="6" t="s">
        <v>61</v>
      </c>
      <c r="C30" s="8"/>
      <c r="D30" s="6" t="s">
        <v>474</v>
      </c>
      <c r="E30" s="4"/>
      <c r="F30" s="5"/>
      <c r="G30" s="5"/>
      <c r="H30" s="5"/>
      <c r="I30" s="5"/>
      <c r="K30" s="4"/>
      <c r="L30" s="6" t="s">
        <v>9</v>
      </c>
      <c r="M30" s="14">
        <f>INDEX(cenník!$C$2:$I$568,MATCH($L30,cenník!$B$2:$B$557,0),MATCH(M$2,cenník!$C$1:$I$1,0))</f>
        <v>851132</v>
      </c>
      <c r="N30" s="14" t="str">
        <f>INDEX(cenník!$C$2:$I$568,MATCH($L30,cenník!$B$2:$B$557,0),MATCH(N$2,cenník!$C$1:$I$1,0))</f>
        <v>ks</v>
      </c>
      <c r="O30" s="14">
        <f>SUM(AC25:AC40)</f>
        <v>0</v>
      </c>
      <c r="P30" s="21">
        <f>INDEX(cenník!$C$2:$I$568,MATCH($L30,cenník!$B$2:$B$557,0),MATCH(P$2,cenník!$C$1:$I$1,0))</f>
        <v>21.79</v>
      </c>
      <c r="Q30" s="21">
        <f t="shared" si="5"/>
        <v>0</v>
      </c>
      <c r="R30" s="22">
        <f t="shared" si="6"/>
        <v>0</v>
      </c>
      <c r="S30" s="21">
        <f t="shared" si="7"/>
        <v>21.79</v>
      </c>
      <c r="T30" s="21">
        <f t="shared" si="8"/>
        <v>0</v>
      </c>
      <c r="U30" s="21">
        <f>INDEX(cenník!$C$2:$I$568,MATCH($L30,cenník!$B$2:$B$557,0),MATCH(U$2,cenník!$C$1:$I$1,0))*O30</f>
        <v>0</v>
      </c>
      <c r="W30" s="19">
        <f>(INDEX(($AO$5:$AY$13,$AO$17:$AY$25,$AO$30:$AY$38,$AO$42:$AY$50,$AO$54:$AY$62,$AO$66:$AY$74,$BI$5:$BS$13,$BI$17:$BS$25,$BI$29:$BS$37,$BI$41:$BS$49,$BI$53:$BS$61,$BI$65:$BS$73,$BY$5:$CI$13,$BY$17:$CI$25),MATCH($L$33,$AN$5:$AN$13,0),MATCH(A29,$AO$4:$AY$4,0),MATCH($G$25,$AL$18:$AL$31,0)))*C29</f>
        <v>0</v>
      </c>
      <c r="X30" s="19">
        <f>(INDEX(($AO$5:$AY$13,$AO$17:$AY$25,$AO$30:$AY$38,$AO$42:$AY$50,$AO$54:$AY$62,$AO$66:$AY$74,$BI$5:$BS$13,$BI$17:$BS$25,$BI$29:$BS$37,$BI$41:$BS$49,$BI$53:$BS$61,$BI$65:$BS$73,$BY$5:$CI$13,$BY$17:$CI$25),MATCH($L$25,$AN$5:$AN$13,0),MATCH(A29,$AO$4:$AY$4,0),MATCH($G$25,$AL$18:$AL$31,0)))*C29</f>
        <v>0</v>
      </c>
      <c r="Y30" s="19">
        <f>(INDEX(($AO$5:$AY$13,$AO$17:$AY$25,$AO$30:$AY$38,$AO$42:$AY$50,$AO$54:$AY$62,$AO$66:$AY$74,$BI$5:$BS$13,$BI$17:$BS$25,$BI$29:$BS$37,$BI$41:$BS$49,$BI$53:$BS$61,$BI$65:$BS$73,$BY$5:$CI$13,$BY$17:$CI$25),MATCH($L$26,$AN$5:$AN$13,0),MATCH(A29,$AO$4:$AY$4,0),MATCH($G$25,$AL$18:$AL$31,0)))*C29</f>
        <v>0</v>
      </c>
      <c r="Z30" s="19">
        <f>(INDEX(($AO$5:$AY$13,$AO$17:$AY$25,$AO$30:$AY$38,$AO$42:$AY$50,$AO$54:$AY$62,$AO$66:$AY$74,$BI$5:$BS$13,$BI$17:$BS$25,$BI$29:$BS$37,$BI$41:$BS$49,$BI$53:$BS$61,$BI$65:$BS$73,$BY$5:$CI$13,$BY$17:$CI$25),MATCH($L$27,$AN$5:$AN$13,0),MATCH(A29,$AO$4:$AY$4,0),MATCH($G$25,$AL$18:$AL$31,0)))*C29</f>
        <v>0</v>
      </c>
      <c r="AA30" s="19">
        <f>(INDEX(($AO$5:$AY$13,$AO$17:$AY$25,$AO$30:$AY$38,$AO$42:$AY$50,$AO$54:$AY$62,$AO$66:$AY$74,$BI$5:$BS$13,$BI$17:$BS$25,$BI$29:$BS$37,$BI$41:$BS$49,$BI$53:$BS$61,$BI$65:$BS$73,$BY$5:$CI$13,$BY$17:$CI$25),MATCH($L$28,$AN$5:$AN$13,0),MATCH(A29,$AO$4:$AY$4,0),MATCH($G$25,$AL$18:$AL$31,0)))*C29</f>
        <v>0</v>
      </c>
      <c r="AB30" s="19">
        <f>(INDEX(($AO$5:$AY$13,$AO$17:$AY$25,$AO$30:$AY$38,$AO$42:$AY$50,$AO$54:$AY$62,$AO$66:$AY$74,$BI$5:$BS$13,$BI$17:$BS$25,$BI$29:$BS$37,$BI$41:$BS$49,$BI$53:$BS$61,$BI$65:$BS$73,$BY$5:$CI$13,$BY$17:$CI$25),MATCH($L$29,$AN$5:$AN$13,0),MATCH(A29,$AO$4:$AY$4,0),MATCH($G$25,$AL$18:$AL$31,0)))*C29</f>
        <v>0</v>
      </c>
      <c r="AC30" s="19">
        <f>(INDEX(($AO$5:$AY$13,$AO$17:$AY$25,$AO$30:$AY$38,$AO$42:$AY$50,$AO$54:$AY$62,$AO$66:$AY$74,$BI$5:$BS$13,$BI$17:$BS$25,$BI$29:$BS$37,$BI$41:$BS$49,$BI$53:$BS$61,$BI$65:$BS$73,$BY$5:$CI$13,$BY$17:$CI$25),MATCH($L$30,$AN$5:$AN$13,0),MATCH(A29,$AO$4:$AY$4,0),MATCH($G$25,$AL$18:$AL$31,0)))*C29</f>
        <v>0</v>
      </c>
      <c r="AD30" s="19">
        <f>(INDEX(($AO$5:$AY$13,$AO$17:$AY$25,$AO$30:$AY$38,$AO$42:$AY$50,$AO$54:$AY$62,$AO$66:$AY$74,$BI$5:$BS$13,$BI$17:$BS$25,$BI$29:$BS$37,$BI$41:$BS$49,$BI$53:$BS$61,$BI$65:$BS$73,$BY$5:$CI$13,$BY$17:$CI$25),MATCH($L$31,$AN$5:$AN$13,0),MATCH(A29,$AO$4:$AY$4,0),MATCH($G$25,$AL$18:$AL$31,0)))*C29</f>
        <v>0</v>
      </c>
      <c r="AE30" s="19">
        <f>(INDEX(($AO$5:$AY$13,$AO$17:$AY$25,$AO$30:$AY$38,$AO$42:$AY$50,$AO$54:$AY$62,$AO$66:$AY$74,$BI$5:$BS$13,$BI$17:$BS$25,$BI$29:$BS$37,$BI$41:$BS$49,$BI$53:$BS$61,$BI$65:$BS$73,$BY$5:$CI$13,$BY$17:$CI$25),MATCH($L$32,$AN$5:$AN$13,0),MATCH(A29,$AO$4:$AY$4,0),MATCH($G$25,$AL$18:$AL$31,0)))*C29</f>
        <v>0</v>
      </c>
      <c r="AL30" s="19" t="s">
        <v>71</v>
      </c>
      <c r="AN30" s="19" t="s">
        <v>99</v>
      </c>
      <c r="AO30" s="19">
        <v>0</v>
      </c>
      <c r="AP30" s="19">
        <v>0</v>
      </c>
      <c r="AQ30" s="19">
        <v>0</v>
      </c>
      <c r="AR30" s="19">
        <v>0</v>
      </c>
      <c r="AS30" s="19">
        <v>2</v>
      </c>
      <c r="AT30" s="19">
        <v>0</v>
      </c>
      <c r="AU30" s="19">
        <v>0</v>
      </c>
      <c r="AV30" s="19">
        <v>0</v>
      </c>
      <c r="AW30" s="19">
        <v>0</v>
      </c>
      <c r="AX30" s="19">
        <v>0</v>
      </c>
      <c r="AY30" s="19">
        <v>2</v>
      </c>
      <c r="AZ30" s="19"/>
      <c r="BA30" s="19"/>
      <c r="BB30" s="17"/>
      <c r="BC30" s="19"/>
      <c r="BD30" s="19"/>
      <c r="BE30" s="19"/>
      <c r="BF30" s="19"/>
      <c r="BG30" s="19"/>
      <c r="BH30" s="19" t="s">
        <v>8</v>
      </c>
      <c r="BI30" s="19">
        <v>0</v>
      </c>
      <c r="BJ30" s="19">
        <v>0</v>
      </c>
      <c r="BK30" s="19">
        <v>0</v>
      </c>
      <c r="BL30" s="19">
        <v>0</v>
      </c>
      <c r="BM30" s="19">
        <v>0</v>
      </c>
      <c r="BN30" s="19">
        <v>0</v>
      </c>
      <c r="BO30" s="19">
        <v>0</v>
      </c>
      <c r="BP30" s="19">
        <v>0</v>
      </c>
      <c r="BQ30" s="19">
        <v>0</v>
      </c>
      <c r="BR30" s="19">
        <v>0</v>
      </c>
      <c r="BS30" s="19">
        <v>0</v>
      </c>
      <c r="BT30" s="19"/>
      <c r="BU30" s="19"/>
      <c r="BV30" s="19"/>
      <c r="BW30" s="19"/>
      <c r="BX30" s="19"/>
      <c r="BY30" s="19"/>
      <c r="BZ30" s="19"/>
      <c r="CA30" s="19"/>
      <c r="CB30" s="19"/>
      <c r="CC30" s="19"/>
      <c r="CD30" s="19"/>
      <c r="CE30" s="19"/>
      <c r="CF30" s="19"/>
      <c r="CG30" s="19"/>
      <c r="CH30" s="19"/>
      <c r="CI30" s="19"/>
      <c r="CJ30" s="19"/>
      <c r="CK30" s="19"/>
      <c r="CL30" s="19"/>
      <c r="CM30" s="19"/>
    </row>
    <row r="31" spans="1:91" x14ac:dyDescent="0.25">
      <c r="A31" s="8"/>
      <c r="B31" s="6" t="s">
        <v>61</v>
      </c>
      <c r="C31" s="8"/>
      <c r="E31" s="4"/>
      <c r="F31" s="4"/>
      <c r="G31" s="4"/>
      <c r="H31" s="4"/>
      <c r="I31" s="4"/>
      <c r="K31" s="4"/>
      <c r="L31" s="6" t="s">
        <v>101</v>
      </c>
      <c r="M31" s="14">
        <f>INDEX(cenník!$C$2:$I$568,MATCH($L31,cenník!$B$2:$B$557,0),MATCH(M$2,cenník!$C$1:$I$1,0))</f>
        <v>851135</v>
      </c>
      <c r="N31" s="14" t="str">
        <f>INDEX(cenník!$C$2:$I$568,MATCH($L31,cenník!$B$2:$B$557,0),MATCH(N$2,cenník!$C$1:$I$1,0))</f>
        <v>ks</v>
      </c>
      <c r="O31" s="14">
        <f>SUM(AD25:AD40)</f>
        <v>0</v>
      </c>
      <c r="P31" s="21">
        <f>INDEX(cenník!$C$2:$I$568,MATCH($L31,cenník!$B$2:$B$557,0),MATCH(P$2,cenník!$C$1:$I$1,0))</f>
        <v>25.4</v>
      </c>
      <c r="Q31" s="21">
        <f t="shared" si="5"/>
        <v>0</v>
      </c>
      <c r="R31" s="22">
        <f t="shared" si="6"/>
        <v>0</v>
      </c>
      <c r="S31" s="21">
        <f t="shared" si="7"/>
        <v>25.4</v>
      </c>
      <c r="T31" s="21">
        <f t="shared" si="8"/>
        <v>0</v>
      </c>
      <c r="U31" s="21">
        <f>INDEX(cenník!$C$2:$I$568,MATCH($L31,cenník!$B$2:$B$557,0),MATCH(U$2,cenník!$C$1:$I$1,0))*O31</f>
        <v>0</v>
      </c>
      <c r="W31" s="19">
        <f>(INDEX(($AO$5:$AY$13,$AO$17:$AY$25,$AO$30:$AY$38,$AO$42:$AY$50,$AO$54:$AY$62,$AO$66:$AY$74,$BI$5:$BS$13,$BI$17:$BS$25,$BI$29:$BS$37,$BI$41:$BS$49,$BI$53:$BS$61,$BI$65:$BS$73,$BY$5:$CI$13,$BY$17:$CI$25),MATCH($L$33,$AN$5:$AN$13,0),MATCH(A30,$AO$4:$AY$4,0),MATCH($G$25,$AL$18:$AL$31,0)))*C30</f>
        <v>0</v>
      </c>
      <c r="X31" s="19">
        <f>(INDEX(($AO$5:$AY$13,$AO$17:$AY$25,$AO$30:$AY$38,$AO$42:$AY$50,$AO$54:$AY$62,$AO$66:$AY$74,$BI$5:$BS$13,$BI$17:$BS$25,$BI$29:$BS$37,$BI$41:$BS$49,$BI$53:$BS$61,$BI$65:$BS$73,$BY$5:$CI$13,$BY$17:$CI$25),MATCH($L$25,$AN$5:$AN$13,0),MATCH(A30,$AO$4:$AY$4,0),MATCH($G$25,$AL$18:$AL$31,0)))*C30</f>
        <v>0</v>
      </c>
      <c r="Y31" s="19">
        <f>(INDEX(($AO$5:$AY$13,$AO$17:$AY$25,$AO$30:$AY$38,$AO$42:$AY$50,$AO$54:$AY$62,$AO$66:$AY$74,$BI$5:$BS$13,$BI$17:$BS$25,$BI$29:$BS$37,$BI$41:$BS$49,$BI$53:$BS$61,$BI$65:$BS$73,$BY$5:$CI$13,$BY$17:$CI$25),MATCH($L$26,$AN$5:$AN$13,0),MATCH(A30,$AO$4:$AY$4,0),MATCH($G$25,$AL$18:$AL$31,0)))*C30</f>
        <v>0</v>
      </c>
      <c r="Z31" s="19">
        <f>(INDEX(($AO$5:$AY$13,$AO$17:$AY$25,$AO$30:$AY$38,$AO$42:$AY$50,$AO$54:$AY$62,$AO$66:$AY$74,$BI$5:$BS$13,$BI$17:$BS$25,$BI$29:$BS$37,$BI$41:$BS$49,$BI$53:$BS$61,$BI$65:$BS$73,$BY$5:$CI$13,$BY$17:$CI$25),MATCH($L$27,$AN$5:$AN$13,0),MATCH(A30,$AO$4:$AY$4,0),MATCH($G$25,$AL$18:$AL$31,0)))*C30</f>
        <v>0</v>
      </c>
      <c r="AA31" s="19">
        <f>(INDEX(($AO$5:$AY$13,$AO$17:$AY$25,$AO$30:$AY$38,$AO$42:$AY$50,$AO$54:$AY$62,$AO$66:$AY$74,$BI$5:$BS$13,$BI$17:$BS$25,$BI$29:$BS$37,$BI$41:$BS$49,$BI$53:$BS$61,$BI$65:$BS$73,$BY$5:$CI$13,$BY$17:$CI$25),MATCH($L$28,$AN$5:$AN$13,0),MATCH(A30,$AO$4:$AY$4,0),MATCH($G$25,$AL$18:$AL$31,0)))*C30</f>
        <v>0</v>
      </c>
      <c r="AB31" s="19">
        <f>(INDEX(($AO$5:$AY$13,$AO$17:$AY$25,$AO$30:$AY$38,$AO$42:$AY$50,$AO$54:$AY$62,$AO$66:$AY$74,$BI$5:$BS$13,$BI$17:$BS$25,$BI$29:$BS$37,$BI$41:$BS$49,$BI$53:$BS$61,$BI$65:$BS$73,$BY$5:$CI$13,$BY$17:$CI$25),MATCH($L$29,$AN$5:$AN$13,0),MATCH(A30,$AO$4:$AY$4,0),MATCH($G$25,$AL$18:$AL$31,0)))*C30</f>
        <v>0</v>
      </c>
      <c r="AC31" s="19">
        <f>(INDEX(($AO$5:$AY$13,$AO$17:$AY$25,$AO$30:$AY$38,$AO$42:$AY$50,$AO$54:$AY$62,$AO$66:$AY$74,$BI$5:$BS$13,$BI$17:$BS$25,$BI$29:$BS$37,$BI$41:$BS$49,$BI$53:$BS$61,$BI$65:$BS$73,$BY$5:$CI$13,$BY$17:$CI$25),MATCH($L$30,$AN$5:$AN$13,0),MATCH(A30,$AO$4:$AY$4,0),MATCH($G$25,$AL$18:$AL$31,0)))*C30</f>
        <v>0</v>
      </c>
      <c r="AD31" s="19">
        <f>(INDEX(($AO$5:$AY$13,$AO$17:$AY$25,$AO$30:$AY$38,$AO$42:$AY$50,$AO$54:$AY$62,$AO$66:$AY$74,$BI$5:$BS$13,$BI$17:$BS$25,$BI$29:$BS$37,$BI$41:$BS$49,$BI$53:$BS$61,$BI$65:$BS$73,$BY$5:$CI$13,$BY$17:$CI$25),MATCH($L$31,$AN$5:$AN$13,0),MATCH(A30,$AO$4:$AY$4,0),MATCH($G$25,$AL$18:$AL$31,0)))*C30</f>
        <v>0</v>
      </c>
      <c r="AE31" s="19">
        <f>(INDEX(($AO$5:$AY$13,$AO$17:$AY$25,$AO$30:$AY$38,$AO$42:$AY$50,$AO$54:$AY$62,$AO$66:$AY$74,$BI$5:$BS$13,$BI$17:$BS$25,$BI$29:$BS$37,$BI$41:$BS$49,$BI$53:$BS$61,$BI$65:$BS$73,$BY$5:$CI$13,$BY$17:$CI$25),MATCH($L$32,$AN$5:$AN$13,0),MATCH(A30,$AO$4:$AY$4,0),MATCH($G$25,$AL$18:$AL$31,0)))*C30</f>
        <v>0</v>
      </c>
      <c r="AL31" s="19" t="s">
        <v>72</v>
      </c>
      <c r="AN31" s="19" t="s">
        <v>8</v>
      </c>
      <c r="AO31" s="19">
        <v>0</v>
      </c>
      <c r="AP31" s="19">
        <v>2</v>
      </c>
      <c r="AQ31" s="19">
        <v>4</v>
      </c>
      <c r="AR31" s="19">
        <v>0</v>
      </c>
      <c r="AS31" s="19">
        <v>0</v>
      </c>
      <c r="AT31" s="19">
        <v>0</v>
      </c>
      <c r="AU31" s="19">
        <v>0</v>
      </c>
      <c r="AV31" s="19">
        <v>2</v>
      </c>
      <c r="AW31" s="19">
        <v>0</v>
      </c>
      <c r="AX31" s="19">
        <v>0</v>
      </c>
      <c r="AY31" s="19">
        <v>0</v>
      </c>
      <c r="AZ31" s="19"/>
      <c r="BA31" s="19"/>
      <c r="BB31" s="17"/>
      <c r="BC31" s="19"/>
      <c r="BD31" s="19"/>
      <c r="BE31" s="19"/>
      <c r="BF31" s="19"/>
      <c r="BG31" s="19"/>
      <c r="BH31" s="19" t="s">
        <v>98</v>
      </c>
      <c r="BI31" s="19">
        <v>0</v>
      </c>
      <c r="BJ31" s="19">
        <v>0</v>
      </c>
      <c r="BK31" s="19">
        <v>0</v>
      </c>
      <c r="BL31" s="19">
        <v>0</v>
      </c>
      <c r="BM31" s="19">
        <v>0</v>
      </c>
      <c r="BN31" s="19">
        <v>0</v>
      </c>
      <c r="BO31" s="19">
        <v>0</v>
      </c>
      <c r="BP31" s="19">
        <v>0</v>
      </c>
      <c r="BQ31" s="19">
        <v>0</v>
      </c>
      <c r="BR31" s="19">
        <v>0</v>
      </c>
      <c r="BS31" s="19">
        <v>0</v>
      </c>
      <c r="BT31" s="19"/>
      <c r="BU31" s="19"/>
      <c r="BV31" s="19"/>
      <c r="BW31" s="19"/>
      <c r="BX31" s="19"/>
      <c r="BY31" s="19"/>
      <c r="BZ31" s="19"/>
      <c r="CA31" s="19"/>
      <c r="CB31" s="19"/>
      <c r="CC31" s="19"/>
      <c r="CD31" s="19"/>
      <c r="CE31" s="19"/>
      <c r="CF31" s="19"/>
      <c r="CG31" s="19"/>
      <c r="CH31" s="19"/>
      <c r="CI31" s="19"/>
      <c r="CJ31" s="19"/>
      <c r="CK31" s="19"/>
      <c r="CL31" s="19"/>
      <c r="CM31" s="19"/>
    </row>
    <row r="32" spans="1:91" x14ac:dyDescent="0.25">
      <c r="A32" s="8"/>
      <c r="B32" s="6" t="s">
        <v>61</v>
      </c>
      <c r="C32" s="8"/>
      <c r="D32" s="16" t="s">
        <v>528</v>
      </c>
      <c r="E32" s="4"/>
      <c r="F32" s="4"/>
      <c r="G32" s="4"/>
      <c r="H32" s="4"/>
      <c r="I32" s="4"/>
      <c r="J32" s="4"/>
      <c r="K32" s="4"/>
      <c r="L32" s="6" t="s">
        <v>102</v>
      </c>
      <c r="M32" s="14">
        <f>INDEX(cenník!$C$2:$I$568,MATCH($L32,cenník!$B$2:$B$557,0),MATCH(M$2,cenník!$C$1:$I$1,0))</f>
        <v>852137</v>
      </c>
      <c r="N32" s="14" t="str">
        <f>INDEX(cenník!$C$2:$I$568,MATCH($L32,cenník!$B$2:$B$557,0),MATCH(N$2,cenník!$C$1:$I$1,0))</f>
        <v>ks</v>
      </c>
      <c r="O32" s="14">
        <f>SUM(AE25:AE40)</f>
        <v>0</v>
      </c>
      <c r="P32" s="21">
        <f>INDEX(cenník!$C$2:$I$568,MATCH($L32,cenník!$B$2:$B$557,0),MATCH(P$2,cenník!$C$1:$I$1,0))</f>
        <v>26.88</v>
      </c>
      <c r="Q32" s="21">
        <f t="shared" si="5"/>
        <v>0</v>
      </c>
      <c r="R32" s="22">
        <f t="shared" si="6"/>
        <v>0</v>
      </c>
      <c r="S32" s="21">
        <f t="shared" si="7"/>
        <v>26.88</v>
      </c>
      <c r="T32" s="21">
        <f t="shared" si="8"/>
        <v>0</v>
      </c>
      <c r="U32" s="21">
        <f>INDEX(cenník!$C$2:$I$568,MATCH($L32,cenník!$B$2:$B$557,0),MATCH(U$2,cenník!$C$1:$I$1,0))*O32</f>
        <v>0</v>
      </c>
      <c r="W32" s="19">
        <f>(INDEX(($AO$5:$AY$13,$AO$17:$AY$25,$AO$30:$AY$38,$AO$42:$AY$50,$AO$54:$AY$62,$AO$66:$AY$74,$BI$5:$BS$13,$BI$17:$BS$25,$BI$29:$BS$37,$BI$41:$BS$49,$BI$53:$BS$61,$BI$65:$BS$73,$BY$5:$CI$13,$BY$17:$CI$25),MATCH($L$33,$AN$5:$AN$13,0),MATCH(A31,$AO$4:$AY$4,0),MATCH($G$25,$AL$18:$AL$31,0)))*C31</f>
        <v>0</v>
      </c>
      <c r="X32" s="19">
        <f>(INDEX(($AO$5:$AY$13,$AO$17:$AY$25,$AO$30:$AY$38,$AO$42:$AY$50,$AO$54:$AY$62,$AO$66:$AY$74,$BI$5:$BS$13,$BI$17:$BS$25,$BI$29:$BS$37,$BI$41:$BS$49,$BI$53:$BS$61,$BI$65:$BS$73,$BY$5:$CI$13,$BY$17:$CI$25),MATCH($L$25,$AN$5:$AN$13,0),MATCH(A31,$AO$4:$AY$4,0),MATCH($G$25,$AL$18:$AL$31,0)))*C31</f>
        <v>0</v>
      </c>
      <c r="Y32" s="19">
        <f>(INDEX(($AO$5:$AY$13,$AO$17:$AY$25,$AO$30:$AY$38,$AO$42:$AY$50,$AO$54:$AY$62,$AO$66:$AY$74,$BI$5:$BS$13,$BI$17:$BS$25,$BI$29:$BS$37,$BI$41:$BS$49,$BI$53:$BS$61,$BI$65:$BS$73,$BY$5:$CI$13,$BY$17:$CI$25),MATCH($L$26,$AN$5:$AN$13,0),MATCH(A31,$AO$4:$AY$4,0),MATCH($G$25,$AL$18:$AL$31,0)))*C31</f>
        <v>0</v>
      </c>
      <c r="Z32" s="19">
        <f>(INDEX(($AO$5:$AY$13,$AO$17:$AY$25,$AO$30:$AY$38,$AO$42:$AY$50,$AO$54:$AY$62,$AO$66:$AY$74,$BI$5:$BS$13,$BI$17:$BS$25,$BI$29:$BS$37,$BI$41:$BS$49,$BI$53:$BS$61,$BI$65:$BS$73,$BY$5:$CI$13,$BY$17:$CI$25),MATCH($L$27,$AN$5:$AN$13,0),MATCH(A31,$AO$4:$AY$4,0),MATCH($G$25,$AL$18:$AL$31,0)))*C31</f>
        <v>0</v>
      </c>
      <c r="AA32" s="19">
        <f>(INDEX(($AO$5:$AY$13,$AO$17:$AY$25,$AO$30:$AY$38,$AO$42:$AY$50,$AO$54:$AY$62,$AO$66:$AY$74,$BI$5:$BS$13,$BI$17:$BS$25,$BI$29:$BS$37,$BI$41:$BS$49,$BI$53:$BS$61,$BI$65:$BS$73,$BY$5:$CI$13,$BY$17:$CI$25),MATCH($L$28,$AN$5:$AN$13,0),MATCH(A31,$AO$4:$AY$4,0),MATCH($G$25,$AL$18:$AL$31,0)))*C31</f>
        <v>0</v>
      </c>
      <c r="AB32" s="19">
        <f>(INDEX(($AO$5:$AY$13,$AO$17:$AY$25,$AO$30:$AY$38,$AO$42:$AY$50,$AO$54:$AY$62,$AO$66:$AY$74,$BI$5:$BS$13,$BI$17:$BS$25,$BI$29:$BS$37,$BI$41:$BS$49,$BI$53:$BS$61,$BI$65:$BS$73,$BY$5:$CI$13,$BY$17:$CI$25),MATCH($L$29,$AN$5:$AN$13,0),MATCH(A31,$AO$4:$AY$4,0),MATCH($G$25,$AL$18:$AL$31,0)))*C31</f>
        <v>0</v>
      </c>
      <c r="AC32" s="19">
        <f>(INDEX(($AO$5:$AY$13,$AO$17:$AY$25,$AO$30:$AY$38,$AO$42:$AY$50,$AO$54:$AY$62,$AO$66:$AY$74,$BI$5:$BS$13,$BI$17:$BS$25,$BI$29:$BS$37,$BI$41:$BS$49,$BI$53:$BS$61,$BI$65:$BS$73,$BY$5:$CI$13,$BY$17:$CI$25),MATCH($L$30,$AN$5:$AN$13,0),MATCH(A31,$AO$4:$AY$4,0),MATCH($G$25,$AL$18:$AL$31,0)))*C31</f>
        <v>0</v>
      </c>
      <c r="AD32" s="19">
        <f>(INDEX(($AO$5:$AY$13,$AO$17:$AY$25,$AO$30:$AY$38,$AO$42:$AY$50,$AO$54:$AY$62,$AO$66:$AY$74,$BI$5:$BS$13,$BI$17:$BS$25,$BI$29:$BS$37,$BI$41:$BS$49,$BI$53:$BS$61,$BI$65:$BS$73,$BY$5:$CI$13,$BY$17:$CI$25),MATCH($L$31,$AN$5:$AN$13,0),MATCH(A31,$AO$4:$AY$4,0),MATCH($G$25,$AL$18:$AL$31,0)))*C31</f>
        <v>0</v>
      </c>
      <c r="AE32" s="19">
        <f>(INDEX(($AO$5:$AY$13,$AO$17:$AY$25,$AO$30:$AY$38,$AO$42:$AY$50,$AO$54:$AY$62,$AO$66:$AY$74,$BI$5:$BS$13,$BI$17:$BS$25,$BI$29:$BS$37,$BI$41:$BS$49,$BI$53:$BS$61,$BI$65:$BS$73,$BY$5:$CI$13,$BY$17:$CI$25),MATCH($L$32,$AN$5:$AN$13,0),MATCH(A31,$AO$4:$AY$4,0),MATCH($G$25,$AL$18:$AL$31,0)))*C31</f>
        <v>0</v>
      </c>
      <c r="AL32" s="19" t="s">
        <v>203</v>
      </c>
      <c r="AN32" s="19" t="s">
        <v>98</v>
      </c>
      <c r="AO32" s="19">
        <v>0</v>
      </c>
      <c r="AP32" s="19">
        <v>0</v>
      </c>
      <c r="AQ32" s="19">
        <v>0</v>
      </c>
      <c r="AR32" s="19">
        <v>0</v>
      </c>
      <c r="AS32" s="19">
        <v>0</v>
      </c>
      <c r="AT32" s="19">
        <v>0</v>
      </c>
      <c r="AU32" s="19">
        <v>0</v>
      </c>
      <c r="AV32" s="19">
        <v>0</v>
      </c>
      <c r="AW32" s="19">
        <v>2</v>
      </c>
      <c r="AX32" s="19">
        <v>0</v>
      </c>
      <c r="AY32" s="19">
        <v>0</v>
      </c>
      <c r="AZ32" s="19"/>
      <c r="BA32" s="19"/>
      <c r="BB32" s="17"/>
      <c r="BC32" s="19"/>
      <c r="BD32" s="19"/>
      <c r="BE32" s="19"/>
      <c r="BF32" s="19"/>
      <c r="BG32" s="19"/>
      <c r="BH32" s="19" t="s">
        <v>100</v>
      </c>
      <c r="BI32" s="19">
        <v>0</v>
      </c>
      <c r="BJ32" s="19">
        <v>2</v>
      </c>
      <c r="BK32" s="19">
        <v>0</v>
      </c>
      <c r="BL32" s="19">
        <v>2</v>
      </c>
      <c r="BM32" s="19">
        <v>0</v>
      </c>
      <c r="BN32" s="19">
        <v>0</v>
      </c>
      <c r="BO32" s="19">
        <v>0</v>
      </c>
      <c r="BP32" s="19">
        <v>0</v>
      </c>
      <c r="BQ32" s="19">
        <v>0</v>
      </c>
      <c r="BR32" s="19">
        <v>0</v>
      </c>
      <c r="BS32" s="19">
        <v>0</v>
      </c>
      <c r="BT32" s="19"/>
      <c r="BU32" s="19"/>
      <c r="BV32" s="19"/>
      <c r="BW32" s="19"/>
      <c r="BX32" s="19"/>
      <c r="BY32" s="19"/>
      <c r="BZ32" s="19"/>
      <c r="CA32" s="19"/>
      <c r="CB32" s="19"/>
      <c r="CC32" s="19"/>
      <c r="CD32" s="19"/>
      <c r="CE32" s="19"/>
      <c r="CF32" s="19"/>
      <c r="CG32" s="19"/>
      <c r="CH32" s="19"/>
      <c r="CI32" s="19"/>
      <c r="CJ32" s="19"/>
      <c r="CK32" s="19"/>
      <c r="CL32" s="19"/>
      <c r="CM32" s="19"/>
    </row>
    <row r="33" spans="1:91" x14ac:dyDescent="0.25">
      <c r="A33" s="8"/>
      <c r="B33" s="6" t="s">
        <v>61</v>
      </c>
      <c r="C33" s="8"/>
      <c r="D33" s="16" t="s">
        <v>558</v>
      </c>
      <c r="E33" s="4"/>
      <c r="F33" s="4"/>
      <c r="G33" s="4"/>
      <c r="H33" s="4"/>
      <c r="I33" s="4"/>
      <c r="J33" s="4"/>
      <c r="K33" s="4"/>
      <c r="L33" s="6" t="s">
        <v>10</v>
      </c>
      <c r="M33" s="14">
        <f>INDEX(cenník!$C$2:$I$568,MATCH($L33,cenník!$B$2:$B$557,0),MATCH(M$2,cenník!$C$1:$I$1,0))</f>
        <v>851541</v>
      </c>
      <c r="N33" s="14" t="str">
        <f>INDEX(cenník!$C$2:$I$568,MATCH($L33,cenník!$B$2:$B$557,0),MATCH(N$2,cenník!$C$1:$I$1,0))</f>
        <v>ks</v>
      </c>
      <c r="O33" s="14">
        <f>SUM(W25:W40)</f>
        <v>0</v>
      </c>
      <c r="P33" s="21">
        <f>INDEX(cenník!$C$2:$I$568,MATCH($L33,cenník!$B$2:$B$557,0),MATCH(P$2,cenník!$C$1:$I$1,0))</f>
        <v>1.82</v>
      </c>
      <c r="Q33" s="21">
        <f t="shared" si="5"/>
        <v>0</v>
      </c>
      <c r="R33" s="22">
        <f t="shared" si="6"/>
        <v>0</v>
      </c>
      <c r="S33" s="21">
        <f t="shared" si="7"/>
        <v>1.82</v>
      </c>
      <c r="T33" s="21">
        <f t="shared" si="8"/>
        <v>0</v>
      </c>
      <c r="U33" s="21">
        <f>INDEX(cenník!$C$2:$I$568,MATCH($L33,cenník!$B$2:$B$557,0),MATCH(U$2,cenník!$C$1:$I$1,0))*O33</f>
        <v>0</v>
      </c>
      <c r="W33" s="19">
        <f>(INDEX(($AO$5:$AY$13,$AO$17:$AY$25,$AO$30:$AY$38,$AO$42:$AY$50,$AO$54:$AY$62,$AO$66:$AY$74,$BI$5:$BS$13,$BI$17:$BS$25,$BI$29:$BS$37,$BI$41:$BS$49,$BI$53:$BS$61,$BI$65:$BS$73,$BY$5:$CI$13,$BY$17:$CI$25),MATCH($L$33,$AN$5:$AN$13,0),MATCH(A32,$AO$4:$AY$4,0),MATCH($G$25,$AL$18:$AL$31,0)))*C32</f>
        <v>0</v>
      </c>
      <c r="X33" s="19">
        <f>(INDEX(($AO$5:$AY$13,$AO$17:$AY$25,$AO$30:$AY$38,$AO$42:$AY$50,$AO$54:$AY$62,$AO$66:$AY$74,$BI$5:$BS$13,$BI$17:$BS$25,$BI$29:$BS$37,$BI$41:$BS$49,$BI$53:$BS$61,$BI$65:$BS$73,$BY$5:$CI$13,$BY$17:$CI$25),MATCH($L$25,$AN$5:$AN$13,0),MATCH(A32,$AO$4:$AY$4,0),MATCH($G$25,$AL$18:$AL$31,0)))*C32</f>
        <v>0</v>
      </c>
      <c r="Y33" s="19">
        <f>(INDEX(($AO$5:$AY$13,$AO$17:$AY$25,$AO$30:$AY$38,$AO$42:$AY$50,$AO$54:$AY$62,$AO$66:$AY$74,$BI$5:$BS$13,$BI$17:$BS$25,$BI$29:$BS$37,$BI$41:$BS$49,$BI$53:$BS$61,$BI$65:$BS$73,$BY$5:$CI$13,$BY$17:$CI$25),MATCH($L$26,$AN$5:$AN$13,0),MATCH(A32,$AO$4:$AY$4,0),MATCH($G$25,$AL$18:$AL$31,0)))*C32</f>
        <v>0</v>
      </c>
      <c r="Z33" s="19">
        <f>(INDEX(($AO$5:$AY$13,$AO$17:$AY$25,$AO$30:$AY$38,$AO$42:$AY$50,$AO$54:$AY$62,$AO$66:$AY$74,$BI$5:$BS$13,$BI$17:$BS$25,$BI$29:$BS$37,$BI$41:$BS$49,$BI$53:$BS$61,$BI$65:$BS$73,$BY$5:$CI$13,$BY$17:$CI$25),MATCH($L$27,$AN$5:$AN$13,0),MATCH(A32,$AO$4:$AY$4,0),MATCH($G$25,$AL$18:$AL$31,0)))*C32</f>
        <v>0</v>
      </c>
      <c r="AA33" s="19">
        <f>(INDEX(($AO$5:$AY$13,$AO$17:$AY$25,$AO$30:$AY$38,$AO$42:$AY$50,$AO$54:$AY$62,$AO$66:$AY$74,$BI$5:$BS$13,$BI$17:$BS$25,$BI$29:$BS$37,$BI$41:$BS$49,$BI$53:$BS$61,$BI$65:$BS$73,$BY$5:$CI$13,$BY$17:$CI$25),MATCH($L$28,$AN$5:$AN$13,0),MATCH(A32,$AO$4:$AY$4,0),MATCH($G$25,$AL$18:$AL$31,0)))*C32</f>
        <v>0</v>
      </c>
      <c r="AB33" s="19">
        <f>(INDEX(($AO$5:$AY$13,$AO$17:$AY$25,$AO$30:$AY$38,$AO$42:$AY$50,$AO$54:$AY$62,$AO$66:$AY$74,$BI$5:$BS$13,$BI$17:$BS$25,$BI$29:$BS$37,$BI$41:$BS$49,$BI$53:$BS$61,$BI$65:$BS$73,$BY$5:$CI$13,$BY$17:$CI$25),MATCH($L$29,$AN$5:$AN$13,0),MATCH(A32,$AO$4:$AY$4,0),MATCH($G$25,$AL$18:$AL$31,0)))*C32</f>
        <v>0</v>
      </c>
      <c r="AC33" s="19">
        <f>(INDEX(($AO$5:$AY$13,$AO$17:$AY$25,$AO$30:$AY$38,$AO$42:$AY$50,$AO$54:$AY$62,$AO$66:$AY$74,$BI$5:$BS$13,$BI$17:$BS$25,$BI$29:$BS$37,$BI$41:$BS$49,$BI$53:$BS$61,$BI$65:$BS$73,$BY$5:$CI$13,$BY$17:$CI$25),MATCH($L$30,$AN$5:$AN$13,0),MATCH(A32,$AO$4:$AY$4,0),MATCH($G$25,$AL$18:$AL$31,0)))*C32</f>
        <v>0</v>
      </c>
      <c r="AD33" s="19">
        <f>(INDEX(($AO$5:$AY$13,$AO$17:$AY$25,$AO$30:$AY$38,$AO$42:$AY$50,$AO$54:$AY$62,$AO$66:$AY$74,$BI$5:$BS$13,$BI$17:$BS$25,$BI$29:$BS$37,$BI$41:$BS$49,$BI$53:$BS$61,$BI$65:$BS$73,$BY$5:$CI$13,$BY$17:$CI$25),MATCH($L$31,$AN$5:$AN$13,0),MATCH(A32,$AO$4:$AY$4,0),MATCH($G$25,$AL$18:$AL$31,0)))*C32</f>
        <v>0</v>
      </c>
      <c r="AE33" s="19">
        <f>(INDEX(($AO$5:$AY$13,$AO$17:$AY$25,$AO$30:$AY$38,$AO$42:$AY$50,$AO$54:$AY$62,$AO$66:$AY$74,$BI$5:$BS$13,$BI$17:$BS$25,$BI$29:$BS$37,$BI$41:$BS$49,$BI$53:$BS$61,$BI$65:$BS$73,$BY$5:$CI$13,$BY$17:$CI$25),MATCH($L$32,$AN$5:$AN$13,0),MATCH(A32,$AO$4:$AY$4,0),MATCH($G$25,$AL$18:$AL$31,0)))*C32</f>
        <v>0</v>
      </c>
      <c r="AL33" s="19" t="s">
        <v>204</v>
      </c>
      <c r="AN33" s="19" t="s">
        <v>100</v>
      </c>
      <c r="AO33" s="19">
        <v>0</v>
      </c>
      <c r="AP33" s="19">
        <v>0</v>
      </c>
      <c r="AQ33" s="19">
        <v>0</v>
      </c>
      <c r="AR33" s="19">
        <v>0</v>
      </c>
      <c r="AS33" s="19">
        <v>0</v>
      </c>
      <c r="AT33" s="19">
        <v>2</v>
      </c>
      <c r="AU33" s="19">
        <v>0</v>
      </c>
      <c r="AV33" s="19">
        <v>0</v>
      </c>
      <c r="AW33" s="19">
        <v>0</v>
      </c>
      <c r="AX33" s="19">
        <v>0</v>
      </c>
      <c r="AY33" s="19">
        <v>0</v>
      </c>
      <c r="AZ33" s="19"/>
      <c r="BA33" s="19"/>
      <c r="BB33" s="17"/>
      <c r="BC33" s="19"/>
      <c r="BD33" s="19"/>
      <c r="BE33" s="19"/>
      <c r="BF33" s="19"/>
      <c r="BG33" s="19"/>
      <c r="BH33" s="19" t="s">
        <v>114</v>
      </c>
      <c r="BI33" s="19">
        <v>0</v>
      </c>
      <c r="BJ33" s="19">
        <v>0</v>
      </c>
      <c r="BK33" s="19">
        <v>0</v>
      </c>
      <c r="BL33" s="19">
        <v>0</v>
      </c>
      <c r="BM33" s="19">
        <v>0</v>
      </c>
      <c r="BN33" s="19">
        <v>0</v>
      </c>
      <c r="BO33" s="19">
        <v>0</v>
      </c>
      <c r="BP33" s="19">
        <v>0</v>
      </c>
      <c r="BQ33" s="19">
        <v>0</v>
      </c>
      <c r="BR33" s="19">
        <v>0</v>
      </c>
      <c r="BS33" s="19">
        <v>0</v>
      </c>
      <c r="BT33" s="19"/>
      <c r="BU33" s="19"/>
      <c r="BV33" s="19"/>
      <c r="BW33" s="19"/>
      <c r="BX33" s="19"/>
      <c r="BY33" s="19"/>
      <c r="BZ33" s="19"/>
      <c r="CA33" s="19"/>
      <c r="CB33" s="19"/>
      <c r="CC33" s="19"/>
      <c r="CD33" s="19"/>
      <c r="CE33" s="19"/>
      <c r="CF33" s="19"/>
      <c r="CG33" s="19"/>
      <c r="CH33" s="19"/>
      <c r="CI33" s="19"/>
      <c r="CJ33" s="19"/>
      <c r="CK33" s="19"/>
      <c r="CL33" s="19"/>
      <c r="CM33" s="19"/>
    </row>
    <row r="34" spans="1:91" x14ac:dyDescent="0.25">
      <c r="A34" s="8"/>
      <c r="B34" s="6" t="s">
        <v>61</v>
      </c>
      <c r="C34" s="8"/>
      <c r="D34" s="44" t="s">
        <v>563</v>
      </c>
      <c r="E34" s="4"/>
      <c r="F34" s="4"/>
      <c r="G34" s="4"/>
      <c r="H34" s="4"/>
      <c r="I34" s="4"/>
      <c r="J34" s="4"/>
      <c r="K34" s="4"/>
      <c r="L34" s="6" t="s">
        <v>378</v>
      </c>
      <c r="M34" s="14">
        <f>INDEX(cenník!$C$2:$I$568,MATCH($L34,cenník!$B$2:$B$557,0),MATCH(M$2,cenník!$C$1:$I$1,0))</f>
        <v>895414</v>
      </c>
      <c r="N34" s="14" t="str">
        <f>INDEX(cenník!$C$2:$I$568,MATCH($L34,cenník!$B$2:$B$557,0),MATCH(N$2,cenník!$C$1:$I$1,0))</f>
        <v>ks</v>
      </c>
      <c r="O34" s="14">
        <f>SUM(((A24+1)*C24),((A25+1)*C25),((A26+1)*C26),((A27+1)*C27),((A28+1)*C28),((A29+1)*C29),((A30+1)*C30),((A31+1)*C31),((A32+1)*C32),((A33+1)*C33),((A34+1)*C34),((A35+1)*C35),((A36+1)*C36),((A37+1)*C37),((A38+1)*C38),((A39+1)*C39))</f>
        <v>0</v>
      </c>
      <c r="P34" s="21">
        <f>INDEX(cenník!$C$2:$I$568,MATCH($L34,cenník!$B$2:$B$557,0),MATCH(P$2,cenník!$C$1:$I$1,0))</f>
        <v>14.43</v>
      </c>
      <c r="Q34" s="21">
        <f>O34*P34</f>
        <v>0</v>
      </c>
      <c r="R34" s="22">
        <f t="shared" si="6"/>
        <v>0</v>
      </c>
      <c r="S34" s="21">
        <f t="shared" si="7"/>
        <v>14.43</v>
      </c>
      <c r="T34" s="21">
        <f>O34*S34</f>
        <v>0</v>
      </c>
      <c r="U34" s="21">
        <f>INDEX(cenník!$C$2:$I$568,MATCH($L34,cenník!$B$2:$B$557,0),MATCH(U$2,cenník!$C$1:$I$1,0))*O34</f>
        <v>0</v>
      </c>
      <c r="W34" s="19">
        <f>(INDEX(($AO$5:$AY$13,$AO$17:$AY$25,$AO$30:$AY$38,$AO$42:$AY$50,$AO$54:$AY$62,$AO$66:$AY$74,$BI$5:$BS$13,$BI$17:$BS$25,$BI$29:$BS$37,$BI$41:$BS$49,$BI$53:$BS$61,$BI$65:$BS$73,$BY$5:$CI$13,$BY$17:$CI$25),MATCH($L$33,$AN$5:$AN$13,0),MATCH(A33,$AO$4:$AY$4,0),MATCH($G$25,$AL$18:$AL$31,0)))*C33</f>
        <v>0</v>
      </c>
      <c r="X34" s="19">
        <f>(INDEX(($AO$5:$AY$13,$AO$17:$AY$25,$AO$30:$AY$38,$AO$42:$AY$50,$AO$54:$AY$62,$AO$66:$AY$74,$BI$5:$BS$13,$BI$17:$BS$25,$BI$29:$BS$37,$BI$41:$BS$49,$BI$53:$BS$61,$BI$65:$BS$73,$BY$5:$CI$13,$BY$17:$CI$25),MATCH($L$25,$AN$5:$AN$13,0),MATCH(A33,$AO$4:$AY$4,0),MATCH($G$25,$AL$18:$AL$31,0)))*C33</f>
        <v>0</v>
      </c>
      <c r="Y34" s="19">
        <f>(INDEX(($AO$5:$AY$13,$AO$17:$AY$25,$AO$30:$AY$38,$AO$42:$AY$50,$AO$54:$AY$62,$AO$66:$AY$74,$BI$5:$BS$13,$BI$17:$BS$25,$BI$29:$BS$37,$BI$41:$BS$49,$BI$53:$BS$61,$BI$65:$BS$73,$BY$5:$CI$13,$BY$17:$CI$25),MATCH($L$26,$AN$5:$AN$13,0),MATCH(A33,$AO$4:$AY$4,0),MATCH($G$25,$AL$18:$AL$31,0)))*C33</f>
        <v>0</v>
      </c>
      <c r="Z34" s="19">
        <f>(INDEX(($AO$5:$AY$13,$AO$17:$AY$25,$AO$30:$AY$38,$AO$42:$AY$50,$AO$54:$AY$62,$AO$66:$AY$74,$BI$5:$BS$13,$BI$17:$BS$25,$BI$29:$BS$37,$BI$41:$BS$49,$BI$53:$BS$61,$BI$65:$BS$73,$BY$5:$CI$13,$BY$17:$CI$25),MATCH($L$27,$AN$5:$AN$13,0),MATCH(A33,$AO$4:$AY$4,0),MATCH($G$25,$AL$18:$AL$31,0)))*C33</f>
        <v>0</v>
      </c>
      <c r="AA34" s="19">
        <f>(INDEX(($AO$5:$AY$13,$AO$17:$AY$25,$AO$30:$AY$38,$AO$42:$AY$50,$AO$54:$AY$62,$AO$66:$AY$74,$BI$5:$BS$13,$BI$17:$BS$25,$BI$29:$BS$37,$BI$41:$BS$49,$BI$53:$BS$61,$BI$65:$BS$73,$BY$5:$CI$13,$BY$17:$CI$25),MATCH($L$28,$AN$5:$AN$13,0),MATCH(A33,$AO$4:$AY$4,0),MATCH($G$25,$AL$18:$AL$31,0)))*C33</f>
        <v>0</v>
      </c>
      <c r="AB34" s="19">
        <f>(INDEX(($AO$5:$AY$13,$AO$17:$AY$25,$AO$30:$AY$38,$AO$42:$AY$50,$AO$54:$AY$62,$AO$66:$AY$74,$BI$5:$BS$13,$BI$17:$BS$25,$BI$29:$BS$37,$BI$41:$BS$49,$BI$53:$BS$61,$BI$65:$BS$73,$BY$5:$CI$13,$BY$17:$CI$25),MATCH($L$29,$AN$5:$AN$13,0),MATCH(A33,$AO$4:$AY$4,0),MATCH($G$25,$AL$18:$AL$31,0)))*C33</f>
        <v>0</v>
      </c>
      <c r="AC34" s="19">
        <f>(INDEX(($AO$5:$AY$13,$AO$17:$AY$25,$AO$30:$AY$38,$AO$42:$AY$50,$AO$54:$AY$62,$AO$66:$AY$74,$BI$5:$BS$13,$BI$17:$BS$25,$BI$29:$BS$37,$BI$41:$BS$49,$BI$53:$BS$61,$BI$65:$BS$73,$BY$5:$CI$13,$BY$17:$CI$25),MATCH($L$30,$AN$5:$AN$13,0),MATCH(A33,$AO$4:$AY$4,0),MATCH($G$25,$AL$18:$AL$31,0)))*C33</f>
        <v>0</v>
      </c>
      <c r="AD34" s="19">
        <f>(INDEX(($AO$5:$AY$13,$AO$17:$AY$25,$AO$30:$AY$38,$AO$42:$AY$50,$AO$54:$AY$62,$AO$66:$AY$74,$BI$5:$BS$13,$BI$17:$BS$25,$BI$29:$BS$37,$BI$41:$BS$49,$BI$53:$BS$61,$BI$65:$BS$73,$BY$5:$CI$13,$BY$17:$CI$25),MATCH($L$31,$AN$5:$AN$13,0),MATCH(A33,$AO$4:$AY$4,0),MATCH($G$25,$AL$18:$AL$31,0)))*C33</f>
        <v>0</v>
      </c>
      <c r="AE34" s="19">
        <f>(INDEX(($AO$5:$AY$13,$AO$17:$AY$25,$AO$30:$AY$38,$AO$42:$AY$50,$AO$54:$AY$62,$AO$66:$AY$74,$BI$5:$BS$13,$BI$17:$BS$25,$BI$29:$BS$37,$BI$41:$BS$49,$BI$53:$BS$61,$BI$65:$BS$73,$BY$5:$CI$13,$BY$17:$CI$25),MATCH($L$32,$AN$5:$AN$13,0),MATCH(A33,$AO$4:$AY$4,0),MATCH($G$25,$AL$18:$AL$31,0)))*C33</f>
        <v>0</v>
      </c>
      <c r="AL34" s="19" t="s">
        <v>232</v>
      </c>
      <c r="AN34" s="19" t="s">
        <v>114</v>
      </c>
      <c r="AO34" s="19">
        <v>0</v>
      </c>
      <c r="AP34" s="19">
        <v>0</v>
      </c>
      <c r="AQ34" s="19">
        <v>0</v>
      </c>
      <c r="AR34" s="19">
        <v>0</v>
      </c>
      <c r="AS34" s="19">
        <v>0</v>
      </c>
      <c r="AT34" s="19">
        <v>0</v>
      </c>
      <c r="AU34" s="19">
        <v>0</v>
      </c>
      <c r="AV34" s="19">
        <v>0</v>
      </c>
      <c r="AW34" s="19">
        <v>0</v>
      </c>
      <c r="AX34" s="19">
        <v>0</v>
      </c>
      <c r="AY34" s="19">
        <v>0</v>
      </c>
      <c r="AZ34" s="19"/>
      <c r="BA34" s="19"/>
      <c r="BB34" s="17"/>
      <c r="BC34" s="19"/>
      <c r="BD34" s="19"/>
      <c r="BE34" s="19"/>
      <c r="BF34" s="19"/>
      <c r="BG34" s="19"/>
      <c r="BH34" s="19" t="s">
        <v>9</v>
      </c>
      <c r="BI34" s="19">
        <v>0</v>
      </c>
      <c r="BJ34" s="19">
        <v>0</v>
      </c>
      <c r="BK34" s="19">
        <v>2</v>
      </c>
      <c r="BL34" s="19">
        <v>0</v>
      </c>
      <c r="BM34" s="19">
        <v>2</v>
      </c>
      <c r="BN34" s="19">
        <v>4</v>
      </c>
      <c r="BO34" s="19">
        <v>2</v>
      </c>
      <c r="BP34" s="19">
        <v>4</v>
      </c>
      <c r="BQ34" s="19">
        <v>2</v>
      </c>
      <c r="BR34" s="19">
        <v>2</v>
      </c>
      <c r="BS34" s="19">
        <v>0</v>
      </c>
      <c r="BT34" s="19"/>
      <c r="BU34" s="19"/>
      <c r="BV34" s="19"/>
      <c r="BW34" s="19"/>
      <c r="BX34" s="19"/>
      <c r="BY34" s="19"/>
      <c r="BZ34" s="19"/>
      <c r="CA34" s="19"/>
      <c r="CB34" s="19"/>
      <c r="CC34" s="19"/>
      <c r="CD34" s="19"/>
      <c r="CE34" s="19"/>
      <c r="CF34" s="19"/>
      <c r="CG34" s="19"/>
      <c r="CH34" s="19"/>
      <c r="CI34" s="19"/>
      <c r="CJ34" s="19"/>
      <c r="CK34" s="19"/>
      <c r="CL34" s="19"/>
      <c r="CM34" s="19"/>
    </row>
    <row r="35" spans="1:91" x14ac:dyDescent="0.25">
      <c r="A35" s="8"/>
      <c r="B35" s="6" t="s">
        <v>61</v>
      </c>
      <c r="C35" s="8"/>
      <c r="D35" s="4"/>
      <c r="E35" s="4"/>
      <c r="F35" s="4"/>
      <c r="G35" s="4"/>
      <c r="H35" s="4"/>
      <c r="I35" s="4"/>
      <c r="J35" s="4"/>
      <c r="K35" s="4"/>
      <c r="L35" s="6" t="s">
        <v>377</v>
      </c>
      <c r="M35" s="14">
        <f>INDEX(cenník!$C$2:$I$568,MATCH($L35,cenník!$B$2:$B$557,0),MATCH(M$2,cenník!$C$1:$I$1,0))</f>
        <v>895413</v>
      </c>
      <c r="N35" s="14" t="str">
        <f>INDEX(cenník!$C$2:$I$568,MATCH($L35,cenník!$B$2:$B$557,0),MATCH(N$2,cenník!$C$1:$I$1,0))</f>
        <v>ks</v>
      </c>
      <c r="O35" s="14">
        <f>O34</f>
        <v>0</v>
      </c>
      <c r="P35" s="21">
        <f>INDEX(cenník!$C$2:$I$568,MATCH($L35,cenník!$B$2:$B$557,0),MATCH(P$2,cenník!$C$1:$I$1,0))</f>
        <v>13.39</v>
      </c>
      <c r="Q35" s="21">
        <f>O35*P35</f>
        <v>0</v>
      </c>
      <c r="R35" s="22">
        <f t="shared" si="6"/>
        <v>0</v>
      </c>
      <c r="S35" s="21">
        <f t="shared" si="7"/>
        <v>13.39</v>
      </c>
      <c r="T35" s="21">
        <f>O35*S35</f>
        <v>0</v>
      </c>
      <c r="U35" s="21">
        <f>INDEX(cenník!$C$2:$I$568,MATCH($L35,cenník!$B$2:$B$557,0),MATCH(U$2,cenník!$C$1:$I$1,0))*O35</f>
        <v>0</v>
      </c>
      <c r="W35" s="19">
        <f>(INDEX(($AO$5:$AY$13,$AO$17:$AY$25,$AO$30:$AY$38,$AO$42:$AY$50,$AO$54:$AY$62,$AO$66:$AY$74,$BI$5:$BS$13,$BI$17:$BS$25,$BI$29:$BS$37,$BI$41:$BS$49,$BI$53:$BS$61,$BI$65:$BS$73,$BY$5:$CI$13,$BY$17:$CI$25),MATCH($L$33,$AN$5:$AN$13,0),MATCH(A34,$AO$4:$AY$4,0),MATCH($G$25,$AL$18:$AL$31,0)))*C34</f>
        <v>0</v>
      </c>
      <c r="X35" s="19">
        <f>(INDEX(($AO$5:$AY$13,$AO$17:$AY$25,$AO$30:$AY$38,$AO$42:$AY$50,$AO$54:$AY$62,$AO$66:$AY$74,$BI$5:$BS$13,$BI$17:$BS$25,$BI$29:$BS$37,$BI$41:$BS$49,$BI$53:$BS$61,$BI$65:$BS$73,$BY$5:$CI$13,$BY$17:$CI$25),MATCH($L$25,$AN$5:$AN$13,0),MATCH(A34,$AO$4:$AY$4,0),MATCH($G$25,$AL$18:$AL$31,0)))*C34</f>
        <v>0</v>
      </c>
      <c r="Y35" s="19">
        <f>(INDEX(($AO$5:$AY$13,$AO$17:$AY$25,$AO$30:$AY$38,$AO$42:$AY$50,$AO$54:$AY$62,$AO$66:$AY$74,$BI$5:$BS$13,$BI$17:$BS$25,$BI$29:$BS$37,$BI$41:$BS$49,$BI$53:$BS$61,$BI$65:$BS$73,$BY$5:$CI$13,$BY$17:$CI$25),MATCH($L$26,$AN$5:$AN$13,0),MATCH(A34,$AO$4:$AY$4,0),MATCH($G$25,$AL$18:$AL$31,0)))*C34</f>
        <v>0</v>
      </c>
      <c r="Z35" s="19">
        <f>(INDEX(($AO$5:$AY$13,$AO$17:$AY$25,$AO$30:$AY$38,$AO$42:$AY$50,$AO$54:$AY$62,$AO$66:$AY$74,$BI$5:$BS$13,$BI$17:$BS$25,$BI$29:$BS$37,$BI$41:$BS$49,$BI$53:$BS$61,$BI$65:$BS$73,$BY$5:$CI$13,$BY$17:$CI$25),MATCH($L$27,$AN$5:$AN$13,0),MATCH(A34,$AO$4:$AY$4,0),MATCH($G$25,$AL$18:$AL$31,0)))*C34</f>
        <v>0</v>
      </c>
      <c r="AA35" s="19">
        <f>(INDEX(($AO$5:$AY$13,$AO$17:$AY$25,$AO$30:$AY$38,$AO$42:$AY$50,$AO$54:$AY$62,$AO$66:$AY$74,$BI$5:$BS$13,$BI$17:$BS$25,$BI$29:$BS$37,$BI$41:$BS$49,$BI$53:$BS$61,$BI$65:$BS$73,$BY$5:$CI$13,$BY$17:$CI$25),MATCH($L$28,$AN$5:$AN$13,0),MATCH(A34,$AO$4:$AY$4,0),MATCH($G$25,$AL$18:$AL$31,0)))*C34</f>
        <v>0</v>
      </c>
      <c r="AB35" s="19">
        <f>(INDEX(($AO$5:$AY$13,$AO$17:$AY$25,$AO$30:$AY$38,$AO$42:$AY$50,$AO$54:$AY$62,$AO$66:$AY$74,$BI$5:$BS$13,$BI$17:$BS$25,$BI$29:$BS$37,$BI$41:$BS$49,$BI$53:$BS$61,$BI$65:$BS$73,$BY$5:$CI$13,$BY$17:$CI$25),MATCH($L$29,$AN$5:$AN$13,0),MATCH(A34,$AO$4:$AY$4,0),MATCH($G$25,$AL$18:$AL$31,0)))*C34</f>
        <v>0</v>
      </c>
      <c r="AC35" s="19">
        <f>(INDEX(($AO$5:$AY$13,$AO$17:$AY$25,$AO$30:$AY$38,$AO$42:$AY$50,$AO$54:$AY$62,$AO$66:$AY$74,$BI$5:$BS$13,$BI$17:$BS$25,$BI$29:$BS$37,$BI$41:$BS$49,$BI$53:$BS$61,$BI$65:$BS$73,$BY$5:$CI$13,$BY$17:$CI$25),MATCH($L$30,$AN$5:$AN$13,0),MATCH(A34,$AO$4:$AY$4,0),MATCH($G$25,$AL$18:$AL$31,0)))*C34</f>
        <v>0</v>
      </c>
      <c r="AD35" s="19">
        <f>(INDEX(($AO$5:$AY$13,$AO$17:$AY$25,$AO$30:$AY$38,$AO$42:$AY$50,$AO$54:$AY$62,$AO$66:$AY$74,$BI$5:$BS$13,$BI$17:$BS$25,$BI$29:$BS$37,$BI$41:$BS$49,$BI$53:$BS$61,$BI$65:$BS$73,$BY$5:$CI$13,$BY$17:$CI$25),MATCH($L$31,$AN$5:$AN$13,0),MATCH(A34,$AO$4:$AY$4,0),MATCH($G$25,$AL$18:$AL$31,0)))*C34</f>
        <v>0</v>
      </c>
      <c r="AE35" s="19">
        <f>(INDEX(($AO$5:$AY$13,$AO$17:$AY$25,$AO$30:$AY$38,$AO$42:$AY$50,$AO$54:$AY$62,$AO$66:$AY$74,$BI$5:$BS$13,$BI$17:$BS$25,$BI$29:$BS$37,$BI$41:$BS$49,$BI$53:$BS$61,$BI$65:$BS$73,$BY$5:$CI$13,$BY$17:$CI$25),MATCH($L$32,$AN$5:$AN$13,0),MATCH(A34,$AO$4:$AY$4,0),MATCH($G$25,$AL$18:$AL$31,0)))*C34</f>
        <v>0</v>
      </c>
      <c r="AL35" s="19" t="s">
        <v>231</v>
      </c>
      <c r="AN35" s="19" t="s">
        <v>9</v>
      </c>
      <c r="AO35" s="19">
        <v>0</v>
      </c>
      <c r="AP35" s="19">
        <v>0</v>
      </c>
      <c r="AQ35" s="19">
        <v>0</v>
      </c>
      <c r="AR35" s="19">
        <v>0</v>
      </c>
      <c r="AS35" s="19">
        <v>0</v>
      </c>
      <c r="AT35" s="19">
        <v>0</v>
      </c>
      <c r="AU35" s="19">
        <v>0</v>
      </c>
      <c r="AV35" s="19">
        <v>2</v>
      </c>
      <c r="AW35" s="19">
        <v>0</v>
      </c>
      <c r="AX35" s="19">
        <v>2</v>
      </c>
      <c r="AY35" s="19">
        <v>2</v>
      </c>
      <c r="AZ35" s="19"/>
      <c r="BA35" s="19"/>
      <c r="BB35" s="17"/>
      <c r="BC35" s="19"/>
      <c r="BD35" s="19"/>
      <c r="BE35" s="19"/>
      <c r="BF35" s="19"/>
      <c r="BG35" s="19"/>
      <c r="BH35" s="19" t="s">
        <v>101</v>
      </c>
      <c r="BI35" s="19">
        <v>0</v>
      </c>
      <c r="BJ35" s="19">
        <v>0</v>
      </c>
      <c r="BK35" s="19">
        <v>0</v>
      </c>
      <c r="BL35" s="19">
        <v>0</v>
      </c>
      <c r="BM35" s="19">
        <v>0</v>
      </c>
      <c r="BN35" s="19">
        <v>2</v>
      </c>
      <c r="BO35" s="19">
        <v>0</v>
      </c>
      <c r="BP35" s="19">
        <v>2</v>
      </c>
      <c r="BQ35" s="19">
        <v>0</v>
      </c>
      <c r="BR35" s="19">
        <v>8</v>
      </c>
      <c r="BS35" s="19">
        <v>6</v>
      </c>
      <c r="BT35" s="19"/>
      <c r="BU35" s="19"/>
      <c r="BV35" s="19"/>
      <c r="BW35" s="19"/>
      <c r="BX35" s="19"/>
      <c r="BY35" s="19"/>
      <c r="BZ35" s="19"/>
      <c r="CA35" s="19"/>
      <c r="CB35" s="19"/>
      <c r="CC35" s="19"/>
      <c r="CD35" s="19"/>
      <c r="CE35" s="19"/>
      <c r="CF35" s="19"/>
      <c r="CG35" s="19"/>
      <c r="CH35" s="19"/>
      <c r="CI35" s="19"/>
      <c r="CJ35" s="19"/>
      <c r="CK35" s="19"/>
      <c r="CL35" s="19"/>
      <c r="CM35" s="19"/>
    </row>
    <row r="36" spans="1:91" x14ac:dyDescent="0.25">
      <c r="A36" s="8"/>
      <c r="B36" s="6" t="s">
        <v>61</v>
      </c>
      <c r="C36" s="8"/>
      <c r="D36" s="4"/>
      <c r="E36" s="4"/>
      <c r="F36" s="4"/>
      <c r="G36" s="4"/>
      <c r="H36" s="4"/>
      <c r="I36" s="4"/>
      <c r="J36" s="4"/>
      <c r="K36" s="4"/>
      <c r="L36" s="6" t="str">
        <f>IF(E28=BB25,"CC55H50/0,6NMC",IF(E28=BB26,"CC55H50/0,7NMC",0))</f>
        <v>CC55H50/0,6NMC</v>
      </c>
      <c r="M36" s="14">
        <f>INDEX(cenník!$C$2:$I$568,MATCH($L36,cenník!$B$2:$B$557,0),MATCH(M$2,cenník!$C$1:$I$1,0))</f>
        <v>895406</v>
      </c>
      <c r="N36" s="14" t="str">
        <f>INDEX(cenník!$C$2:$I$568,MATCH($L36,cenník!$B$2:$B$557,0),MATCH(N$2,cenník!$C$1:$I$1,0))</f>
        <v>ks</v>
      </c>
      <c r="O36" s="14">
        <f>O35</f>
        <v>0</v>
      </c>
      <c r="P36" s="21">
        <f>INDEX(cenník!$C$2:$I$568,MATCH($L36,cenník!$B$2:$B$557,0),MATCH(P$2,cenník!$C$1:$I$1,0))</f>
        <v>6.79</v>
      </c>
      <c r="Q36" s="21">
        <f>O36*P36</f>
        <v>0</v>
      </c>
      <c r="R36" s="22">
        <f t="shared" si="6"/>
        <v>0</v>
      </c>
      <c r="S36" s="21">
        <f t="shared" si="7"/>
        <v>6.79</v>
      </c>
      <c r="T36" s="21">
        <f>O36*S36</f>
        <v>0</v>
      </c>
      <c r="U36" s="21">
        <f>INDEX(cenník!$C$2:$I$568,MATCH($L36,cenník!$B$2:$B$557,0),MATCH(U$2,cenník!$C$1:$I$1,0))*O36</f>
        <v>0</v>
      </c>
      <c r="W36" s="19">
        <f>(INDEX(($AO$5:$AY$13,$AO$17:$AY$25,$AO$30:$AY$38,$AO$42:$AY$50,$AO$54:$AY$62,$AO$66:$AY$74,$BI$5:$BS$13,$BI$17:$BS$25,$BI$29:$BS$37,$BI$41:$BS$49,$BI$53:$BS$61,$BI$65:$BS$73,$BY$5:$CI$13,$BY$17:$CI$25),MATCH($L$33,$AN$5:$AN$13,0),MATCH(A35,$AO$4:$AY$4,0),MATCH($G$25,$AL$18:$AL$31,0)))*C35</f>
        <v>0</v>
      </c>
      <c r="X36" s="19">
        <f>(INDEX(($AO$5:$AY$13,$AO$17:$AY$25,$AO$30:$AY$38,$AO$42:$AY$50,$AO$54:$AY$62,$AO$66:$AY$74,$BI$5:$BS$13,$BI$17:$BS$25,$BI$29:$BS$37,$BI$41:$BS$49,$BI$53:$BS$61,$BI$65:$BS$73,$BY$5:$CI$13,$BY$17:$CI$25),MATCH($L$25,$AN$5:$AN$13,0),MATCH(A35,$AO$4:$AY$4,0),MATCH($G$25,$AL$18:$AL$31,0)))*C35</f>
        <v>0</v>
      </c>
      <c r="Y36" s="19">
        <f>(INDEX(($AO$5:$AY$13,$AO$17:$AY$25,$AO$30:$AY$38,$AO$42:$AY$50,$AO$54:$AY$62,$AO$66:$AY$74,$BI$5:$BS$13,$BI$17:$BS$25,$BI$29:$BS$37,$BI$41:$BS$49,$BI$53:$BS$61,$BI$65:$BS$73,$BY$5:$CI$13,$BY$17:$CI$25),MATCH($L$26,$AN$5:$AN$13,0),MATCH(A35,$AO$4:$AY$4,0),MATCH($G$25,$AL$18:$AL$31,0)))*C35</f>
        <v>0</v>
      </c>
      <c r="Z36" s="19">
        <f>(INDEX(($AO$5:$AY$13,$AO$17:$AY$25,$AO$30:$AY$38,$AO$42:$AY$50,$AO$54:$AY$62,$AO$66:$AY$74,$BI$5:$BS$13,$BI$17:$BS$25,$BI$29:$BS$37,$BI$41:$BS$49,$BI$53:$BS$61,$BI$65:$BS$73,$BY$5:$CI$13,$BY$17:$CI$25),MATCH($L$27,$AN$5:$AN$13,0),MATCH(A35,$AO$4:$AY$4,0),MATCH($G$25,$AL$18:$AL$31,0)))*C35</f>
        <v>0</v>
      </c>
      <c r="AA36" s="19">
        <f>(INDEX(($AO$5:$AY$13,$AO$17:$AY$25,$AO$30:$AY$38,$AO$42:$AY$50,$AO$54:$AY$62,$AO$66:$AY$74,$BI$5:$BS$13,$BI$17:$BS$25,$BI$29:$BS$37,$BI$41:$BS$49,$BI$53:$BS$61,$BI$65:$BS$73,$BY$5:$CI$13,$BY$17:$CI$25),MATCH($L$28,$AN$5:$AN$13,0),MATCH(A35,$AO$4:$AY$4,0),MATCH($G$25,$AL$18:$AL$31,0)))*C35</f>
        <v>0</v>
      </c>
      <c r="AB36" s="19">
        <f>(INDEX(($AO$5:$AY$13,$AO$17:$AY$25,$AO$30:$AY$38,$AO$42:$AY$50,$AO$54:$AY$62,$AO$66:$AY$74,$BI$5:$BS$13,$BI$17:$BS$25,$BI$29:$BS$37,$BI$41:$BS$49,$BI$53:$BS$61,$BI$65:$BS$73,$BY$5:$CI$13,$BY$17:$CI$25),MATCH($L$29,$AN$5:$AN$13,0),MATCH(A35,$AO$4:$AY$4,0),MATCH($G$25,$AL$18:$AL$31,0)))*C35</f>
        <v>0</v>
      </c>
      <c r="AC36" s="19">
        <f>(INDEX(($AO$5:$AY$13,$AO$17:$AY$25,$AO$30:$AY$38,$AO$42:$AY$50,$AO$54:$AY$62,$AO$66:$AY$74,$BI$5:$BS$13,$BI$17:$BS$25,$BI$29:$BS$37,$BI$41:$BS$49,$BI$53:$BS$61,$BI$65:$BS$73,$BY$5:$CI$13,$BY$17:$CI$25),MATCH($L$30,$AN$5:$AN$13,0),MATCH(A35,$AO$4:$AY$4,0),MATCH($G$25,$AL$18:$AL$31,0)))*C35</f>
        <v>0</v>
      </c>
      <c r="AD36" s="19">
        <f>(INDEX(($AO$5:$AY$13,$AO$17:$AY$25,$AO$30:$AY$38,$AO$42:$AY$50,$AO$54:$AY$62,$AO$66:$AY$74,$BI$5:$BS$13,$BI$17:$BS$25,$BI$29:$BS$37,$BI$41:$BS$49,$BI$53:$BS$61,$BI$65:$BS$73,$BY$5:$CI$13,$BY$17:$CI$25),MATCH($L$31,$AN$5:$AN$13,0),MATCH(A35,$AO$4:$AY$4,0),MATCH($G$25,$AL$18:$AL$31,0)))*C35</f>
        <v>0</v>
      </c>
      <c r="AE36" s="19">
        <f>(INDEX(($AO$5:$AY$13,$AO$17:$AY$25,$AO$30:$AY$38,$AO$42:$AY$50,$AO$54:$AY$62,$AO$66:$AY$74,$BI$5:$BS$13,$BI$17:$BS$25,$BI$29:$BS$37,$BI$41:$BS$49,$BI$53:$BS$61,$BI$65:$BS$73,$BY$5:$CI$13,$BY$17:$CI$25),MATCH($L$32,$AN$5:$AN$13,0),MATCH(A35,$AO$4:$AY$4,0),MATCH($G$25,$AL$18:$AL$31,0)))*C35</f>
        <v>0</v>
      </c>
      <c r="AN36" s="19" t="s">
        <v>101</v>
      </c>
      <c r="AO36" s="19">
        <v>0</v>
      </c>
      <c r="AP36" s="19">
        <v>0</v>
      </c>
      <c r="AQ36" s="19">
        <v>0</v>
      </c>
      <c r="AR36" s="19">
        <v>2</v>
      </c>
      <c r="AS36" s="19">
        <v>0</v>
      </c>
      <c r="AT36" s="19">
        <v>0</v>
      </c>
      <c r="AU36" s="19">
        <v>4</v>
      </c>
      <c r="AV36" s="19">
        <v>0</v>
      </c>
      <c r="AW36" s="19">
        <v>0</v>
      </c>
      <c r="AX36" s="19">
        <v>2</v>
      </c>
      <c r="AY36" s="19">
        <v>0</v>
      </c>
      <c r="AZ36" s="19"/>
      <c r="BA36" s="19"/>
      <c r="BB36" s="17"/>
      <c r="BC36" s="19"/>
      <c r="BD36" s="19"/>
      <c r="BE36" s="19"/>
      <c r="BF36" s="19"/>
      <c r="BG36" s="19"/>
      <c r="BH36" s="19" t="s">
        <v>102</v>
      </c>
      <c r="BI36" s="19">
        <v>0</v>
      </c>
      <c r="BJ36" s="19">
        <v>0</v>
      </c>
      <c r="BK36" s="19">
        <v>0</v>
      </c>
      <c r="BL36" s="19">
        <v>2</v>
      </c>
      <c r="BM36" s="19">
        <v>2</v>
      </c>
      <c r="BN36" s="19">
        <v>0</v>
      </c>
      <c r="BO36" s="19">
        <v>4</v>
      </c>
      <c r="BP36" s="19">
        <v>2</v>
      </c>
      <c r="BQ36" s="19">
        <v>6</v>
      </c>
      <c r="BR36" s="19">
        <v>0</v>
      </c>
      <c r="BS36" s="19">
        <v>4</v>
      </c>
      <c r="BT36" s="19"/>
      <c r="BU36" s="19"/>
      <c r="BV36" s="19"/>
      <c r="BW36" s="19"/>
      <c r="BX36" s="19"/>
      <c r="BY36" s="19"/>
      <c r="BZ36" s="19"/>
      <c r="CA36" s="19"/>
      <c r="CB36" s="19"/>
      <c r="CC36" s="19"/>
      <c r="CD36" s="19"/>
      <c r="CE36" s="19"/>
      <c r="CF36" s="19"/>
      <c r="CG36" s="19"/>
      <c r="CH36" s="19"/>
      <c r="CI36" s="19"/>
      <c r="CJ36" s="19"/>
      <c r="CK36" s="19"/>
      <c r="CL36" s="19"/>
      <c r="CM36" s="19"/>
    </row>
    <row r="37" spans="1:91" x14ac:dyDescent="0.25">
      <c r="A37" s="8"/>
      <c r="B37" s="6" t="s">
        <v>61</v>
      </c>
      <c r="C37" s="8"/>
      <c r="D37" s="4"/>
      <c r="E37" s="4"/>
      <c r="F37" s="4"/>
      <c r="G37" s="4"/>
      <c r="H37" s="4"/>
      <c r="I37" s="4"/>
      <c r="J37" s="4"/>
      <c r="K37" s="4"/>
      <c r="L37" s="6" t="str">
        <f>INDEX(($AH$3:$AI$12),MATCH(I25,$AG$3:$AG$12,0),MATCH(E26,$AH$2:$AI$2,0))</f>
        <v>BUF35</v>
      </c>
      <c r="M37" s="14">
        <f>INDEX(cenník!$C$2:$I$568,MATCH($L37,cenník!$B$2:$B$557,0),MATCH(M$2,cenník!$C$1:$I$1,0))</f>
        <v>897335</v>
      </c>
      <c r="N37" s="14" t="str">
        <f>INDEX(cenník!$C$2:$I$568,MATCH($L37,cenník!$B$2:$B$557,0),MATCH(N$2,cenník!$C$1:$I$1,0))</f>
        <v>ks</v>
      </c>
      <c r="O37" s="14">
        <f>SUM(IF(A24=0,0,IF((A24&gt;0),C24*4)),IF(A25=0,0,IF((A25&gt;0),C25*4)),IF(A26=0,0,IF((A26&gt;0),C26*4)),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,IF(A39=0,0,IF((A39&gt;0),C39*4)))</f>
        <v>0</v>
      </c>
      <c r="P37" s="21">
        <f>INDEX(cenník!$C$2:$I$568,MATCH($L37,cenník!$B$2:$B$557,0),MATCH(P$2,cenník!$C$1:$I$1,0))</f>
        <v>0.62</v>
      </c>
      <c r="Q37" s="21">
        <f t="shared" si="5"/>
        <v>0</v>
      </c>
      <c r="R37" s="22">
        <f t="shared" si="6"/>
        <v>0</v>
      </c>
      <c r="S37" s="21">
        <f t="shared" si="7"/>
        <v>0.62</v>
      </c>
      <c r="T37" s="21">
        <f t="shared" si="8"/>
        <v>0</v>
      </c>
      <c r="U37" s="21">
        <f>INDEX(cenník!$C$2:$I$568,MATCH($L37,cenník!$B$2:$B$557,0),MATCH(U$2,cenník!$C$1:$I$1,0))*O37</f>
        <v>0</v>
      </c>
      <c r="W37" s="19">
        <f>(INDEX(($AO$5:$AY$13,$AO$17:$AY$25,$AO$30:$AY$38,$AO$42:$AY$50,$AO$54:$AY$62,$AO$66:$AY$74,$BI$5:$BS$13,$BI$17:$BS$25,$BI$29:$BS$37,$BI$41:$BS$49,$BI$53:$BS$61,$BI$65:$BS$73,$BY$5:$CI$13,$BY$17:$CI$25),MATCH($L$33,$AN$5:$AN$13,0),MATCH(A36,$AO$4:$AY$4,0),MATCH($G$25,$AL$18:$AL$31,0)))*C36</f>
        <v>0</v>
      </c>
      <c r="X37" s="19">
        <f>(INDEX(($AO$5:$AY$13,$AO$17:$AY$25,$AO$30:$AY$38,$AO$42:$AY$50,$AO$54:$AY$62,$AO$66:$AY$74,$BI$5:$BS$13,$BI$17:$BS$25,$BI$29:$BS$37,$BI$41:$BS$49,$BI$53:$BS$61,$BI$65:$BS$73,$BY$5:$CI$13,$BY$17:$CI$25),MATCH($L$25,$AN$5:$AN$13,0),MATCH(A36,$AO$4:$AY$4,0),MATCH($G$25,$AL$18:$AL$31,0)))*C36</f>
        <v>0</v>
      </c>
      <c r="Y37" s="19">
        <f>(INDEX(($AO$5:$AY$13,$AO$17:$AY$25,$AO$30:$AY$38,$AO$42:$AY$50,$AO$54:$AY$62,$AO$66:$AY$74,$BI$5:$BS$13,$BI$17:$BS$25,$BI$29:$BS$37,$BI$41:$BS$49,$BI$53:$BS$61,$BI$65:$BS$73,$BY$5:$CI$13,$BY$17:$CI$25),MATCH($L$26,$AN$5:$AN$13,0),MATCH(A36,$AO$4:$AY$4,0),MATCH($G$25,$AL$18:$AL$31,0)))*C36</f>
        <v>0</v>
      </c>
      <c r="Z37" s="19">
        <f>(INDEX(($AO$5:$AY$13,$AO$17:$AY$25,$AO$30:$AY$38,$AO$42:$AY$50,$AO$54:$AY$62,$AO$66:$AY$74,$BI$5:$BS$13,$BI$17:$BS$25,$BI$29:$BS$37,$BI$41:$BS$49,$BI$53:$BS$61,$BI$65:$BS$73,$BY$5:$CI$13,$BY$17:$CI$25),MATCH($L$27,$AN$5:$AN$13,0),MATCH(A36,$AO$4:$AY$4,0),MATCH($G$25,$AL$18:$AL$31,0)))*C36</f>
        <v>0</v>
      </c>
      <c r="AA37" s="19">
        <f>(INDEX(($AO$5:$AY$13,$AO$17:$AY$25,$AO$30:$AY$38,$AO$42:$AY$50,$AO$54:$AY$62,$AO$66:$AY$74,$BI$5:$BS$13,$BI$17:$BS$25,$BI$29:$BS$37,$BI$41:$BS$49,$BI$53:$BS$61,$BI$65:$BS$73,$BY$5:$CI$13,$BY$17:$CI$25),MATCH($L$28,$AN$5:$AN$13,0),MATCH(A36,$AO$4:$AY$4,0),MATCH($G$25,$AL$18:$AL$31,0)))*C36</f>
        <v>0</v>
      </c>
      <c r="AB37" s="19">
        <f>(INDEX(($AO$5:$AY$13,$AO$17:$AY$25,$AO$30:$AY$38,$AO$42:$AY$50,$AO$54:$AY$62,$AO$66:$AY$74,$BI$5:$BS$13,$BI$17:$BS$25,$BI$29:$BS$37,$BI$41:$BS$49,$BI$53:$BS$61,$BI$65:$BS$73,$BY$5:$CI$13,$BY$17:$CI$25),MATCH($L$29,$AN$5:$AN$13,0),MATCH(A36,$AO$4:$AY$4,0),MATCH($G$25,$AL$18:$AL$31,0)))*C36</f>
        <v>0</v>
      </c>
      <c r="AC37" s="19">
        <f>(INDEX(($AO$5:$AY$13,$AO$17:$AY$25,$AO$30:$AY$38,$AO$42:$AY$50,$AO$54:$AY$62,$AO$66:$AY$74,$BI$5:$BS$13,$BI$17:$BS$25,$BI$29:$BS$37,$BI$41:$BS$49,$BI$53:$BS$61,$BI$65:$BS$73,$BY$5:$CI$13,$BY$17:$CI$25),MATCH($L$30,$AN$5:$AN$13,0),MATCH(A36,$AO$4:$AY$4,0),MATCH($G$25,$AL$18:$AL$31,0)))*C36</f>
        <v>0</v>
      </c>
      <c r="AD37" s="19">
        <f>(INDEX(($AO$5:$AY$13,$AO$17:$AY$25,$AO$30:$AY$38,$AO$42:$AY$50,$AO$54:$AY$62,$AO$66:$AY$74,$BI$5:$BS$13,$BI$17:$BS$25,$BI$29:$BS$37,$BI$41:$BS$49,$BI$53:$BS$61,$BI$65:$BS$73,$BY$5:$CI$13,$BY$17:$CI$25),MATCH($L$31,$AN$5:$AN$13,0),MATCH(A36,$AO$4:$AY$4,0),MATCH($G$25,$AL$18:$AL$31,0)))*C36</f>
        <v>0</v>
      </c>
      <c r="AE37" s="19">
        <f>(INDEX(($AO$5:$AY$13,$AO$17:$AY$25,$AO$30:$AY$38,$AO$42:$AY$50,$AO$54:$AY$62,$AO$66:$AY$74,$BI$5:$BS$13,$BI$17:$BS$25,$BI$29:$BS$37,$BI$41:$BS$49,$BI$53:$BS$61,$BI$65:$BS$73,$BY$5:$CI$13,$BY$17:$CI$25),MATCH($L$32,$AN$5:$AN$13,0),MATCH(A36,$AO$4:$AY$4,0),MATCH($G$25,$AL$18:$AL$31,0)))*C36</f>
        <v>0</v>
      </c>
      <c r="AN37" s="19" t="s">
        <v>102</v>
      </c>
      <c r="AO37" s="19">
        <v>0</v>
      </c>
      <c r="AP37" s="19">
        <v>0</v>
      </c>
      <c r="AQ37" s="19">
        <v>0</v>
      </c>
      <c r="AR37" s="19">
        <v>0</v>
      </c>
      <c r="AS37" s="19">
        <v>2</v>
      </c>
      <c r="AT37" s="19">
        <v>2</v>
      </c>
      <c r="AU37" s="19">
        <v>0</v>
      </c>
      <c r="AV37" s="19">
        <v>2</v>
      </c>
      <c r="AW37" s="19">
        <v>4</v>
      </c>
      <c r="AX37" s="19">
        <v>2</v>
      </c>
      <c r="AY37" s="19">
        <v>4</v>
      </c>
      <c r="AZ37" s="19"/>
      <c r="BA37" s="19"/>
      <c r="BB37" s="17"/>
      <c r="BC37" s="19"/>
      <c r="BD37" s="19"/>
      <c r="BE37" s="19"/>
      <c r="BF37" s="19"/>
      <c r="BG37" s="19"/>
      <c r="BH37" s="19" t="s">
        <v>10</v>
      </c>
      <c r="BI37" s="19">
        <v>0</v>
      </c>
      <c r="BJ37" s="19">
        <v>0</v>
      </c>
      <c r="BK37" s="19">
        <v>2</v>
      </c>
      <c r="BL37" s="19">
        <v>2</v>
      </c>
      <c r="BM37" s="19">
        <v>4</v>
      </c>
      <c r="BN37" s="19">
        <v>4</v>
      </c>
      <c r="BO37" s="19">
        <v>6</v>
      </c>
      <c r="BP37" s="19">
        <v>6</v>
      </c>
      <c r="BQ37" s="19">
        <v>8</v>
      </c>
      <c r="BR37" s="19">
        <v>8</v>
      </c>
      <c r="BS37" s="19">
        <v>10</v>
      </c>
      <c r="BT37" s="19"/>
      <c r="BU37" s="19"/>
      <c r="BV37" s="19"/>
      <c r="BW37" s="19"/>
      <c r="BX37" s="19"/>
      <c r="BY37" s="19"/>
      <c r="BZ37" s="19"/>
      <c r="CA37" s="19"/>
      <c r="CB37" s="19"/>
      <c r="CC37" s="19"/>
      <c r="CD37" s="19"/>
      <c r="CE37" s="19"/>
      <c r="CF37" s="19"/>
      <c r="CG37" s="19"/>
      <c r="CH37" s="19"/>
      <c r="CI37" s="19"/>
      <c r="CJ37" s="19"/>
      <c r="CK37" s="19"/>
      <c r="CL37" s="19"/>
      <c r="CM37" s="19"/>
    </row>
    <row r="38" spans="1:91" x14ac:dyDescent="0.25">
      <c r="A38" s="8"/>
      <c r="B38" s="6" t="s">
        <v>61</v>
      </c>
      <c r="C38" s="8"/>
      <c r="F38" s="4"/>
      <c r="G38" s="4"/>
      <c r="H38" s="4"/>
      <c r="I38" s="4"/>
      <c r="J38" s="4"/>
      <c r="K38" s="4"/>
      <c r="L38" s="6" t="str">
        <f>INDEX(($AH$13:$AI$13),1,MATCH(E26,$AH$2:$AI$2,0))</f>
        <v>PUF</v>
      </c>
      <c r="M38" s="14">
        <f>INDEX(cenník!$C$2:$I$568,MATCH($L38,cenník!$B$2:$B$557,0),MATCH(M$2,cenník!$C$1:$I$1,0))</f>
        <v>897300</v>
      </c>
      <c r="N38" s="14" t="str">
        <f>INDEX(cenník!$C$2:$I$568,MATCH($L38,cenník!$B$2:$B$557,0),MATCH(N$2,cenník!$C$1:$I$1,0))</f>
        <v>ks</v>
      </c>
      <c r="O38" s="14">
        <f>SUM(IF(A24=0,0,IF(A24&gt;0,(A24-1)*2*C24)),IF(A25=0,0,IF(A25&gt;0,(A25-1)*2*C25)),IF(A26=0,0,IF(A26&gt;0,(A26-1)*2*C26)),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)</f>
        <v>0</v>
      </c>
      <c r="P38" s="21">
        <f>INDEX(cenník!$C$2:$I$568,MATCH($L38,cenník!$B$2:$B$557,0),MATCH(P$2,cenník!$C$1:$I$1,0))</f>
        <v>0.56999999999999995</v>
      </c>
      <c r="Q38" s="21">
        <f t="shared" si="5"/>
        <v>0</v>
      </c>
      <c r="R38" s="22">
        <f t="shared" si="6"/>
        <v>0</v>
      </c>
      <c r="S38" s="21">
        <f t="shared" si="7"/>
        <v>0.56999999999999995</v>
      </c>
      <c r="T38" s="21">
        <f t="shared" si="8"/>
        <v>0</v>
      </c>
      <c r="U38" s="21">
        <f>INDEX(cenník!$C$2:$I$568,MATCH($L38,cenník!$B$2:$B$557,0),MATCH(U$2,cenník!$C$1:$I$1,0))*O38</f>
        <v>0</v>
      </c>
      <c r="W38" s="19">
        <f>(INDEX(($AO$5:$AY$13,$AO$17:$AY$25,$AO$30:$AY$38,$AO$42:$AY$50,$AO$54:$AY$62,$AO$66:$AY$74,$BI$5:$BS$13,$BI$17:$BS$25,$BI$29:$BS$37,$BI$41:$BS$49,$BI$53:$BS$61,$BI$65:$BS$73,$BY$5:$CI$13,$BY$17:$CI$25),MATCH($L$33,$AN$5:$AN$13,0),MATCH(A37,$AO$4:$AY$4,0),MATCH($G$25,$AL$18:$AL$31,0)))*C37</f>
        <v>0</v>
      </c>
      <c r="X38" s="19">
        <f>(INDEX(($AO$5:$AY$13,$AO$17:$AY$25,$AO$30:$AY$38,$AO$42:$AY$50,$AO$54:$AY$62,$AO$66:$AY$74,$BI$5:$BS$13,$BI$17:$BS$25,$BI$29:$BS$37,$BI$41:$BS$49,$BI$53:$BS$61,$BI$65:$BS$73,$BY$5:$CI$13,$BY$17:$CI$25),MATCH($L$25,$AN$5:$AN$13,0),MATCH(A37,$AO$4:$AY$4,0),MATCH($G$25,$AL$18:$AL$31,0)))*C37</f>
        <v>0</v>
      </c>
      <c r="Y38" s="19">
        <f>(INDEX(($AO$5:$AY$13,$AO$17:$AY$25,$AO$30:$AY$38,$AO$42:$AY$50,$AO$54:$AY$62,$AO$66:$AY$74,$BI$5:$BS$13,$BI$17:$BS$25,$BI$29:$BS$37,$BI$41:$BS$49,$BI$53:$BS$61,$BI$65:$BS$73,$BY$5:$CI$13,$BY$17:$CI$25),MATCH($L$26,$AN$5:$AN$13,0),MATCH(A37,$AO$4:$AY$4,0),MATCH($G$25,$AL$18:$AL$31,0)))*C37</f>
        <v>0</v>
      </c>
      <c r="Z38" s="19">
        <f>(INDEX(($AO$5:$AY$13,$AO$17:$AY$25,$AO$30:$AY$38,$AO$42:$AY$50,$AO$54:$AY$62,$AO$66:$AY$74,$BI$5:$BS$13,$BI$17:$BS$25,$BI$29:$BS$37,$BI$41:$BS$49,$BI$53:$BS$61,$BI$65:$BS$73,$BY$5:$CI$13,$BY$17:$CI$25),MATCH($L$27,$AN$5:$AN$13,0),MATCH(A37,$AO$4:$AY$4,0),MATCH($G$25,$AL$18:$AL$31,0)))*C37</f>
        <v>0</v>
      </c>
      <c r="AA38" s="19">
        <f>(INDEX(($AO$5:$AY$13,$AO$17:$AY$25,$AO$30:$AY$38,$AO$42:$AY$50,$AO$54:$AY$62,$AO$66:$AY$74,$BI$5:$BS$13,$BI$17:$BS$25,$BI$29:$BS$37,$BI$41:$BS$49,$BI$53:$BS$61,$BI$65:$BS$73,$BY$5:$CI$13,$BY$17:$CI$25),MATCH($L$28,$AN$5:$AN$13,0),MATCH(A37,$AO$4:$AY$4,0),MATCH($G$25,$AL$18:$AL$31,0)))*C37</f>
        <v>0</v>
      </c>
      <c r="AB38" s="19">
        <f>(INDEX(($AO$5:$AY$13,$AO$17:$AY$25,$AO$30:$AY$38,$AO$42:$AY$50,$AO$54:$AY$62,$AO$66:$AY$74,$BI$5:$BS$13,$BI$17:$BS$25,$BI$29:$BS$37,$BI$41:$BS$49,$BI$53:$BS$61,$BI$65:$BS$73,$BY$5:$CI$13,$BY$17:$CI$25),MATCH($L$29,$AN$5:$AN$13,0),MATCH(A37,$AO$4:$AY$4,0),MATCH($G$25,$AL$18:$AL$31,0)))*C37</f>
        <v>0</v>
      </c>
      <c r="AC38" s="19">
        <f>(INDEX(($AO$5:$AY$13,$AO$17:$AY$25,$AO$30:$AY$38,$AO$42:$AY$50,$AO$54:$AY$62,$AO$66:$AY$74,$BI$5:$BS$13,$BI$17:$BS$25,$BI$29:$BS$37,$BI$41:$BS$49,$BI$53:$BS$61,$BI$65:$BS$73,$BY$5:$CI$13,$BY$17:$CI$25),MATCH($L$30,$AN$5:$AN$13,0),MATCH(A37,$AO$4:$AY$4,0),MATCH($G$25,$AL$18:$AL$31,0)))*C37</f>
        <v>0</v>
      </c>
      <c r="AD38" s="19">
        <f>(INDEX(($AO$5:$AY$13,$AO$17:$AY$25,$AO$30:$AY$38,$AO$42:$AY$50,$AO$54:$AY$62,$AO$66:$AY$74,$BI$5:$BS$13,$BI$17:$BS$25,$BI$29:$BS$37,$BI$41:$BS$49,$BI$53:$BS$61,$BI$65:$BS$73,$BY$5:$CI$13,$BY$17:$CI$25),MATCH($L$31,$AN$5:$AN$13,0),MATCH(A37,$AO$4:$AY$4,0),MATCH($G$25,$AL$18:$AL$31,0)))*C37</f>
        <v>0</v>
      </c>
      <c r="AE38" s="19">
        <f>(INDEX(($AO$5:$AY$13,$AO$17:$AY$25,$AO$30:$AY$38,$AO$42:$AY$50,$AO$54:$AY$62,$AO$66:$AY$74,$BI$5:$BS$13,$BI$17:$BS$25,$BI$29:$BS$37,$BI$41:$BS$49,$BI$53:$BS$61,$BI$65:$BS$73,$BY$5:$CI$13,$BY$17:$CI$25),MATCH($L$32,$AN$5:$AN$13,0),MATCH(A37,$AO$4:$AY$4,0),MATCH($G$25,$AL$18:$AL$31,0)))*C37</f>
        <v>0</v>
      </c>
      <c r="AN38" s="19" t="s">
        <v>10</v>
      </c>
      <c r="AO38" s="19">
        <v>0</v>
      </c>
      <c r="AP38" s="19">
        <v>0</v>
      </c>
      <c r="AQ38" s="19">
        <v>2</v>
      </c>
      <c r="AR38" s="19">
        <v>0</v>
      </c>
      <c r="AS38" s="19">
        <v>2</v>
      </c>
      <c r="AT38" s="19">
        <v>2</v>
      </c>
      <c r="AU38" s="19">
        <v>2</v>
      </c>
      <c r="AV38" s="19">
        <v>4</v>
      </c>
      <c r="AW38" s="19">
        <v>4</v>
      </c>
      <c r="AX38" s="19">
        <v>4</v>
      </c>
      <c r="AY38" s="19">
        <v>6</v>
      </c>
      <c r="AZ38" s="19"/>
      <c r="BA38" s="19"/>
      <c r="BB38" s="17"/>
      <c r="BC38" s="19"/>
      <c r="BD38" s="19"/>
      <c r="BE38" s="19"/>
      <c r="BF38" s="19"/>
      <c r="BG38" s="19"/>
      <c r="BT38" s="19"/>
      <c r="BU38" s="19"/>
      <c r="BV38" s="19"/>
      <c r="BW38" s="19"/>
      <c r="BX38" s="19"/>
      <c r="BY38" s="19"/>
      <c r="BZ38" s="19"/>
      <c r="CA38" s="19"/>
      <c r="CB38" s="19"/>
      <c r="CC38" s="19"/>
      <c r="CD38" s="19"/>
      <c r="CE38" s="19"/>
      <c r="CF38" s="19"/>
      <c r="CG38" s="19"/>
      <c r="CH38" s="19"/>
      <c r="CI38" s="19"/>
      <c r="CJ38" s="19"/>
      <c r="CK38" s="19"/>
      <c r="CL38" s="19"/>
      <c r="CM38" s="19"/>
    </row>
    <row r="39" spans="1:91" x14ac:dyDescent="0.25">
      <c r="A39" s="8"/>
      <c r="B39" s="6" t="s">
        <v>61</v>
      </c>
      <c r="C39" s="8"/>
      <c r="F39" s="4"/>
      <c r="G39" s="4"/>
      <c r="H39" s="4"/>
      <c r="I39" s="4"/>
      <c r="J39" s="4"/>
      <c r="K39" s="4"/>
      <c r="L39" s="6" t="str">
        <f>INDEX(($AJ$3:$AJ$12),MATCH(I25,$AG$3:$AG$12,0),1)</f>
        <v>SAM8X30E</v>
      </c>
      <c r="M39" s="14">
        <f>INDEX(cenník!$C$2:$I$568,MATCH($L39,cenník!$B$2:$B$557,0),MATCH(M$2,cenník!$C$1:$I$1,0))</f>
        <v>898530</v>
      </c>
      <c r="N39" s="14" t="str">
        <f>INDEX(cenník!$C$2:$I$568,MATCH($L39,cenník!$B$2:$B$557,0),MATCH(N$2,cenník!$C$1:$I$1,0))</f>
        <v>ks</v>
      </c>
      <c r="O39" s="14">
        <f>SUM(O37:O38)</f>
        <v>0</v>
      </c>
      <c r="P39" s="21">
        <f>INDEX(cenník!$C$2:$I$568,MATCH($L39,cenník!$B$2:$B$557,0),MATCH(P$2,cenník!$C$1:$I$1,0))</f>
        <v>0.18</v>
      </c>
      <c r="Q39" s="21">
        <f t="shared" si="5"/>
        <v>0</v>
      </c>
      <c r="R39" s="22">
        <f t="shared" si="6"/>
        <v>0</v>
      </c>
      <c r="S39" s="21">
        <f t="shared" si="7"/>
        <v>0.18</v>
      </c>
      <c r="T39" s="21">
        <f t="shared" si="8"/>
        <v>0</v>
      </c>
      <c r="U39" s="21">
        <f>INDEX(cenník!$C$2:$I$568,MATCH($L39,cenník!$B$2:$B$557,0),MATCH(U$2,cenník!$C$1:$I$1,0))*O39</f>
        <v>0</v>
      </c>
      <c r="W39" s="19">
        <f>(INDEX(($AO$5:$AY$13,$AO$17:$AY$25,$AO$30:$AY$38,$AO$42:$AY$50,$AO$54:$AY$62,$AO$66:$AY$74,$BI$5:$BS$13,$BI$17:$BS$25,$BI$29:$BS$37,$BI$41:$BS$49,$BI$53:$BS$61,$BI$65:$BS$73,$BY$5:$CI$13,$BY$17:$CI$25),MATCH($L$33,$AN$5:$AN$13,0),MATCH(A38,$AO$4:$AY$4,0),MATCH($G$25,$AL$18:$AL$31,0)))*C38</f>
        <v>0</v>
      </c>
      <c r="X39" s="19">
        <f>(INDEX(($AO$5:$AY$13,$AO$17:$AY$25,$AO$30:$AY$38,$AO$42:$AY$50,$AO$54:$AY$62,$AO$66:$AY$74,$BI$5:$BS$13,$BI$17:$BS$25,$BI$29:$BS$37,$BI$41:$BS$49,$BI$53:$BS$61,$BI$65:$BS$73,$BY$5:$CI$13,$BY$17:$CI$25),MATCH($L$25,$AN$5:$AN$13,0),MATCH(A38,$AO$4:$AY$4,0),MATCH($G$25,$AL$18:$AL$31,0)))*C38</f>
        <v>0</v>
      </c>
      <c r="Y39" s="19">
        <f>(INDEX(($AO$5:$AY$13,$AO$17:$AY$25,$AO$30:$AY$38,$AO$42:$AY$50,$AO$54:$AY$62,$AO$66:$AY$74,$BI$5:$BS$13,$BI$17:$BS$25,$BI$29:$BS$37,$BI$41:$BS$49,$BI$53:$BS$61,$BI$65:$BS$73,$BY$5:$CI$13,$BY$17:$CI$25),MATCH($L$26,$AN$5:$AN$13,0),MATCH(A38,$AO$4:$AY$4,0),MATCH($G$25,$AL$18:$AL$31,0)))*C38</f>
        <v>0</v>
      </c>
      <c r="Z39" s="19">
        <f>(INDEX(($AO$5:$AY$13,$AO$17:$AY$25,$AO$30:$AY$38,$AO$42:$AY$50,$AO$54:$AY$62,$AO$66:$AY$74,$BI$5:$BS$13,$BI$17:$BS$25,$BI$29:$BS$37,$BI$41:$BS$49,$BI$53:$BS$61,$BI$65:$BS$73,$BY$5:$CI$13,$BY$17:$CI$25),MATCH($L$27,$AN$5:$AN$13,0),MATCH(A38,$AO$4:$AY$4,0),MATCH($G$25,$AL$18:$AL$31,0)))*C38</f>
        <v>0</v>
      </c>
      <c r="AA39" s="19">
        <f>(INDEX(($AO$5:$AY$13,$AO$17:$AY$25,$AO$30:$AY$38,$AO$42:$AY$50,$AO$54:$AY$62,$AO$66:$AY$74,$BI$5:$BS$13,$BI$17:$BS$25,$BI$29:$BS$37,$BI$41:$BS$49,$BI$53:$BS$61,$BI$65:$BS$73,$BY$5:$CI$13,$BY$17:$CI$25),MATCH($L$28,$AN$5:$AN$13,0),MATCH(A38,$AO$4:$AY$4,0),MATCH($G$25,$AL$18:$AL$31,0)))*C38</f>
        <v>0</v>
      </c>
      <c r="AB39" s="19">
        <f>(INDEX(($AO$5:$AY$13,$AO$17:$AY$25,$AO$30:$AY$38,$AO$42:$AY$50,$AO$54:$AY$62,$AO$66:$AY$74,$BI$5:$BS$13,$BI$17:$BS$25,$BI$29:$BS$37,$BI$41:$BS$49,$BI$53:$BS$61,$BI$65:$BS$73,$BY$5:$CI$13,$BY$17:$CI$25),MATCH($L$29,$AN$5:$AN$13,0),MATCH(A38,$AO$4:$AY$4,0),MATCH($G$25,$AL$18:$AL$31,0)))*C38</f>
        <v>0</v>
      </c>
      <c r="AC39" s="19">
        <f>(INDEX(($AO$5:$AY$13,$AO$17:$AY$25,$AO$30:$AY$38,$AO$42:$AY$50,$AO$54:$AY$62,$AO$66:$AY$74,$BI$5:$BS$13,$BI$17:$BS$25,$BI$29:$BS$37,$BI$41:$BS$49,$BI$53:$BS$61,$BI$65:$BS$73,$BY$5:$CI$13,$BY$17:$CI$25),MATCH($L$30,$AN$5:$AN$13,0),MATCH(A38,$AO$4:$AY$4,0),MATCH($G$25,$AL$18:$AL$31,0)))*C38</f>
        <v>0</v>
      </c>
      <c r="AD39" s="19">
        <f>(INDEX(($AO$5:$AY$13,$AO$17:$AY$25,$AO$30:$AY$38,$AO$42:$AY$50,$AO$54:$AY$62,$AO$66:$AY$74,$BI$5:$BS$13,$BI$17:$BS$25,$BI$29:$BS$37,$BI$41:$BS$49,$BI$53:$BS$61,$BI$65:$BS$73,$BY$5:$CI$13,$BY$17:$CI$25),MATCH($L$31,$AN$5:$AN$13,0),MATCH(A38,$AO$4:$AY$4,0),MATCH($G$25,$AL$18:$AL$31,0)))*C38</f>
        <v>0</v>
      </c>
      <c r="AE39" s="19">
        <f>(INDEX(($AO$5:$AY$13,$AO$17:$AY$25,$AO$30:$AY$38,$AO$42:$AY$50,$AO$54:$AY$62,$AO$66:$AY$74,$BI$5:$BS$13,$BI$17:$BS$25,$BI$29:$BS$37,$BI$41:$BS$49,$BI$53:$BS$61,$BI$65:$BS$73,$BY$5:$CI$13,$BY$17:$CI$25),MATCH($L$32,$AN$5:$AN$13,0),MATCH(A38,$AO$4:$AY$4,0),MATCH($G$25,$AL$18:$AL$31,0)))*C38</f>
        <v>0</v>
      </c>
      <c r="AN39" s="19"/>
      <c r="AO39" s="19"/>
      <c r="AP39" s="19"/>
      <c r="AQ39" s="19"/>
      <c r="AR39" s="19"/>
      <c r="AS39" s="19"/>
      <c r="AT39" s="19"/>
      <c r="AU39" s="19"/>
      <c r="AV39" s="19"/>
      <c r="AW39" s="19"/>
      <c r="AX39" s="19"/>
      <c r="AY39" s="19"/>
      <c r="AZ39" s="19"/>
      <c r="BA39" s="19"/>
      <c r="BB39" s="17"/>
      <c r="BC39" s="19"/>
      <c r="BD39" s="19"/>
      <c r="BE39" s="19"/>
      <c r="BF39" s="19"/>
      <c r="BG39" s="19"/>
      <c r="BH39" s="19" t="s">
        <v>196</v>
      </c>
      <c r="BI39" s="19"/>
      <c r="BJ39" s="19"/>
      <c r="BK39" s="19"/>
      <c r="BL39" s="19"/>
      <c r="BM39" s="19"/>
      <c r="BN39" s="19"/>
      <c r="BO39" s="19"/>
      <c r="BP39" s="19"/>
      <c r="BQ39" s="19"/>
      <c r="BR39" s="19"/>
      <c r="BS39" s="19"/>
      <c r="BT39" s="19"/>
      <c r="BU39" s="19"/>
      <c r="BV39" s="19"/>
      <c r="BW39" s="19"/>
      <c r="BX39" s="19"/>
      <c r="BY39" s="19"/>
      <c r="BZ39" s="19"/>
      <c r="CA39" s="19"/>
      <c r="CB39" s="19"/>
      <c r="CC39" s="19"/>
      <c r="CD39" s="19"/>
      <c r="CE39" s="19"/>
      <c r="CF39" s="19"/>
      <c r="CG39" s="19"/>
      <c r="CH39" s="19"/>
      <c r="CI39" s="19"/>
      <c r="CJ39" s="19"/>
      <c r="CK39" s="19"/>
      <c r="CL39" s="19"/>
      <c r="CM39" s="19"/>
    </row>
    <row r="40" spans="1:91" x14ac:dyDescent="0.25">
      <c r="L40" s="6" t="s">
        <v>244</v>
      </c>
      <c r="M40" s="14">
        <f>INDEX(cenník!$C$2:$I$568,MATCH($L40,cenník!$B$2:$B$557,0),MATCH(M$2,cenník!$C$1:$I$1,0))</f>
        <v>166794</v>
      </c>
      <c r="N40" s="14" t="str">
        <f>INDEX(cenník!$C$2:$I$568,MATCH($L40,cenník!$B$2:$B$557,0),MATCH(N$2,cenník!$C$1:$I$1,0))</f>
        <v>100ks</v>
      </c>
      <c r="O40" s="14">
        <f>ROUNDUP(O39/100,0)</f>
        <v>0</v>
      </c>
      <c r="P40" s="21">
        <f>INDEX(cenník!$C$2:$I$568,MATCH($L40,cenník!$B$2:$B$557,0),MATCH(P$2,cenník!$C$1:$I$1,0))</f>
        <v>1.38</v>
      </c>
      <c r="Q40" s="21">
        <f t="shared" si="5"/>
        <v>0</v>
      </c>
      <c r="R40" s="22">
        <f t="shared" si="6"/>
        <v>0</v>
      </c>
      <c r="S40" s="21">
        <f t="shared" si="7"/>
        <v>1.38</v>
      </c>
      <c r="T40" s="21">
        <f t="shared" si="8"/>
        <v>0</v>
      </c>
      <c r="U40" s="21">
        <f>INDEX(cenník!$C$2:$I$568,MATCH($L40,cenník!$B$2:$B$557,0),MATCH(U$2,cenník!$C$1:$I$1,0))*O40</f>
        <v>0</v>
      </c>
      <c r="W40" s="19">
        <f>(INDEX(($AO$5:$AY$13,$AO$17:$AY$25,$AO$30:$AY$38,$AO$42:$AY$50,$AO$54:$AY$62,$AO$66:$AY$74,$BI$5:$BS$13,$BI$17:$BS$25,$BI$29:$BS$37,$BI$41:$BS$49,$BI$53:$BS$61,$BI$65:$BS$73,$BY$5:$CI$13,$BY$17:$CI$25),MATCH($L$33,$AN$5:$AN$13,0),MATCH(A39,$AO$4:$AY$4,0),MATCH($G$25,$AL$18:$AL$31,0)))*C39</f>
        <v>0</v>
      </c>
      <c r="X40" s="19">
        <f>(INDEX(($AO$5:$AY$13,$AO$17:$AY$25,$AO$30:$AY$38,$AO$42:$AY$50,$AO$54:$AY$62,$AO$66:$AY$74,$BI$5:$BS$13,$BI$17:$BS$25,$BI$29:$BS$37,$BI$41:$BS$49,$BI$53:$BS$61,$BI$65:$BS$73,$BY$5:$CI$13,$BY$17:$CI$25),MATCH($L$25,$AN$5:$AN$13,0),MATCH(A39,$AO$4:$AY$4,0),MATCH($G$25,$AL$18:$AL$31,0)))*C39</f>
        <v>0</v>
      </c>
      <c r="Y40" s="19">
        <f>(INDEX(($AO$5:$AY$13,$AO$17:$AY$25,$AO$30:$AY$38,$AO$42:$AY$50,$AO$54:$AY$62,$AO$66:$AY$74,$BI$5:$BS$13,$BI$17:$BS$25,$BI$29:$BS$37,$BI$41:$BS$49,$BI$53:$BS$61,$BI$65:$BS$73,$BY$5:$CI$13,$BY$17:$CI$25),MATCH($L$26,$AN$5:$AN$13,0),MATCH(A39,$AO$4:$AY$4,0),MATCH($G$25,$AL$18:$AL$31,0)))*C39</f>
        <v>0</v>
      </c>
      <c r="Z40" s="19">
        <f>(INDEX(($AO$5:$AY$13,$AO$17:$AY$25,$AO$30:$AY$38,$AO$42:$AY$50,$AO$54:$AY$62,$AO$66:$AY$74,$BI$5:$BS$13,$BI$17:$BS$25,$BI$29:$BS$37,$BI$41:$BS$49,$BI$53:$BS$61,$BI$65:$BS$73,$BY$5:$CI$13,$BY$17:$CI$25),MATCH($L$27,$AN$5:$AN$13,0),MATCH(A39,$AO$4:$AY$4,0),MATCH($G$25,$AL$18:$AL$31,0)))*C39</f>
        <v>0</v>
      </c>
      <c r="AA40" s="19">
        <f>(INDEX(($AO$5:$AY$13,$AO$17:$AY$25,$AO$30:$AY$38,$AO$42:$AY$50,$AO$54:$AY$62,$AO$66:$AY$74,$BI$5:$BS$13,$BI$17:$BS$25,$BI$29:$BS$37,$BI$41:$BS$49,$BI$53:$BS$61,$BI$65:$BS$73,$BY$5:$CI$13,$BY$17:$CI$25),MATCH($L$28,$AN$5:$AN$13,0),MATCH(A39,$AO$4:$AY$4,0),MATCH($G$25,$AL$18:$AL$31,0)))*C39</f>
        <v>0</v>
      </c>
      <c r="AB40" s="19">
        <f>(INDEX(($AO$5:$AY$13,$AO$17:$AY$25,$AO$30:$AY$38,$AO$42:$AY$50,$AO$54:$AY$62,$AO$66:$AY$74,$BI$5:$BS$13,$BI$17:$BS$25,$BI$29:$BS$37,$BI$41:$BS$49,$BI$53:$BS$61,$BI$65:$BS$73,$BY$5:$CI$13,$BY$17:$CI$25),MATCH($L$29,$AN$5:$AN$13,0),MATCH(A39,$AO$4:$AY$4,0),MATCH($G$25,$AL$18:$AL$31,0)))*C39</f>
        <v>0</v>
      </c>
      <c r="AC40" s="19">
        <f>(INDEX(($AO$5:$AY$13,$AO$17:$AY$25,$AO$30:$AY$38,$AO$42:$AY$50,$AO$54:$AY$62,$AO$66:$AY$74,$BI$5:$BS$13,$BI$17:$BS$25,$BI$29:$BS$37,$BI$41:$BS$49,$BI$53:$BS$61,$BI$65:$BS$73,$BY$5:$CI$13,$BY$17:$CI$25),MATCH($L$30,$AN$5:$AN$13,0),MATCH(A39,$AO$4:$AY$4,0),MATCH($G$25,$AL$18:$AL$31,0)))*C39</f>
        <v>0</v>
      </c>
      <c r="AD40" s="19">
        <f>(INDEX(($AO$5:$AY$13,$AO$17:$AY$25,$AO$30:$AY$38,$AO$42:$AY$50,$AO$54:$AY$62,$AO$66:$AY$74,$BI$5:$BS$13,$BI$17:$BS$25,$BI$29:$BS$37,$BI$41:$BS$49,$BI$53:$BS$61,$BI$65:$BS$73,$BY$5:$CI$13,$BY$17:$CI$25),MATCH($L$31,$AN$5:$AN$13,0),MATCH(A39,$AO$4:$AY$4,0),MATCH($G$25,$AL$18:$AL$31,0)))*C39</f>
        <v>0</v>
      </c>
      <c r="AE40" s="19">
        <f>(INDEX(($AO$5:$AY$13,$AO$17:$AY$25,$AO$30:$AY$38,$AO$42:$AY$50,$AO$54:$AY$62,$AO$66:$AY$74,$BI$5:$BS$13,$BI$17:$BS$25,$BI$29:$BS$37,$BI$41:$BS$49,$BI$53:$BS$61,$BI$65:$BS$73,$BY$5:$CI$13,$BY$17:$CI$25),MATCH($L$32,$AN$5:$AN$13,0),MATCH(A39,$AO$4:$AY$4,0),MATCH($G$25,$AL$18:$AL$31,0)))*C39</f>
        <v>0</v>
      </c>
      <c r="AN40" s="19" t="s">
        <v>205</v>
      </c>
      <c r="AO40" s="19"/>
      <c r="AP40" s="19"/>
      <c r="AQ40" s="19"/>
      <c r="AR40" s="19"/>
      <c r="AS40" s="19"/>
      <c r="AT40" s="19"/>
      <c r="AU40" s="19"/>
      <c r="AV40" s="19"/>
      <c r="AW40" s="19"/>
      <c r="AX40" s="19"/>
      <c r="AY40" s="19"/>
      <c r="AZ40" s="19"/>
      <c r="BA40" s="19"/>
      <c r="BB40" s="17"/>
      <c r="BC40" s="19"/>
      <c r="BD40" s="19"/>
      <c r="BE40" s="19"/>
      <c r="BF40" s="19"/>
      <c r="BG40" s="19"/>
      <c r="BH40" s="19"/>
      <c r="BI40" s="19">
        <v>0</v>
      </c>
      <c r="BJ40" s="19">
        <v>1</v>
      </c>
      <c r="BK40" s="19">
        <v>2</v>
      </c>
      <c r="BL40" s="19">
        <v>3</v>
      </c>
      <c r="BM40" s="19">
        <v>4</v>
      </c>
      <c r="BN40" s="19">
        <v>5</v>
      </c>
      <c r="BO40" s="19">
        <v>6</v>
      </c>
      <c r="BP40" s="19">
        <v>7</v>
      </c>
      <c r="BQ40" s="19">
        <v>8</v>
      </c>
      <c r="BR40" s="19">
        <v>9</v>
      </c>
      <c r="BS40" s="19">
        <v>10</v>
      </c>
      <c r="BT40" s="19"/>
      <c r="BU40" s="19"/>
      <c r="BV40" s="19"/>
      <c r="BW40" s="19"/>
      <c r="BX40" s="19"/>
      <c r="BY40" s="19"/>
      <c r="BZ40" s="19"/>
      <c r="CA40" s="19"/>
      <c r="CB40" s="19"/>
      <c r="CC40" s="19"/>
      <c r="CD40" s="19"/>
      <c r="CE40" s="19"/>
      <c r="CF40" s="19"/>
      <c r="CG40" s="19"/>
      <c r="CH40" s="19"/>
      <c r="CI40" s="19"/>
      <c r="CJ40" s="19"/>
      <c r="CK40" s="19"/>
      <c r="CL40" s="19"/>
      <c r="CM40" s="19"/>
    </row>
    <row r="41" spans="1:91" x14ac:dyDescent="0.25">
      <c r="L41" s="15" t="s">
        <v>129</v>
      </c>
      <c r="M41" s="14">
        <f>INDEX(cenník!$C$2:$I$568,MATCH($L41,cenník!$B$2:$B$557,0),MATCH(M$2,cenník!$C$1:$I$1,0))</f>
        <v>890101</v>
      </c>
      <c r="N41" s="14" t="str">
        <f>INDEX(cenník!$C$2:$I$568,MATCH($L41,cenník!$B$2:$B$557,0),MATCH(N$2,cenník!$C$1:$I$1,0))</f>
        <v>ks</v>
      </c>
      <c r="O41" s="14">
        <f>O39</f>
        <v>0</v>
      </c>
      <c r="P41" s="21">
        <f>INDEX(cenník!$C$2:$I$568,MATCH($L41,cenník!$B$2:$B$557,0),MATCH(P$2,cenník!$C$1:$I$1,0))</f>
        <v>0.78</v>
      </c>
      <c r="Q41" s="21">
        <f t="shared" si="5"/>
        <v>0</v>
      </c>
      <c r="R41" s="22">
        <f t="shared" si="6"/>
        <v>0</v>
      </c>
      <c r="S41" s="21">
        <f t="shared" si="7"/>
        <v>0.78</v>
      </c>
      <c r="T41" s="21">
        <f t="shared" si="8"/>
        <v>0</v>
      </c>
      <c r="U41" s="21">
        <f>INDEX(cenník!$C$2:$I$568,MATCH($L41,cenník!$B$2:$B$557,0),MATCH(U$2,cenník!$C$1:$I$1,0))*O41</f>
        <v>0</v>
      </c>
      <c r="AE41" s="19"/>
      <c r="AN41" s="19"/>
      <c r="AO41" s="19">
        <v>0</v>
      </c>
      <c r="AP41" s="19">
        <v>1</v>
      </c>
      <c r="AQ41" s="19">
        <v>2</v>
      </c>
      <c r="AR41" s="19">
        <v>3</v>
      </c>
      <c r="AS41" s="19">
        <v>4</v>
      </c>
      <c r="AT41" s="19">
        <v>5</v>
      </c>
      <c r="AU41" s="19">
        <v>6</v>
      </c>
      <c r="AV41" s="19">
        <v>7</v>
      </c>
      <c r="AW41" s="19">
        <v>8</v>
      </c>
      <c r="AX41" s="19">
        <v>9</v>
      </c>
      <c r="AY41" s="19">
        <v>10</v>
      </c>
      <c r="AZ41" s="19"/>
      <c r="BA41" s="19"/>
      <c r="BB41" s="17"/>
      <c r="BC41" s="19"/>
      <c r="BD41" s="19"/>
      <c r="BE41" s="19"/>
      <c r="BF41" s="19"/>
      <c r="BG41" s="19"/>
      <c r="BH41" s="19" t="s">
        <v>99</v>
      </c>
      <c r="BI41" s="19">
        <v>0</v>
      </c>
      <c r="BJ41" s="19">
        <v>0</v>
      </c>
      <c r="BK41" s="19">
        <v>2</v>
      </c>
      <c r="BL41" s="19">
        <v>0</v>
      </c>
      <c r="BM41" s="19">
        <v>0</v>
      </c>
      <c r="BN41" s="19">
        <v>0</v>
      </c>
      <c r="BO41" s="19">
        <v>2</v>
      </c>
      <c r="BP41" s="19">
        <v>0</v>
      </c>
      <c r="BQ41" s="19">
        <v>0</v>
      </c>
      <c r="BR41" s="19">
        <v>0</v>
      </c>
      <c r="BS41" s="19">
        <v>0</v>
      </c>
      <c r="BT41" s="19"/>
      <c r="BU41" s="19"/>
      <c r="BV41" s="19"/>
      <c r="BW41" s="19"/>
      <c r="BX41" s="19"/>
      <c r="BY41" s="19"/>
      <c r="BZ41" s="19"/>
      <c r="CA41" s="19"/>
      <c r="CB41" s="19"/>
      <c r="CC41" s="19"/>
      <c r="CD41" s="19"/>
      <c r="CE41" s="19"/>
      <c r="CF41" s="19"/>
      <c r="CG41" s="19"/>
      <c r="CH41" s="19"/>
      <c r="CI41" s="19"/>
      <c r="CJ41" s="19"/>
      <c r="CK41" s="19"/>
      <c r="CL41" s="19"/>
      <c r="CM41" s="19"/>
    </row>
    <row r="42" spans="1:91" x14ac:dyDescent="0.25">
      <c r="L42" s="6" t="s">
        <v>178</v>
      </c>
      <c r="M42" s="14">
        <f>INDEX(cenník!$C$2:$I$568,MATCH($L42,cenník!$B$2:$B$557,0),MATCH(M$2,cenník!$C$1:$I$1,0))</f>
        <v>651643</v>
      </c>
      <c r="N42" s="14" t="str">
        <f>INDEX(cenník!$C$2:$I$568,MATCH($L42,cenník!$B$2:$B$557,0),MATCH(N$2,cenník!$C$1:$I$1,0))</f>
        <v>100ks</v>
      </c>
      <c r="O42" s="14">
        <f>ROUNDUP(((O33*12)+E29+(8*O34))/100,0)</f>
        <v>0</v>
      </c>
      <c r="P42" s="21">
        <f>INDEX(cenník!$C$2:$I$568,MATCH($L42,cenník!$B$2:$B$557,0),MATCH(P$2,cenník!$C$1:$I$1,0))</f>
        <v>49.87</v>
      </c>
      <c r="Q42" s="21">
        <f t="shared" si="5"/>
        <v>0</v>
      </c>
      <c r="R42" s="22">
        <f t="shared" si="6"/>
        <v>0</v>
      </c>
      <c r="S42" s="21">
        <f t="shared" si="7"/>
        <v>49.87</v>
      </c>
      <c r="T42" s="21">
        <f t="shared" si="8"/>
        <v>0</v>
      </c>
      <c r="U42" s="21">
        <f>INDEX(cenník!$C$2:$I$568,MATCH($L42,cenník!$B$2:$B$557,0),MATCH(U$2,cenník!$C$1:$I$1,0))*O42</f>
        <v>0</v>
      </c>
      <c r="AE42" s="19"/>
      <c r="AN42" s="19" t="s">
        <v>99</v>
      </c>
      <c r="AO42" s="19">
        <v>0</v>
      </c>
      <c r="AP42" s="19">
        <v>0</v>
      </c>
      <c r="AQ42" s="19">
        <v>0</v>
      </c>
      <c r="AR42" s="19">
        <v>0</v>
      </c>
      <c r="AS42" s="19">
        <v>0</v>
      </c>
      <c r="AT42" s="19">
        <v>0</v>
      </c>
      <c r="AU42" s="19">
        <v>0</v>
      </c>
      <c r="AV42" s="19">
        <v>2</v>
      </c>
      <c r="AW42" s="19">
        <v>0</v>
      </c>
      <c r="AX42" s="19">
        <v>0</v>
      </c>
      <c r="AY42" s="19">
        <v>2</v>
      </c>
      <c r="AZ42" s="19"/>
      <c r="BA42" s="19"/>
      <c r="BB42" s="17"/>
      <c r="BC42" s="19"/>
      <c r="BD42" s="19"/>
      <c r="BE42" s="19"/>
      <c r="BF42" s="19"/>
      <c r="BG42" s="19"/>
      <c r="BH42" s="19" t="s">
        <v>8</v>
      </c>
      <c r="BI42" s="19">
        <v>0</v>
      </c>
      <c r="BJ42" s="19">
        <v>0</v>
      </c>
      <c r="BK42" s="19">
        <v>0</v>
      </c>
      <c r="BL42" s="19">
        <v>0</v>
      </c>
      <c r="BM42" s="19">
        <v>2</v>
      </c>
      <c r="BN42" s="19">
        <v>0</v>
      </c>
      <c r="BO42" s="19">
        <v>0</v>
      </c>
      <c r="BP42" s="19">
        <v>0</v>
      </c>
      <c r="BQ42" s="19">
        <v>0</v>
      </c>
      <c r="BR42" s="19">
        <v>0</v>
      </c>
      <c r="BS42" s="19">
        <v>0</v>
      </c>
      <c r="BT42" s="19"/>
      <c r="BU42" s="19"/>
      <c r="BV42" s="19"/>
      <c r="BW42" s="19"/>
      <c r="BX42" s="19"/>
      <c r="BY42" s="19"/>
      <c r="BZ42" s="19"/>
      <c r="CA42" s="19"/>
      <c r="CB42" s="19"/>
      <c r="CC42" s="19"/>
      <c r="CD42" s="19"/>
      <c r="CE42" s="19"/>
      <c r="CF42" s="19"/>
      <c r="CG42" s="19"/>
      <c r="CH42" s="19"/>
      <c r="CI42" s="19"/>
      <c r="CJ42" s="19"/>
      <c r="CK42" s="19"/>
      <c r="CL42" s="19"/>
      <c r="CM42" s="19"/>
    </row>
    <row r="43" spans="1:91" x14ac:dyDescent="0.25">
      <c r="L43" s="6" t="s">
        <v>65</v>
      </c>
      <c r="M43" s="14">
        <f>INDEX(cenník!$C$2:$I$568,MATCH($L43,cenník!$B$2:$B$557,0),MATCH(M$2,cenník!$C$1:$I$1,0))</f>
        <v>897303</v>
      </c>
      <c r="N43" s="14" t="str">
        <f>INDEX(cenník!$C$2:$I$568,MATCH($L43,cenník!$B$2:$B$557,0),MATCH(N$2,cenník!$C$1:$I$1,0))</f>
        <v>ks</v>
      </c>
      <c r="O43" s="14">
        <f>SUM((IF(MOD(A24,2)=0,A24/2,IF(MOD(A24,2)=1,FLOOR(A24/2,1)+1,0))*C24),(IF(MOD(A25,2)=0,A25/2,IF(MOD(A25,2)=1,FLOOR(A25/2,1)+1,0))*C25),(IF(MOD(A26,2)=0,A26/2,IF(MOD(A26,2)=1,FLOOR(A26/2,1)+1,0))*C26),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)</f>
        <v>0</v>
      </c>
      <c r="P43" s="21">
        <f>INDEX(cenník!$C$2:$I$568,MATCH($L43,cenník!$B$2:$B$557,0),MATCH(P$2,cenník!$C$1:$I$1,0))</f>
        <v>0.83</v>
      </c>
      <c r="Q43" s="21">
        <f t="shared" si="5"/>
        <v>0</v>
      </c>
      <c r="R43" s="22">
        <f t="shared" si="6"/>
        <v>0</v>
      </c>
      <c r="S43" s="21">
        <f t="shared" si="7"/>
        <v>0.83</v>
      </c>
      <c r="T43" s="21">
        <f t="shared" si="8"/>
        <v>0</v>
      </c>
      <c r="U43" s="21">
        <f>INDEX(cenník!$C$2:$I$568,MATCH($L43,cenník!$B$2:$B$557,0),MATCH(U$2,cenník!$C$1:$I$1,0))*O43</f>
        <v>0</v>
      </c>
      <c r="AE43" s="19"/>
      <c r="AN43" s="19" t="s">
        <v>8</v>
      </c>
      <c r="AO43" s="19">
        <v>0</v>
      </c>
      <c r="AP43" s="19">
        <v>0</v>
      </c>
      <c r="AQ43" s="19">
        <v>4</v>
      </c>
      <c r="AR43" s="19">
        <v>0</v>
      </c>
      <c r="AS43" s="19">
        <v>2</v>
      </c>
      <c r="AT43" s="19">
        <v>0</v>
      </c>
      <c r="AU43" s="19">
        <v>0</v>
      </c>
      <c r="AV43" s="19">
        <v>0</v>
      </c>
      <c r="AW43" s="19">
        <v>0</v>
      </c>
      <c r="AX43" s="19">
        <v>0</v>
      </c>
      <c r="AY43" s="19">
        <v>0</v>
      </c>
      <c r="AZ43" s="19"/>
      <c r="BA43" s="19"/>
      <c r="BB43" s="17"/>
      <c r="BC43" s="19"/>
      <c r="BD43" s="19"/>
      <c r="BE43" s="19"/>
      <c r="BF43" s="19"/>
      <c r="BG43" s="19"/>
      <c r="BH43" s="19" t="s">
        <v>98</v>
      </c>
      <c r="BI43" s="19">
        <v>0</v>
      </c>
      <c r="BJ43" s="19">
        <v>0</v>
      </c>
      <c r="BK43" s="19">
        <v>0</v>
      </c>
      <c r="BL43" s="19">
        <v>0</v>
      </c>
      <c r="BM43" s="19">
        <v>0</v>
      </c>
      <c r="BN43" s="19">
        <v>0</v>
      </c>
      <c r="BO43" s="19">
        <v>0</v>
      </c>
      <c r="BP43" s="19">
        <v>0</v>
      </c>
      <c r="BQ43" s="19">
        <v>0</v>
      </c>
      <c r="BR43" s="19">
        <v>0</v>
      </c>
      <c r="BS43" s="19">
        <v>0</v>
      </c>
      <c r="BT43" s="19"/>
      <c r="BU43" s="19"/>
      <c r="BV43" s="19"/>
      <c r="BW43" s="19"/>
      <c r="BX43" s="19"/>
      <c r="BY43" s="19"/>
      <c r="BZ43" s="19"/>
      <c r="CA43" s="19"/>
      <c r="CB43" s="19"/>
      <c r="CC43" s="19"/>
      <c r="CD43" s="19"/>
      <c r="CE43" s="19"/>
      <c r="CF43" s="19"/>
      <c r="CG43" s="19"/>
      <c r="CH43" s="19"/>
      <c r="CI43" s="19"/>
      <c r="CJ43" s="19"/>
      <c r="CK43" s="19"/>
      <c r="CL43" s="19"/>
      <c r="CM43" s="19"/>
    </row>
    <row r="44" spans="1:91" x14ac:dyDescent="0.25">
      <c r="L44" s="6" t="s">
        <v>19</v>
      </c>
      <c r="M44" s="14">
        <f>INDEX(cenník!$C$2:$I$568,MATCH($L44,cenník!$B$2:$B$557,0),MATCH(M$2,cenník!$C$1:$I$1,0))</f>
        <v>6506513</v>
      </c>
      <c r="N44" s="14" t="str">
        <f>INDEX(cenník!$C$2:$I$568,MATCH($L44,cenník!$B$2:$B$557,0),MATCH(N$2,cenník!$C$1:$I$1,0))</f>
        <v>ks</v>
      </c>
      <c r="O44" s="14">
        <f>O45</f>
        <v>0</v>
      </c>
      <c r="P44" s="21">
        <f>INDEX(cenník!$C$2:$I$568,MATCH($L44,cenník!$B$2:$B$557,0),MATCH(P$2,cenník!$C$1:$I$1,0))</f>
        <v>1.46</v>
      </c>
      <c r="Q44" s="21">
        <f t="shared" si="5"/>
        <v>0</v>
      </c>
      <c r="R44" s="22">
        <f t="shared" si="6"/>
        <v>0</v>
      </c>
      <c r="S44" s="21">
        <f t="shared" si="7"/>
        <v>1.46</v>
      </c>
      <c r="T44" s="21">
        <f t="shared" si="8"/>
        <v>0</v>
      </c>
      <c r="U44" s="21">
        <f>INDEX(cenník!$C$2:$I$568,MATCH($L44,cenník!$B$2:$B$557,0),MATCH(U$2,cenník!$C$1:$I$1,0))*O44</f>
        <v>0</v>
      </c>
      <c r="AN44" s="19" t="s">
        <v>98</v>
      </c>
      <c r="AO44" s="19">
        <v>0</v>
      </c>
      <c r="AP44" s="19">
        <v>2</v>
      </c>
      <c r="AQ44" s="19">
        <v>0</v>
      </c>
      <c r="AR44" s="19">
        <v>0</v>
      </c>
      <c r="AS44" s="19">
        <v>0</v>
      </c>
      <c r="AT44" s="19">
        <v>0</v>
      </c>
      <c r="AU44" s="19">
        <v>0</v>
      </c>
      <c r="AV44" s="19">
        <v>0</v>
      </c>
      <c r="AW44" s="19">
        <v>0</v>
      </c>
      <c r="AX44" s="19">
        <v>0</v>
      </c>
      <c r="AY44" s="19">
        <v>0</v>
      </c>
      <c r="AZ44" s="19"/>
      <c r="BA44" s="19"/>
      <c r="BB44" s="17"/>
      <c r="BC44" s="19"/>
      <c r="BD44" s="19"/>
      <c r="BE44" s="19"/>
      <c r="BF44" s="19"/>
      <c r="BG44" s="19"/>
      <c r="BH44" s="19" t="s">
        <v>100</v>
      </c>
      <c r="BI44" s="19">
        <v>0</v>
      </c>
      <c r="BJ44" s="19">
        <v>2</v>
      </c>
      <c r="BK44" s="19">
        <v>0</v>
      </c>
      <c r="BL44" s="19">
        <v>0</v>
      </c>
      <c r="BM44" s="19">
        <v>0</v>
      </c>
      <c r="BN44" s="19">
        <v>0</v>
      </c>
      <c r="BO44" s="19">
        <v>0</v>
      </c>
      <c r="BP44" s="19">
        <v>0</v>
      </c>
      <c r="BQ44" s="19">
        <v>0</v>
      </c>
      <c r="BR44" s="19">
        <v>0</v>
      </c>
      <c r="BS44" s="19">
        <v>0</v>
      </c>
      <c r="BT44" s="19"/>
      <c r="BU44" s="19"/>
      <c r="BV44" s="19"/>
      <c r="BW44" s="19"/>
      <c r="BX44" s="19"/>
      <c r="BY44" s="19"/>
      <c r="BZ44" s="19"/>
      <c r="CA44" s="19"/>
      <c r="CB44" s="19"/>
      <c r="CC44" s="19"/>
      <c r="CD44" s="19"/>
      <c r="CE44" s="19"/>
      <c r="CF44" s="19"/>
      <c r="CG44" s="19"/>
      <c r="CH44" s="19"/>
      <c r="CI44" s="19"/>
      <c r="CJ44" s="19"/>
      <c r="CK44" s="19"/>
      <c r="CL44" s="19"/>
      <c r="CM44" s="19"/>
    </row>
    <row r="45" spans="1:91" x14ac:dyDescent="0.25">
      <c r="L45" s="6" t="s">
        <v>280</v>
      </c>
      <c r="M45" s="14">
        <f>INDEX(cenník!$C$2:$I$568,MATCH($L45,cenník!$B$2:$B$557,0),MATCH(M$2,cenník!$C$1:$I$1,0))</f>
        <v>892525</v>
      </c>
      <c r="N45" s="14" t="str">
        <f>INDEX(cenník!$C$2:$I$568,MATCH($L45,cenník!$B$2:$B$557,0),MATCH(N$2,cenník!$C$1:$I$1,0))</f>
        <v>ks</v>
      </c>
      <c r="O45" s="14">
        <f>SUM((A24*C24),(A25*C25),(A26*C26),(A27*C27),(A28*C28),(A29*C29),(A30*C30),(A31*C31),(A32*C32),(A33*C33),(A34*C34),(A35*C35),(A36*C36),(A37*C37),(A38*C38),(A39*C39))</f>
        <v>0</v>
      </c>
      <c r="P45" s="21">
        <f>INDEX(cenník!$C$2:$I$568,MATCH($L45,cenník!$B$2:$B$557,0),MATCH(P$2,cenník!$C$1:$I$1,0))</f>
        <v>5.43</v>
      </c>
      <c r="Q45" s="21">
        <f t="shared" si="5"/>
        <v>0</v>
      </c>
      <c r="R45" s="22">
        <f t="shared" si="6"/>
        <v>0</v>
      </c>
      <c r="S45" s="21">
        <f t="shared" si="7"/>
        <v>5.43</v>
      </c>
      <c r="T45" s="21">
        <f t="shared" si="8"/>
        <v>0</v>
      </c>
      <c r="U45" s="21">
        <f>INDEX(cenník!$C$2:$I$568,MATCH($L45,cenník!$B$2:$B$557,0),MATCH(U$2,cenník!$C$1:$I$1,0))*O45</f>
        <v>0</v>
      </c>
      <c r="AN45" s="19" t="s">
        <v>100</v>
      </c>
      <c r="AO45" s="19">
        <v>0</v>
      </c>
      <c r="AP45" s="19">
        <v>0</v>
      </c>
      <c r="AQ45" s="19">
        <v>0</v>
      </c>
      <c r="AR45" s="19">
        <v>0</v>
      </c>
      <c r="AS45" s="19">
        <v>0</v>
      </c>
      <c r="AT45" s="19">
        <v>0</v>
      </c>
      <c r="AU45" s="19">
        <v>0</v>
      </c>
      <c r="AV45" s="19">
        <v>0</v>
      </c>
      <c r="AW45" s="19">
        <v>0</v>
      </c>
      <c r="AX45" s="19">
        <v>0</v>
      </c>
      <c r="AY45" s="19">
        <v>0</v>
      </c>
      <c r="AZ45" s="19"/>
      <c r="BA45" s="19"/>
      <c r="BB45" s="17"/>
      <c r="BC45" s="19"/>
      <c r="BD45" s="19"/>
      <c r="BE45" s="19"/>
      <c r="BF45" s="19"/>
      <c r="BG45" s="19"/>
      <c r="BH45" s="19" t="s">
        <v>114</v>
      </c>
      <c r="BI45" s="19">
        <v>0</v>
      </c>
      <c r="BJ45" s="19">
        <v>0</v>
      </c>
      <c r="BK45" s="19">
        <v>0</v>
      </c>
      <c r="BL45" s="19">
        <v>0</v>
      </c>
      <c r="BM45" s="19">
        <v>0</v>
      </c>
      <c r="BN45" s="19">
        <v>0</v>
      </c>
      <c r="BO45" s="19">
        <v>0</v>
      </c>
      <c r="BP45" s="19">
        <v>0</v>
      </c>
      <c r="BQ45" s="19">
        <v>0</v>
      </c>
      <c r="BR45" s="19">
        <v>0</v>
      </c>
      <c r="BS45" s="19">
        <v>0</v>
      </c>
      <c r="BT45" s="19"/>
      <c r="BU45" s="19"/>
      <c r="BV45" s="19"/>
      <c r="BW45" s="19"/>
      <c r="BX45" s="19"/>
      <c r="BY45" s="19"/>
      <c r="BZ45" s="19"/>
      <c r="CA45" s="19"/>
      <c r="CB45" s="19"/>
      <c r="CC45" s="19"/>
      <c r="CD45" s="19"/>
      <c r="CE45" s="19"/>
      <c r="CF45" s="19"/>
      <c r="CG45" s="19"/>
      <c r="CH45" s="19"/>
      <c r="CI45" s="19"/>
      <c r="CJ45" s="19"/>
      <c r="CK45" s="19"/>
      <c r="CL45" s="19"/>
      <c r="CM45" s="19"/>
    </row>
    <row r="46" spans="1:91" x14ac:dyDescent="0.25">
      <c r="L46" s="6" t="s">
        <v>164</v>
      </c>
      <c r="M46" s="14">
        <f>INDEX(cenník!$C$2:$I$568,MATCH($L46,cenník!$B$2:$B$557,0),MATCH(M$2,cenník!$C$1:$I$1,0))</f>
        <v>890404</v>
      </c>
      <c r="N46" s="14" t="str">
        <f>INDEX(cenník!$C$2:$I$568,MATCH($L46,cenník!$B$2:$B$557,0),MATCH(N$2,cenník!$C$1:$I$1,0))</f>
        <v>ks</v>
      </c>
      <c r="O46" s="14">
        <f>SUM(C24:C39)*4</f>
        <v>0</v>
      </c>
      <c r="P46" s="21">
        <f>INDEX(cenník!$C$2:$I$568,MATCH($L46,cenník!$B$2:$B$557,0),MATCH(P$2,cenník!$C$1:$I$1,0))</f>
        <v>0.26</v>
      </c>
      <c r="Q46" s="21">
        <f t="shared" ref="Q46" si="9">O46*P46</f>
        <v>0</v>
      </c>
      <c r="R46" s="22">
        <f t="shared" si="6"/>
        <v>0</v>
      </c>
      <c r="S46" s="21">
        <f t="shared" ref="S46" si="10">P46*((100-$E$27)/100)</f>
        <v>0.26</v>
      </c>
      <c r="T46" s="21">
        <f t="shared" ref="T46" si="11">O46*S46</f>
        <v>0</v>
      </c>
      <c r="U46" s="21">
        <f>INDEX(cenník!$C$2:$I$568,MATCH($L46,cenník!$B$2:$B$557,0),MATCH(U$2,cenník!$C$1:$I$1,0))*O46</f>
        <v>0</v>
      </c>
      <c r="AN46" s="19" t="s">
        <v>114</v>
      </c>
      <c r="AO46" s="19">
        <v>0</v>
      </c>
      <c r="AP46" s="19">
        <v>0</v>
      </c>
      <c r="AQ46" s="19">
        <v>0</v>
      </c>
      <c r="AR46" s="19">
        <v>0</v>
      </c>
      <c r="AS46" s="19">
        <v>0</v>
      </c>
      <c r="AT46" s="19">
        <v>0</v>
      </c>
      <c r="AU46" s="19">
        <v>0</v>
      </c>
      <c r="AV46" s="19">
        <v>0</v>
      </c>
      <c r="AW46" s="19">
        <v>0</v>
      </c>
      <c r="AX46" s="19">
        <v>0</v>
      </c>
      <c r="AY46" s="19">
        <v>0</v>
      </c>
      <c r="AZ46" s="19"/>
      <c r="BA46" s="19"/>
      <c r="BB46" s="17"/>
      <c r="BC46" s="19"/>
      <c r="BD46" s="19"/>
      <c r="BE46" s="19"/>
      <c r="BF46" s="19"/>
      <c r="BG46" s="19"/>
      <c r="BH46" s="19" t="s">
        <v>9</v>
      </c>
      <c r="BI46" s="19">
        <v>0</v>
      </c>
      <c r="BJ46" s="19">
        <v>0</v>
      </c>
      <c r="BK46" s="19">
        <v>2</v>
      </c>
      <c r="BL46" s="19">
        <v>4</v>
      </c>
      <c r="BM46" s="19">
        <v>2</v>
      </c>
      <c r="BN46" s="19">
        <v>4</v>
      </c>
      <c r="BO46" s="19">
        <v>0</v>
      </c>
      <c r="BP46" s="19">
        <v>2</v>
      </c>
      <c r="BQ46" s="19">
        <v>8</v>
      </c>
      <c r="BR46" s="19">
        <v>0</v>
      </c>
      <c r="BS46" s="19">
        <v>8</v>
      </c>
      <c r="BT46" s="19"/>
      <c r="BU46" s="19"/>
      <c r="BV46" s="19"/>
      <c r="BW46" s="19"/>
      <c r="BX46" s="19"/>
      <c r="BY46" s="19"/>
      <c r="BZ46" s="19"/>
      <c r="CA46" s="19"/>
      <c r="CB46" s="19"/>
      <c r="CC46" s="19"/>
      <c r="CD46" s="19"/>
      <c r="CE46" s="19"/>
      <c r="CF46" s="19"/>
      <c r="CG46" s="19"/>
      <c r="CH46" s="19"/>
      <c r="CI46" s="19"/>
      <c r="CJ46" s="19"/>
      <c r="CK46" s="19"/>
      <c r="CL46" s="19"/>
      <c r="CM46" s="19"/>
    </row>
    <row r="47" spans="1:91" x14ac:dyDescent="0.25">
      <c r="T47" s="21">
        <f>SUM(T25:T46)</f>
        <v>0</v>
      </c>
      <c r="U47" s="21">
        <f>SUM(U25:U46)</f>
        <v>0</v>
      </c>
      <c r="AN47" s="19" t="s">
        <v>9</v>
      </c>
      <c r="AO47" s="19">
        <v>0</v>
      </c>
      <c r="AP47" s="19">
        <v>0</v>
      </c>
      <c r="AQ47" s="19">
        <v>0</v>
      </c>
      <c r="AR47" s="19">
        <v>0</v>
      </c>
      <c r="AS47" s="19">
        <v>0</v>
      </c>
      <c r="AT47" s="19">
        <v>4</v>
      </c>
      <c r="AU47" s="19">
        <v>0</v>
      </c>
      <c r="AV47" s="19">
        <v>0</v>
      </c>
      <c r="AW47" s="19">
        <v>4</v>
      </c>
      <c r="AX47" s="19">
        <v>0</v>
      </c>
      <c r="AY47" s="19">
        <v>0</v>
      </c>
      <c r="AZ47" s="19"/>
      <c r="BA47" s="19"/>
      <c r="BB47" s="17"/>
      <c r="BC47" s="19"/>
      <c r="BD47" s="19"/>
      <c r="BE47" s="19"/>
      <c r="BF47" s="19"/>
      <c r="BG47" s="19"/>
      <c r="BH47" s="19" t="s">
        <v>101</v>
      </c>
      <c r="BI47" s="19">
        <v>0</v>
      </c>
      <c r="BJ47" s="19">
        <v>0</v>
      </c>
      <c r="BK47" s="19">
        <v>0</v>
      </c>
      <c r="BL47" s="19">
        <v>0</v>
      </c>
      <c r="BM47" s="19">
        <v>0</v>
      </c>
      <c r="BN47" s="19">
        <v>0</v>
      </c>
      <c r="BO47" s="19">
        <v>4</v>
      </c>
      <c r="BP47" s="19">
        <v>6</v>
      </c>
      <c r="BQ47" s="19">
        <v>2</v>
      </c>
      <c r="BR47" s="19">
        <v>10</v>
      </c>
      <c r="BS47" s="19">
        <v>0</v>
      </c>
      <c r="BT47" s="19"/>
      <c r="BU47" s="19"/>
      <c r="BV47" s="19"/>
      <c r="BW47" s="19"/>
      <c r="BX47" s="19"/>
      <c r="BY47" s="19"/>
      <c r="BZ47" s="19"/>
      <c r="CA47" s="19"/>
      <c r="CB47" s="19"/>
      <c r="CC47" s="19"/>
      <c r="CD47" s="19"/>
      <c r="CE47" s="19"/>
      <c r="CF47" s="19"/>
      <c r="CG47" s="19"/>
      <c r="CH47" s="19"/>
      <c r="CI47" s="19"/>
      <c r="CJ47" s="19"/>
      <c r="CK47" s="19"/>
      <c r="CL47" s="19"/>
      <c r="CM47" s="19"/>
    </row>
    <row r="48" spans="1:91" ht="39" x14ac:dyDescent="0.25">
      <c r="A48" s="3" t="s">
        <v>549</v>
      </c>
      <c r="B48" s="6"/>
      <c r="C48" s="3" t="s">
        <v>550</v>
      </c>
      <c r="D48" s="4"/>
      <c r="E48" s="4"/>
      <c r="F48" s="4"/>
      <c r="G48" s="4"/>
      <c r="H48" s="4"/>
      <c r="I48" s="4"/>
      <c r="J48" s="4"/>
      <c r="K48" s="4"/>
      <c r="L48" s="221" t="s">
        <v>530</v>
      </c>
      <c r="M48" s="221"/>
      <c r="N48" s="221"/>
      <c r="O48" s="221"/>
      <c r="P48" s="221"/>
      <c r="Q48" s="221"/>
      <c r="R48" s="221"/>
      <c r="S48" s="221"/>
      <c r="T48" s="221"/>
      <c r="U48" s="221"/>
      <c r="AN48" s="19" t="s">
        <v>101</v>
      </c>
      <c r="AO48" s="19">
        <v>0</v>
      </c>
      <c r="AP48" s="19">
        <v>0</v>
      </c>
      <c r="AQ48" s="19">
        <v>0</v>
      </c>
      <c r="AR48" s="19">
        <v>0</v>
      </c>
      <c r="AS48" s="19">
        <v>0</v>
      </c>
      <c r="AT48" s="19">
        <v>0</v>
      </c>
      <c r="AU48" s="19">
        <v>2</v>
      </c>
      <c r="AV48" s="19">
        <v>0</v>
      </c>
      <c r="AW48" s="19">
        <v>2</v>
      </c>
      <c r="AX48" s="19">
        <v>4</v>
      </c>
      <c r="AY48" s="19">
        <v>2</v>
      </c>
      <c r="AZ48" s="19"/>
      <c r="BA48" s="19"/>
      <c r="BB48" s="17"/>
      <c r="BC48" s="19"/>
      <c r="BD48" s="19"/>
      <c r="BE48" s="19"/>
      <c r="BF48" s="19"/>
      <c r="BG48" s="19"/>
      <c r="BH48" s="19" t="s">
        <v>102</v>
      </c>
      <c r="BI48" s="19">
        <v>0</v>
      </c>
      <c r="BJ48" s="19">
        <v>0</v>
      </c>
      <c r="BK48" s="19">
        <v>0</v>
      </c>
      <c r="BL48" s="19">
        <v>0</v>
      </c>
      <c r="BM48" s="19">
        <v>2</v>
      </c>
      <c r="BN48" s="19">
        <v>2</v>
      </c>
      <c r="BO48" s="19">
        <v>2</v>
      </c>
      <c r="BP48" s="19">
        <v>0</v>
      </c>
      <c r="BQ48" s="19">
        <v>0</v>
      </c>
      <c r="BR48" s="19">
        <v>0</v>
      </c>
      <c r="BS48" s="19">
        <v>4</v>
      </c>
      <c r="BT48" s="19"/>
      <c r="BU48" s="19"/>
      <c r="BV48" s="19"/>
      <c r="BW48" s="19"/>
      <c r="BX48" s="19"/>
      <c r="BY48" s="19"/>
      <c r="BZ48" s="19"/>
      <c r="CA48" s="19"/>
      <c r="CB48" s="19"/>
      <c r="CC48" s="19"/>
      <c r="CD48" s="19"/>
      <c r="CE48" s="19"/>
      <c r="CF48" s="19"/>
      <c r="CG48" s="19"/>
      <c r="CH48" s="19"/>
      <c r="CI48" s="19"/>
      <c r="CJ48" s="19"/>
      <c r="CK48" s="19"/>
      <c r="CL48" s="19"/>
      <c r="CM48" s="19"/>
    </row>
    <row r="49" spans="1:91" x14ac:dyDescent="0.25">
      <c r="A49" s="8"/>
      <c r="B49" s="6" t="s">
        <v>61</v>
      </c>
      <c r="C49" s="8"/>
      <c r="D49" s="4"/>
      <c r="E49" s="4"/>
      <c r="F49" s="4"/>
      <c r="G49" s="4"/>
      <c r="H49" s="4"/>
      <c r="I49" s="4"/>
      <c r="J49" s="4"/>
      <c r="K49" s="4"/>
      <c r="L49" s="5" t="s">
        <v>53</v>
      </c>
      <c r="M49" s="5" t="s">
        <v>559</v>
      </c>
      <c r="N49" s="5" t="s">
        <v>436</v>
      </c>
      <c r="O49" s="5" t="s">
        <v>442</v>
      </c>
      <c r="P49" s="5" t="s">
        <v>443</v>
      </c>
      <c r="Q49" s="5" t="s">
        <v>444</v>
      </c>
      <c r="R49" s="5" t="s">
        <v>445</v>
      </c>
      <c r="S49" s="5" t="s">
        <v>446</v>
      </c>
      <c r="T49" s="5" t="s">
        <v>447</v>
      </c>
      <c r="U49" s="5" t="s">
        <v>438</v>
      </c>
      <c r="W49" s="25" t="s">
        <v>10</v>
      </c>
      <c r="X49" s="19" t="s">
        <v>99</v>
      </c>
      <c r="Y49" s="19" t="s">
        <v>8</v>
      </c>
      <c r="Z49" s="25" t="s">
        <v>98</v>
      </c>
      <c r="AA49" s="25" t="s">
        <v>100</v>
      </c>
      <c r="AB49" s="25" t="s">
        <v>114</v>
      </c>
      <c r="AC49" s="25" t="s">
        <v>9</v>
      </c>
      <c r="AD49" s="25" t="s">
        <v>101</v>
      </c>
      <c r="AE49" s="25" t="s">
        <v>102</v>
      </c>
      <c r="AN49" s="19" t="s">
        <v>102</v>
      </c>
      <c r="AO49" s="19">
        <v>0</v>
      </c>
      <c r="AP49" s="19">
        <v>0</v>
      </c>
      <c r="AQ49" s="19">
        <v>0</v>
      </c>
      <c r="AR49" s="19">
        <v>2</v>
      </c>
      <c r="AS49" s="19">
        <v>2</v>
      </c>
      <c r="AT49" s="19">
        <v>0</v>
      </c>
      <c r="AU49" s="19">
        <v>2</v>
      </c>
      <c r="AV49" s="19">
        <v>4</v>
      </c>
      <c r="AW49" s="19">
        <v>0</v>
      </c>
      <c r="AX49" s="19">
        <v>2</v>
      </c>
      <c r="AY49" s="19">
        <v>4</v>
      </c>
      <c r="AZ49" s="19"/>
      <c r="BA49" s="19"/>
      <c r="BB49" s="17"/>
      <c r="BC49" s="19"/>
      <c r="BD49" s="19"/>
      <c r="BE49" s="19"/>
      <c r="BF49" s="19"/>
      <c r="BG49" s="19"/>
      <c r="BH49" s="19" t="s">
        <v>10</v>
      </c>
      <c r="BI49" s="19">
        <v>0</v>
      </c>
      <c r="BJ49" s="19">
        <v>0</v>
      </c>
      <c r="BK49" s="19">
        <v>2</v>
      </c>
      <c r="BL49" s="19">
        <v>2</v>
      </c>
      <c r="BM49" s="19">
        <v>4</v>
      </c>
      <c r="BN49" s="19">
        <v>4</v>
      </c>
      <c r="BO49" s="19">
        <v>6</v>
      </c>
      <c r="BP49" s="19">
        <v>6</v>
      </c>
      <c r="BQ49" s="19">
        <v>8</v>
      </c>
      <c r="BR49" s="19">
        <v>8</v>
      </c>
      <c r="BS49" s="19">
        <v>10</v>
      </c>
      <c r="BT49" s="19"/>
      <c r="BU49" s="19"/>
      <c r="BV49" s="19"/>
      <c r="BW49" s="19"/>
      <c r="BX49" s="19"/>
      <c r="BY49" s="19"/>
      <c r="BZ49" s="19"/>
      <c r="CA49" s="19"/>
      <c r="CB49" s="19"/>
      <c r="CC49" s="19"/>
      <c r="CD49" s="19"/>
      <c r="CE49" s="19"/>
      <c r="CF49" s="19"/>
      <c r="CG49" s="19"/>
      <c r="CH49" s="19"/>
      <c r="CI49" s="19"/>
      <c r="CJ49" s="19"/>
      <c r="CK49" s="19"/>
      <c r="CL49" s="19"/>
      <c r="CM49" s="19"/>
    </row>
    <row r="50" spans="1:91" x14ac:dyDescent="0.25">
      <c r="A50" s="8"/>
      <c r="B50" s="6" t="s">
        <v>61</v>
      </c>
      <c r="C50" s="8"/>
      <c r="D50" s="6" t="s">
        <v>452</v>
      </c>
      <c r="E50" s="8" t="s">
        <v>56</v>
      </c>
      <c r="F50" s="5" t="s">
        <v>61</v>
      </c>
      <c r="G50" s="8" t="s">
        <v>59</v>
      </c>
      <c r="H50" s="5" t="s">
        <v>61</v>
      </c>
      <c r="I50" s="8">
        <v>35</v>
      </c>
      <c r="J50" s="5" t="s">
        <v>62</v>
      </c>
      <c r="K50" s="4"/>
      <c r="L50" s="6" t="s">
        <v>99</v>
      </c>
      <c r="M50" s="14">
        <f>INDEX(cenník!$C$2:$I$568,MATCH($L50,cenník!$B$2:$B$557,0),MATCH(M$2,cenník!$C$1:$I$1,0))</f>
        <v>856210</v>
      </c>
      <c r="N50" s="14" t="str">
        <f>INDEX(cenník!$C$2:$I$568,MATCH($L50,cenník!$B$2:$B$557,0),MATCH(N$2,cenník!$C$1:$I$1,0))</f>
        <v>ks</v>
      </c>
      <c r="O50" s="14">
        <f>SUM(X50:X65)</f>
        <v>0</v>
      </c>
      <c r="P50" s="21">
        <f>INDEX(cenník!$C$2:$I$568,MATCH($L50,cenník!$B$2:$B$557,0),MATCH(P$2,cenník!$C$1:$I$1,0))</f>
        <v>7.25</v>
      </c>
      <c r="Q50" s="21">
        <f>O50*P50</f>
        <v>0</v>
      </c>
      <c r="R50" s="22">
        <f>$E$52</f>
        <v>0</v>
      </c>
      <c r="S50" s="21">
        <f>P50*((100-$E$52)/100)</f>
        <v>7.25</v>
      </c>
      <c r="T50" s="21">
        <f>O50*S50</f>
        <v>0</v>
      </c>
      <c r="U50" s="21">
        <f>INDEX(cenník!$C$2:$I$568,MATCH($L50,cenník!$B$2:$B$557,0),MATCH(U$2,cenník!$C$1:$I$1,0))*O50</f>
        <v>0</v>
      </c>
      <c r="W50" s="19">
        <f>(INDEX(($AO$5:$AY$13,$AO$17:$AY$25,$AO$30:$AY$38,$AO$42:$AY$50,$AO$54:$AY$62,$AO$66:$AY$74,$BI$5:$BS$13,$BI$17:$BS$25,$BI$29:$BS$37,$BI$41:$BS$49,$BI$53:$BS$61,$BI$65:$BS$73,$BY$5:$CI$13,$BY$17:$CI$25),MATCH($L$58,$AN$5:$AN$13,0),MATCH(A49,$AO$4:$AY$4,0),MATCH($G$50,$AL$18:$AL$31,0)))*C49</f>
        <v>0</v>
      </c>
      <c r="X50" s="19">
        <f>(INDEX(($AO$5:$AY$13,$AO$17:$AY$25,$AO$30:$AY$38,$AO$42:$AY$50,$AO$54:$AY$62,$AO$66:$AY$74,$BI$5:$BS$13,$BI$17:$BS$25,$BI$29:$BS$37,$BI$41:$BS$49,$BI$53:$BS$61,$BI$65:$BS$73,$BY$5:$CI$13,$BY$17:$CI$25),MATCH($L$50,$AN$5:$AN$13,0),MATCH(A49,$AO$4:$AY$4,0),MATCH($G$50,$AL$18:$AL$31,0)))*C49</f>
        <v>0</v>
      </c>
      <c r="Y50" s="19">
        <f>(INDEX(($AO$5:$AY$13,$AO$17:$AY$25,$AO$30:$AY$38,$AO$42:$AY$50,$AO$54:$AY$62,$AO$66:$AY$74,$BI$5:$BS$13,$BI$17:$BS$25,$BI$29:$BS$37,$BI$41:$BS$49,$BI$53:$BS$61,$BI$65:$BS$73,$BY$5:$CI$13,$BY$17:$CI$25),MATCH($L$51,$AN$5:$AN$13,0),MATCH(A49,$AO$4:$AY$4,0),MATCH($G$50,$AL$18:$AL$31,0)))*C49</f>
        <v>0</v>
      </c>
      <c r="Z50" s="19">
        <f>(INDEX(($AO$5:$AY$13,$AO$17:$AY$25,$AO$30:$AY$38,$AO$42:$AY$50,$AO$54:$AY$62,$AO$66:$AY$74,$BI$5:$BS$13,$BI$17:$BS$25,$BI$29:$BS$37,$BI$41:$BS$49,$BI$53:$BS$61,$BI$65:$BS$73,$BY$5:$CI$13,$BY$17:$CI$25),MATCH($L$52,$AN$5:$AN$13,0),MATCH(A49,$AO$4:$AY$4,0),MATCH($G$50,$AL$18:$AL$31,0)))*C49</f>
        <v>0</v>
      </c>
      <c r="AA50" s="19">
        <f>(INDEX(($AO$5:$AY$13,$AO$17:$AY$25,$AO$30:$AY$38,$AO$42:$AY$50,$AO$54:$AY$62,$AO$66:$AY$74,$BI$5:$BS$13,$BI$17:$BS$25,$BI$29:$BS$37,$BI$41:$BS$49,$BI$53:$BS$61,$BI$65:$BS$73,$BY$5:$CI$13,$BY$17:$CI$25),MATCH($L$53,$AN$5:$AN$13,0),MATCH(A49,$AO$4:$AY$4,0),MATCH($G$50,$AL$18:$AL$31,0)))*C49</f>
        <v>0</v>
      </c>
      <c r="AB50" s="19">
        <f>(INDEX(($AO$5:$AY$13,$AO$17:$AY$25,$AO$30:$AY$38,$AO$42:$AY$50,$AO$54:$AY$62,$AO$66:$AY$74,$BI$5:$BS$13,$BI$17:$BS$25,$BI$29:$BS$37,$BI$41:$BS$49,$BI$53:$BS$61,$BI$65:$BS$73,$BY$5:$CI$13,$BY$17:$CI$25),MATCH($L$54,$AN$5:$AN$13,0),MATCH(A49,$AO$4:$AY$4,0),MATCH($G$50,$AL$18:$AL$31,0)))*C49</f>
        <v>0</v>
      </c>
      <c r="AC50" s="19">
        <f>(INDEX(($AO$5:$AY$13,$AO$17:$AY$25,$AO$30:$AY$38,$AO$42:$AY$50,$AO$54:$AY$62,$AO$66:$AY$74,$BI$5:$BS$13,$BI$17:$BS$25,$BI$29:$BS$37,$BI$41:$BS$49,$BI$53:$BS$61,$BI$65:$BS$73,$BY$5:$CI$13,$BY$17:$CI$25),MATCH($L$55,$AN$5:$AN$13,0),MATCH(A49,$AO$4:$AY$4,0),MATCH($G$50,$AL$18:$AL$31,0)))*C49</f>
        <v>0</v>
      </c>
      <c r="AD50" s="19">
        <f>(INDEX(($AO$5:$AY$13,$AO$17:$AY$25,$AO$30:$AY$38,$AO$42:$AY$50,$AO$54:$AY$62,$AO$66:$AY$74,$BI$5:$BS$13,$BI$17:$BS$25,$BI$29:$BS$37,$BI$41:$BS$49,$BI$53:$BS$61,$BI$65:$BS$73,$BY$5:$CI$13,$BY$17:$CI$25),MATCH($L$56,$AN$5:$AN$13,0),MATCH(A49,$AO$4:$AY$4,0),MATCH($G$50,$AL$18:$AL$31,0)))*C49</f>
        <v>0</v>
      </c>
      <c r="AE50" s="19">
        <f>(INDEX(($AO$5:$AY$13,$AO$17:$AY$25,$AO$30:$AY$38,$AO$42:$AY$50,$AO$54:$AY$62,$AO$66:$AY$74,$BI$5:$BS$13,$BI$17:$BS$25,$BI$29:$BS$37,$BI$41:$BS$49,$BI$53:$BS$61,$BI$65:$BS$73,$BY$5:$CI$13,$BY$17:$CI$25),MATCH($L$57,$AN$5:$AN$13,0),MATCH(A49,$AO$4:$AY$4,0),MATCH($G$50,$AL$18:$AL$31,0)))*C49</f>
        <v>0</v>
      </c>
      <c r="AN50" s="19" t="s">
        <v>10</v>
      </c>
      <c r="AO50" s="19">
        <v>0</v>
      </c>
      <c r="AP50" s="19">
        <v>0</v>
      </c>
      <c r="AQ50" s="19">
        <v>2</v>
      </c>
      <c r="AR50" s="19">
        <v>0</v>
      </c>
      <c r="AS50" s="19">
        <v>2</v>
      </c>
      <c r="AT50" s="19">
        <v>2</v>
      </c>
      <c r="AU50" s="19">
        <v>2</v>
      </c>
      <c r="AV50" s="19">
        <v>4</v>
      </c>
      <c r="AW50" s="19">
        <v>4</v>
      </c>
      <c r="AX50" s="19">
        <v>4</v>
      </c>
      <c r="AY50" s="19">
        <v>6</v>
      </c>
      <c r="AZ50" s="19"/>
      <c r="BA50" s="19"/>
      <c r="BB50" s="17"/>
      <c r="BC50" s="19"/>
      <c r="BD50" s="19"/>
      <c r="BE50" s="19"/>
      <c r="BF50" s="19"/>
      <c r="BG50" s="19"/>
      <c r="BT50" s="19"/>
      <c r="BU50" s="19"/>
      <c r="BV50" s="19"/>
      <c r="BW50" s="19"/>
      <c r="BX50" s="19"/>
      <c r="BY50" s="19"/>
      <c r="BZ50" s="19"/>
      <c r="CA50" s="19"/>
      <c r="CB50" s="19"/>
      <c r="CC50" s="19"/>
      <c r="CD50" s="19"/>
      <c r="CE50" s="19"/>
      <c r="CF50" s="19"/>
      <c r="CG50" s="19"/>
      <c r="CH50" s="19"/>
      <c r="CI50" s="19"/>
      <c r="CJ50" s="19"/>
      <c r="CK50" s="19"/>
      <c r="CL50" s="19"/>
      <c r="CM50" s="19"/>
    </row>
    <row r="51" spans="1:91" x14ac:dyDescent="0.25">
      <c r="A51" s="8"/>
      <c r="B51" s="6" t="s">
        <v>61</v>
      </c>
      <c r="C51" s="8"/>
      <c r="D51" s="6" t="s">
        <v>525</v>
      </c>
      <c r="E51" s="8" t="s">
        <v>466</v>
      </c>
      <c r="F51" s="5"/>
      <c r="G51" s="5"/>
      <c r="H51" s="5"/>
      <c r="I51" s="5"/>
      <c r="J51" s="5"/>
      <c r="K51" s="4"/>
      <c r="L51" s="6" t="s">
        <v>8</v>
      </c>
      <c r="M51" s="14">
        <f>INDEX(cenník!$C$2:$I$568,MATCH($L51,cenník!$B$2:$B$557,0),MATCH(M$2,cenník!$C$1:$I$1,0))</f>
        <v>856211</v>
      </c>
      <c r="N51" s="14" t="str">
        <f>INDEX(cenník!$C$2:$I$568,MATCH($L51,cenník!$B$2:$B$557,0),MATCH(N$2,cenník!$C$1:$I$1,0))</f>
        <v>ks</v>
      </c>
      <c r="O51" s="14">
        <f>SUM(Y50:Y65)</f>
        <v>0</v>
      </c>
      <c r="P51" s="21">
        <f>INDEX(cenník!$C$2:$I$568,MATCH($L51,cenník!$B$2:$B$557,0),MATCH(P$2,cenník!$C$1:$I$1,0))</f>
        <v>8.7100000000000009</v>
      </c>
      <c r="Q51" s="21">
        <f t="shared" ref="Q51:Q68" si="12">O51*P51</f>
        <v>0</v>
      </c>
      <c r="R51" s="22">
        <f t="shared" ref="R51:R69" si="13">$E$52</f>
        <v>0</v>
      </c>
      <c r="S51" s="21">
        <f t="shared" ref="S51:S68" si="14">P51*((100-$E$52)/100)</f>
        <v>8.7100000000000009</v>
      </c>
      <c r="T51" s="21">
        <f t="shared" ref="T51:T68" si="15">O51*S51</f>
        <v>0</v>
      </c>
      <c r="U51" s="21">
        <f>INDEX(cenník!$C$2:$I$568,MATCH($L51,cenník!$B$2:$B$557,0),MATCH(U$2,cenník!$C$1:$I$1,0))*O51</f>
        <v>0</v>
      </c>
      <c r="W51" s="19">
        <f>(INDEX(($AO$5:$AY$13,$AO$17:$AY$25,$AO$30:$AY$38,$AO$42:$AY$50,$AO$54:$AY$62,$AO$66:$AY$74,$BI$5:$BS$13,$BI$17:$BS$25,$BI$29:$BS$37,$BI$41:$BS$49,$BI$53:$BS$61,$BI$65:$BS$73,$BY$5:$CI$13,$BY$17:$CI$25),MATCH($L$58,$AN$5:$AN$13,0),MATCH(A50,$AO$4:$AY$4,0),MATCH($G$50,$AL$18:$AL$31,0)))*C50</f>
        <v>0</v>
      </c>
      <c r="X51" s="19">
        <f>(INDEX(($AO$5:$AY$13,$AO$17:$AY$25,$AO$30:$AY$38,$AO$42:$AY$50,$AO$54:$AY$62,$AO$66:$AY$74,$BI$5:$BS$13,$BI$17:$BS$25,$BI$29:$BS$37,$BI$41:$BS$49,$BI$53:$BS$61,$BI$65:$BS$73,$BY$5:$CI$13,$BY$17:$CI$25),MATCH($L$50,$AN$5:$AN$13,0),MATCH(A50,$AO$4:$AY$4,0),MATCH($G$50,$AL$18:$AL$31,0)))*C50</f>
        <v>0</v>
      </c>
      <c r="Y51" s="19">
        <f>(INDEX(($AO$5:$AY$13,$AO$17:$AY$25,$AO$30:$AY$38,$AO$42:$AY$50,$AO$54:$AY$62,$AO$66:$AY$74,$BI$5:$BS$13,$BI$17:$BS$25,$BI$29:$BS$37,$BI$41:$BS$49,$BI$53:$BS$61,$BI$65:$BS$73,$BY$5:$CI$13,$BY$17:$CI$25),MATCH($L$51,$AN$5:$AN$13,0),MATCH(A50,$AO$4:$AY$4,0),MATCH($G$50,$AL$18:$AL$31,0)))*C50</f>
        <v>0</v>
      </c>
      <c r="Z51" s="19">
        <f>(INDEX(($AO$5:$AY$13,$AO$17:$AY$25,$AO$30:$AY$38,$AO$42:$AY$50,$AO$54:$AY$62,$AO$66:$AY$74,$BI$5:$BS$13,$BI$17:$BS$25,$BI$29:$BS$37,$BI$41:$BS$49,$BI$53:$BS$61,$BI$65:$BS$73,$BY$5:$CI$13,$BY$17:$CI$25),MATCH($L$52,$AN$5:$AN$13,0),MATCH(A50,$AO$4:$AY$4,0),MATCH($G$50,$AL$18:$AL$31,0)))*C50</f>
        <v>0</v>
      </c>
      <c r="AA51" s="19">
        <f>(INDEX(($AO$5:$AY$13,$AO$17:$AY$25,$AO$30:$AY$38,$AO$42:$AY$50,$AO$54:$AY$62,$AO$66:$AY$74,$BI$5:$BS$13,$BI$17:$BS$25,$BI$29:$BS$37,$BI$41:$BS$49,$BI$53:$BS$61,$BI$65:$BS$73,$BY$5:$CI$13,$BY$17:$CI$25),MATCH($L$53,$AN$5:$AN$13,0),MATCH(A50,$AO$4:$AY$4,0),MATCH($G$50,$AL$18:$AL$31,0)))*C50</f>
        <v>0</v>
      </c>
      <c r="AB51" s="19">
        <f>(INDEX(($AO$5:$AY$13,$AO$17:$AY$25,$AO$30:$AY$38,$AO$42:$AY$50,$AO$54:$AY$62,$AO$66:$AY$74,$BI$5:$BS$13,$BI$17:$BS$25,$BI$29:$BS$37,$BI$41:$BS$49,$BI$53:$BS$61,$BI$65:$BS$73,$BY$5:$CI$13,$BY$17:$CI$25),MATCH($L$54,$AN$5:$AN$13,0),MATCH(A50,$AO$4:$AY$4,0),MATCH($G$50,$AL$18:$AL$31,0)))*C50</f>
        <v>0</v>
      </c>
      <c r="AC51" s="19">
        <f>(INDEX(($AO$5:$AY$13,$AO$17:$AY$25,$AO$30:$AY$38,$AO$42:$AY$50,$AO$54:$AY$62,$AO$66:$AY$74,$BI$5:$BS$13,$BI$17:$BS$25,$BI$29:$BS$37,$BI$41:$BS$49,$BI$53:$BS$61,$BI$65:$BS$73,$BY$5:$CI$13,$BY$17:$CI$25),MATCH($L$55,$AN$5:$AN$13,0),MATCH(A50,$AO$4:$AY$4,0),MATCH($G$50,$AL$18:$AL$31,0)))*C50</f>
        <v>0</v>
      </c>
      <c r="AD51" s="19">
        <f>(INDEX(($AO$5:$AY$13,$AO$17:$AY$25,$AO$30:$AY$38,$AO$42:$AY$50,$AO$54:$AY$62,$AO$66:$AY$74,$BI$5:$BS$13,$BI$17:$BS$25,$BI$29:$BS$37,$BI$41:$BS$49,$BI$53:$BS$61,$BI$65:$BS$73,$BY$5:$CI$13,$BY$17:$CI$25),MATCH($L$56,$AN$5:$AN$13,0),MATCH(A50,$AO$4:$AY$4,0),MATCH($G$50,$AL$18:$AL$31,0)))*C50</f>
        <v>0</v>
      </c>
      <c r="AE51" s="19">
        <f>(INDEX(($AO$5:$AY$13,$AO$17:$AY$25,$AO$30:$AY$38,$AO$42:$AY$50,$AO$54:$AY$62,$AO$66:$AY$74,$BI$5:$BS$13,$BI$17:$BS$25,$BI$29:$BS$37,$BI$41:$BS$49,$BI$53:$BS$61,$BI$65:$BS$73,$BY$5:$CI$13,$BY$17:$CI$25),MATCH($L$57,$AN$5:$AN$13,0),MATCH(A50,$AO$4:$AY$4,0),MATCH($G$50,$AL$18:$AL$31,0)))*C50</f>
        <v>0</v>
      </c>
      <c r="BH51" s="19" t="s">
        <v>198</v>
      </c>
      <c r="BI51" s="19"/>
      <c r="BJ51" s="19"/>
      <c r="BK51" s="19"/>
      <c r="BL51" s="19"/>
      <c r="BM51" s="19"/>
      <c r="BN51" s="19"/>
      <c r="BO51" s="19"/>
      <c r="BP51" s="19"/>
      <c r="BQ51" s="19"/>
      <c r="BR51" s="19"/>
      <c r="BS51" s="19"/>
    </row>
    <row r="52" spans="1:91" x14ac:dyDescent="0.25">
      <c r="A52" s="8"/>
      <c r="B52" s="6" t="s">
        <v>61</v>
      </c>
      <c r="C52" s="8"/>
      <c r="D52" s="6" t="s">
        <v>458</v>
      </c>
      <c r="E52" s="8">
        <v>0</v>
      </c>
      <c r="F52" s="5"/>
      <c r="G52" s="5"/>
      <c r="H52" s="5"/>
      <c r="I52" s="5"/>
      <c r="J52" s="5" t="s">
        <v>95</v>
      </c>
      <c r="K52" s="4"/>
      <c r="L52" s="6" t="s">
        <v>98</v>
      </c>
      <c r="M52" s="14">
        <f>INDEX(cenník!$C$2:$I$568,MATCH($L52,cenník!$B$2:$B$557,0),MATCH(M$2,cenník!$C$1:$I$1,0))</f>
        <v>851117</v>
      </c>
      <c r="N52" s="14" t="str">
        <f>INDEX(cenník!$C$2:$I$568,MATCH($L52,cenník!$B$2:$B$557,0),MATCH(N$2,cenník!$C$1:$I$1,0))</f>
        <v>ks</v>
      </c>
      <c r="O52" s="14">
        <f>SUM(Z50:Z65)</f>
        <v>0</v>
      </c>
      <c r="P52" s="21">
        <f>INDEX(cenník!$C$2:$I$568,MATCH($L52,cenník!$B$2:$B$557,0),MATCH(P$2,cenník!$C$1:$I$1,0))</f>
        <v>12.35</v>
      </c>
      <c r="Q52" s="21">
        <f t="shared" si="12"/>
        <v>0</v>
      </c>
      <c r="R52" s="22">
        <f t="shared" si="13"/>
        <v>0</v>
      </c>
      <c r="S52" s="21">
        <f t="shared" si="14"/>
        <v>12.35</v>
      </c>
      <c r="T52" s="21">
        <f t="shared" si="15"/>
        <v>0</v>
      </c>
      <c r="U52" s="21">
        <f>INDEX(cenník!$C$2:$I$568,MATCH($L52,cenník!$B$2:$B$557,0),MATCH(U$2,cenník!$C$1:$I$1,0))*O52</f>
        <v>0</v>
      </c>
      <c r="W52" s="19">
        <f>(INDEX(($AO$5:$AY$13,$AO$17:$AY$25,$AO$30:$AY$38,$AO$42:$AY$50,$AO$54:$AY$62,$AO$66:$AY$74,$BI$5:$BS$13,$BI$17:$BS$25,$BI$29:$BS$37,$BI$41:$BS$49,$BI$53:$BS$61,$BI$65:$BS$73,$BY$5:$CI$13,$BY$17:$CI$25),MATCH($L$58,$AN$5:$AN$13,0),MATCH(A51,$AO$4:$AY$4,0),MATCH($G$50,$AL$18:$AL$31,0)))*C51</f>
        <v>0</v>
      </c>
      <c r="X52" s="19">
        <f>(INDEX(($AO$5:$AY$13,$AO$17:$AY$25,$AO$30:$AY$38,$AO$42:$AY$50,$AO$54:$AY$62,$AO$66:$AY$74,$BI$5:$BS$13,$BI$17:$BS$25,$BI$29:$BS$37,$BI$41:$BS$49,$BI$53:$BS$61,$BI$65:$BS$73,$BY$5:$CI$13,$BY$17:$CI$25),MATCH($L$50,$AN$5:$AN$13,0),MATCH(A51,$AO$4:$AY$4,0),MATCH($G$50,$AL$18:$AL$31,0)))*C51</f>
        <v>0</v>
      </c>
      <c r="Y52" s="19">
        <f>(INDEX(($AO$5:$AY$13,$AO$17:$AY$25,$AO$30:$AY$38,$AO$42:$AY$50,$AO$54:$AY$62,$AO$66:$AY$74,$BI$5:$BS$13,$BI$17:$BS$25,$BI$29:$BS$37,$BI$41:$BS$49,$BI$53:$BS$61,$BI$65:$BS$73,$BY$5:$CI$13,$BY$17:$CI$25),MATCH($L$51,$AN$5:$AN$13,0),MATCH(A51,$AO$4:$AY$4,0),MATCH($G$50,$AL$18:$AL$31,0)))*C51</f>
        <v>0</v>
      </c>
      <c r="Z52" s="19">
        <f>(INDEX(($AO$5:$AY$13,$AO$17:$AY$25,$AO$30:$AY$38,$AO$42:$AY$50,$AO$54:$AY$62,$AO$66:$AY$74,$BI$5:$BS$13,$BI$17:$BS$25,$BI$29:$BS$37,$BI$41:$BS$49,$BI$53:$BS$61,$BI$65:$BS$73,$BY$5:$CI$13,$BY$17:$CI$25),MATCH($L$52,$AN$5:$AN$13,0),MATCH(A51,$AO$4:$AY$4,0),MATCH($G$50,$AL$18:$AL$31,0)))*C51</f>
        <v>0</v>
      </c>
      <c r="AA52" s="19">
        <f>(INDEX(($AO$5:$AY$13,$AO$17:$AY$25,$AO$30:$AY$38,$AO$42:$AY$50,$AO$54:$AY$62,$AO$66:$AY$74,$BI$5:$BS$13,$BI$17:$BS$25,$BI$29:$BS$37,$BI$41:$BS$49,$BI$53:$BS$61,$BI$65:$BS$73,$BY$5:$CI$13,$BY$17:$CI$25),MATCH($L$53,$AN$5:$AN$13,0),MATCH(A51,$AO$4:$AY$4,0),MATCH($G$50,$AL$18:$AL$31,0)))*C51</f>
        <v>0</v>
      </c>
      <c r="AB52" s="19">
        <f>(INDEX(($AO$5:$AY$13,$AO$17:$AY$25,$AO$30:$AY$38,$AO$42:$AY$50,$AO$54:$AY$62,$AO$66:$AY$74,$BI$5:$BS$13,$BI$17:$BS$25,$BI$29:$BS$37,$BI$41:$BS$49,$BI$53:$BS$61,$BI$65:$BS$73,$BY$5:$CI$13,$BY$17:$CI$25),MATCH($L$54,$AN$5:$AN$13,0),MATCH(A51,$AO$4:$AY$4,0),MATCH($G$50,$AL$18:$AL$31,0)))*C51</f>
        <v>0</v>
      </c>
      <c r="AC52" s="19">
        <f>(INDEX(($AO$5:$AY$13,$AO$17:$AY$25,$AO$30:$AY$38,$AO$42:$AY$50,$AO$54:$AY$62,$AO$66:$AY$74,$BI$5:$BS$13,$BI$17:$BS$25,$BI$29:$BS$37,$BI$41:$BS$49,$BI$53:$BS$61,$BI$65:$BS$73,$BY$5:$CI$13,$BY$17:$CI$25),MATCH($L$55,$AN$5:$AN$13,0),MATCH(A51,$AO$4:$AY$4,0),MATCH($G$50,$AL$18:$AL$31,0)))*C51</f>
        <v>0</v>
      </c>
      <c r="AD52" s="19">
        <f>(INDEX(($AO$5:$AY$13,$AO$17:$AY$25,$AO$30:$AY$38,$AO$42:$AY$50,$AO$54:$AY$62,$AO$66:$AY$74,$BI$5:$BS$13,$BI$17:$BS$25,$BI$29:$BS$37,$BI$41:$BS$49,$BI$53:$BS$61,$BI$65:$BS$73,$BY$5:$CI$13,$BY$17:$CI$25),MATCH($L$56,$AN$5:$AN$13,0),MATCH(A51,$AO$4:$AY$4,0),MATCH($G$50,$AL$18:$AL$31,0)))*C51</f>
        <v>0</v>
      </c>
      <c r="AE52" s="19">
        <f>(INDEX(($AO$5:$AY$13,$AO$17:$AY$25,$AO$30:$AY$38,$AO$42:$AY$50,$AO$54:$AY$62,$AO$66:$AY$74,$BI$5:$BS$13,$BI$17:$BS$25,$BI$29:$BS$37,$BI$41:$BS$49,$BI$53:$BS$61,$BI$65:$BS$73,$BY$5:$CI$13,$BY$17:$CI$25),MATCH($L$57,$AN$5:$AN$13,0),MATCH(A51,$AO$4:$AY$4,0),MATCH($G$50,$AL$18:$AL$31,0)))*C51</f>
        <v>0</v>
      </c>
      <c r="AN52" s="19" t="s">
        <v>56</v>
      </c>
      <c r="AO52" s="19"/>
      <c r="AP52" s="19"/>
      <c r="AQ52" s="19"/>
      <c r="AR52" s="19"/>
      <c r="AS52" s="19"/>
      <c r="AT52" s="19"/>
      <c r="AU52" s="19"/>
      <c r="AV52" s="19"/>
      <c r="AW52" s="19"/>
      <c r="AX52" s="19"/>
      <c r="AY52" s="19"/>
      <c r="BH52" s="19"/>
      <c r="BI52" s="19">
        <v>0</v>
      </c>
      <c r="BJ52" s="19">
        <v>1</v>
      </c>
      <c r="BK52" s="19">
        <v>2</v>
      </c>
      <c r="BL52" s="19">
        <v>3</v>
      </c>
      <c r="BM52" s="19">
        <v>4</v>
      </c>
      <c r="BN52" s="19">
        <v>5</v>
      </c>
      <c r="BO52" s="19">
        <v>6</v>
      </c>
      <c r="BP52" s="19">
        <v>7</v>
      </c>
      <c r="BQ52" s="19">
        <v>8</v>
      </c>
      <c r="BR52" s="19">
        <v>9</v>
      </c>
      <c r="BS52" s="19">
        <v>10</v>
      </c>
    </row>
    <row r="53" spans="1:91" x14ac:dyDescent="0.25">
      <c r="A53" s="8"/>
      <c r="B53" s="6" t="s">
        <v>61</v>
      </c>
      <c r="C53" s="8"/>
      <c r="D53" s="6" t="s">
        <v>526</v>
      </c>
      <c r="E53" s="8" t="s">
        <v>158</v>
      </c>
      <c r="F53" s="5"/>
      <c r="G53" s="5"/>
      <c r="H53" s="5"/>
      <c r="I53" s="5"/>
      <c r="J53" s="5"/>
      <c r="K53" s="4"/>
      <c r="L53" s="6" t="s">
        <v>100</v>
      </c>
      <c r="M53" s="14">
        <f>INDEX(cenník!$C$2:$I$568,MATCH($L53,cenník!$B$2:$B$557,0),MATCH(M$2,cenník!$C$1:$I$1,0))</f>
        <v>851120</v>
      </c>
      <c r="N53" s="14" t="str">
        <f>INDEX(cenník!$C$2:$I$568,MATCH($L53,cenník!$B$2:$B$557,0),MATCH(N$2,cenník!$C$1:$I$1,0))</f>
        <v>ks</v>
      </c>
      <c r="O53" s="14">
        <f>SUM(AA50:AA65)</f>
        <v>0</v>
      </c>
      <c r="P53" s="21">
        <f>INDEX(cenník!$C$2:$I$568,MATCH($L53,cenník!$B$2:$B$557,0),MATCH(P$2,cenník!$C$1:$I$1,0))</f>
        <v>14.51</v>
      </c>
      <c r="Q53" s="21">
        <f t="shared" si="12"/>
        <v>0</v>
      </c>
      <c r="R53" s="22">
        <f t="shared" si="13"/>
        <v>0</v>
      </c>
      <c r="S53" s="21">
        <f t="shared" si="14"/>
        <v>14.51</v>
      </c>
      <c r="T53" s="21">
        <f t="shared" si="15"/>
        <v>0</v>
      </c>
      <c r="U53" s="21">
        <f>INDEX(cenník!$C$2:$I$568,MATCH($L53,cenník!$B$2:$B$557,0),MATCH(U$2,cenník!$C$1:$I$1,0))*O53</f>
        <v>0</v>
      </c>
      <c r="W53" s="19">
        <f>(INDEX(($AO$5:$AY$13,$AO$17:$AY$25,$AO$30:$AY$38,$AO$42:$AY$50,$AO$54:$AY$62,$AO$66:$AY$74,$BI$5:$BS$13,$BI$17:$BS$25,$BI$29:$BS$37,$BI$41:$BS$49,$BI$53:$BS$61,$BI$65:$BS$73,$BY$5:$CI$13,$BY$17:$CI$25),MATCH($L$58,$AN$5:$AN$13,0),MATCH(A52,$AO$4:$AY$4,0),MATCH($G$50,$AL$18:$AL$31,0)))*C52</f>
        <v>0</v>
      </c>
      <c r="X53" s="19">
        <f>(INDEX(($AO$5:$AY$13,$AO$17:$AY$25,$AO$30:$AY$38,$AO$42:$AY$50,$AO$54:$AY$62,$AO$66:$AY$74,$BI$5:$BS$13,$BI$17:$BS$25,$BI$29:$BS$37,$BI$41:$BS$49,$BI$53:$BS$61,$BI$65:$BS$73,$BY$5:$CI$13,$BY$17:$CI$25),MATCH($L$50,$AN$5:$AN$13,0),MATCH(A52,$AO$4:$AY$4,0),MATCH($G$50,$AL$18:$AL$31,0)))*C52</f>
        <v>0</v>
      </c>
      <c r="Y53" s="19">
        <f>(INDEX(($AO$5:$AY$13,$AO$17:$AY$25,$AO$30:$AY$38,$AO$42:$AY$50,$AO$54:$AY$62,$AO$66:$AY$74,$BI$5:$BS$13,$BI$17:$BS$25,$BI$29:$BS$37,$BI$41:$BS$49,$BI$53:$BS$61,$BI$65:$BS$73,$BY$5:$CI$13,$BY$17:$CI$25),MATCH($L$51,$AN$5:$AN$13,0),MATCH(A52,$AO$4:$AY$4,0),MATCH($G$50,$AL$18:$AL$31,0)))*C52</f>
        <v>0</v>
      </c>
      <c r="Z53" s="19">
        <f>(INDEX(($AO$5:$AY$13,$AO$17:$AY$25,$AO$30:$AY$38,$AO$42:$AY$50,$AO$54:$AY$62,$AO$66:$AY$74,$BI$5:$BS$13,$BI$17:$BS$25,$BI$29:$BS$37,$BI$41:$BS$49,$BI$53:$BS$61,$BI$65:$BS$73,$BY$5:$CI$13,$BY$17:$CI$25),MATCH($L$52,$AN$5:$AN$13,0),MATCH(A52,$AO$4:$AY$4,0),MATCH($G$50,$AL$18:$AL$31,0)))*C52</f>
        <v>0</v>
      </c>
      <c r="AA53" s="19">
        <f>(INDEX(($AO$5:$AY$13,$AO$17:$AY$25,$AO$30:$AY$38,$AO$42:$AY$50,$AO$54:$AY$62,$AO$66:$AY$74,$BI$5:$BS$13,$BI$17:$BS$25,$BI$29:$BS$37,$BI$41:$BS$49,$BI$53:$BS$61,$BI$65:$BS$73,$BY$5:$CI$13,$BY$17:$CI$25),MATCH($L$53,$AN$5:$AN$13,0),MATCH(A52,$AO$4:$AY$4,0),MATCH($G$50,$AL$18:$AL$31,0)))*C52</f>
        <v>0</v>
      </c>
      <c r="AB53" s="19">
        <f>(INDEX(($AO$5:$AY$13,$AO$17:$AY$25,$AO$30:$AY$38,$AO$42:$AY$50,$AO$54:$AY$62,$AO$66:$AY$74,$BI$5:$BS$13,$BI$17:$BS$25,$BI$29:$BS$37,$BI$41:$BS$49,$BI$53:$BS$61,$BI$65:$BS$73,$BY$5:$CI$13,$BY$17:$CI$25),MATCH($L$54,$AN$5:$AN$13,0),MATCH(A52,$AO$4:$AY$4,0),MATCH($G$50,$AL$18:$AL$31,0)))*C52</f>
        <v>0</v>
      </c>
      <c r="AC53" s="19">
        <f>(INDEX(($AO$5:$AY$13,$AO$17:$AY$25,$AO$30:$AY$38,$AO$42:$AY$50,$AO$54:$AY$62,$AO$66:$AY$74,$BI$5:$BS$13,$BI$17:$BS$25,$BI$29:$BS$37,$BI$41:$BS$49,$BI$53:$BS$61,$BI$65:$BS$73,$BY$5:$CI$13,$BY$17:$CI$25),MATCH($L$55,$AN$5:$AN$13,0),MATCH(A52,$AO$4:$AY$4,0),MATCH($G$50,$AL$18:$AL$31,0)))*C52</f>
        <v>0</v>
      </c>
      <c r="AD53" s="19">
        <f>(INDEX(($AO$5:$AY$13,$AO$17:$AY$25,$AO$30:$AY$38,$AO$42:$AY$50,$AO$54:$AY$62,$AO$66:$AY$74,$BI$5:$BS$13,$BI$17:$BS$25,$BI$29:$BS$37,$BI$41:$BS$49,$BI$53:$BS$61,$BI$65:$BS$73,$BY$5:$CI$13,$BY$17:$CI$25),MATCH($L$56,$AN$5:$AN$13,0),MATCH(A52,$AO$4:$AY$4,0),MATCH($G$50,$AL$18:$AL$31,0)))*C52</f>
        <v>0</v>
      </c>
      <c r="AE53" s="19">
        <f>(INDEX(($AO$5:$AY$13,$AO$17:$AY$25,$AO$30:$AY$38,$AO$42:$AY$50,$AO$54:$AY$62,$AO$66:$AY$74,$BI$5:$BS$13,$BI$17:$BS$25,$BI$29:$BS$37,$BI$41:$BS$49,$BI$53:$BS$61,$BI$65:$BS$73,$BY$5:$CI$13,$BY$17:$CI$25),MATCH($L$57,$AN$5:$AN$13,0),MATCH(A52,$AO$4:$AY$4,0),MATCH($G$50,$AL$18:$AL$31,0)))*C52</f>
        <v>0</v>
      </c>
      <c r="AH53" s="20" t="s">
        <v>157</v>
      </c>
      <c r="AN53" s="19"/>
      <c r="AO53" s="19">
        <v>0</v>
      </c>
      <c r="AP53" s="19">
        <v>1</v>
      </c>
      <c r="AQ53" s="19">
        <v>2</v>
      </c>
      <c r="AR53" s="19">
        <v>3</v>
      </c>
      <c r="AS53" s="19">
        <v>4</v>
      </c>
      <c r="AT53" s="19">
        <v>5</v>
      </c>
      <c r="AU53" s="19">
        <v>6</v>
      </c>
      <c r="AV53" s="19">
        <v>7</v>
      </c>
      <c r="AW53" s="19">
        <v>8</v>
      </c>
      <c r="AX53" s="19">
        <v>9</v>
      </c>
      <c r="AY53" s="19">
        <v>10</v>
      </c>
      <c r="BH53" s="19" t="s">
        <v>99</v>
      </c>
      <c r="BI53" s="19">
        <v>0</v>
      </c>
      <c r="BJ53" s="19">
        <v>0</v>
      </c>
      <c r="BK53" s="19">
        <v>2</v>
      </c>
      <c r="BL53" s="19">
        <v>0</v>
      </c>
      <c r="BM53" s="19">
        <v>2</v>
      </c>
      <c r="BN53" s="19">
        <v>0</v>
      </c>
      <c r="BO53" s="19">
        <v>0</v>
      </c>
      <c r="BP53" s="19">
        <v>0</v>
      </c>
      <c r="BQ53" s="19">
        <v>0</v>
      </c>
      <c r="BR53" s="19">
        <v>0</v>
      </c>
      <c r="BS53" s="19">
        <v>0</v>
      </c>
    </row>
    <row r="54" spans="1:91" x14ac:dyDescent="0.25">
      <c r="A54" s="8"/>
      <c r="B54" s="6" t="s">
        <v>61</v>
      </c>
      <c r="C54" s="8"/>
      <c r="D54" s="6" t="s">
        <v>527</v>
      </c>
      <c r="E54" s="8">
        <v>0</v>
      </c>
      <c r="F54" s="5"/>
      <c r="G54" s="5"/>
      <c r="H54" s="5"/>
      <c r="I54" s="5"/>
      <c r="J54" s="5" t="s">
        <v>461</v>
      </c>
      <c r="K54" s="4"/>
      <c r="L54" s="6" t="s">
        <v>114</v>
      </c>
      <c r="M54" s="14">
        <f>INDEX(cenník!$C$2:$I$568,MATCH($L54,cenník!$B$2:$B$557,0),MATCH(M$2,cenník!$C$1:$I$1,0))</f>
        <v>851122</v>
      </c>
      <c r="N54" s="14" t="str">
        <f>INDEX(cenník!$C$2:$I$568,MATCH($L54,cenník!$B$2:$B$557,0),MATCH(N$2,cenník!$C$1:$I$1,0))</f>
        <v>ks</v>
      </c>
      <c r="O54" s="14">
        <f>SUM(AB50:AB65)</f>
        <v>0</v>
      </c>
      <c r="P54" s="21">
        <f>INDEX(cenník!$C$2:$I$568,MATCH($L54,cenník!$B$2:$B$557,0),MATCH(P$2,cenník!$C$1:$I$1,0))</f>
        <v>15.99</v>
      </c>
      <c r="Q54" s="21">
        <f t="shared" si="12"/>
        <v>0</v>
      </c>
      <c r="R54" s="22">
        <f t="shared" si="13"/>
        <v>0</v>
      </c>
      <c r="S54" s="21">
        <f t="shared" si="14"/>
        <v>15.99</v>
      </c>
      <c r="T54" s="21">
        <f t="shared" si="15"/>
        <v>0</v>
      </c>
      <c r="U54" s="21">
        <f>INDEX(cenník!$C$2:$I$568,MATCH($L54,cenník!$B$2:$B$557,0),MATCH(U$2,cenník!$C$1:$I$1,0))*O54</f>
        <v>0</v>
      </c>
      <c r="W54" s="19">
        <f>(INDEX(($AO$5:$AY$13,$AO$17:$AY$25,$AO$30:$AY$38,$AO$42:$AY$50,$AO$54:$AY$62,$AO$66:$AY$74,$BI$5:$BS$13,$BI$17:$BS$25,$BI$29:$BS$37,$BI$41:$BS$49,$BI$53:$BS$61,$BI$65:$BS$73,$BY$5:$CI$13,$BY$17:$CI$25),MATCH($L$58,$AN$5:$AN$13,0),MATCH(A53,$AO$4:$AY$4,0),MATCH($G$50,$AL$18:$AL$31,0)))*C53</f>
        <v>0</v>
      </c>
      <c r="X54" s="19">
        <f>(INDEX(($AO$5:$AY$13,$AO$17:$AY$25,$AO$30:$AY$38,$AO$42:$AY$50,$AO$54:$AY$62,$AO$66:$AY$74,$BI$5:$BS$13,$BI$17:$BS$25,$BI$29:$BS$37,$BI$41:$BS$49,$BI$53:$BS$61,$BI$65:$BS$73,$BY$5:$CI$13,$BY$17:$CI$25),MATCH($L$50,$AN$5:$AN$13,0),MATCH(A53,$AO$4:$AY$4,0),MATCH($G$50,$AL$18:$AL$31,0)))*C53</f>
        <v>0</v>
      </c>
      <c r="Y54" s="19">
        <f>(INDEX(($AO$5:$AY$13,$AO$17:$AY$25,$AO$30:$AY$38,$AO$42:$AY$50,$AO$54:$AY$62,$AO$66:$AY$74,$BI$5:$BS$13,$BI$17:$BS$25,$BI$29:$BS$37,$BI$41:$BS$49,$BI$53:$BS$61,$BI$65:$BS$73,$BY$5:$CI$13,$BY$17:$CI$25),MATCH($L$51,$AN$5:$AN$13,0),MATCH(A53,$AO$4:$AY$4,0),MATCH($G$50,$AL$18:$AL$31,0)))*C53</f>
        <v>0</v>
      </c>
      <c r="Z54" s="19">
        <f>(INDEX(($AO$5:$AY$13,$AO$17:$AY$25,$AO$30:$AY$38,$AO$42:$AY$50,$AO$54:$AY$62,$AO$66:$AY$74,$BI$5:$BS$13,$BI$17:$BS$25,$BI$29:$BS$37,$BI$41:$BS$49,$BI$53:$BS$61,$BI$65:$BS$73,$BY$5:$CI$13,$BY$17:$CI$25),MATCH($L$52,$AN$5:$AN$13,0),MATCH(A53,$AO$4:$AY$4,0),MATCH($G$50,$AL$18:$AL$31,0)))*C53</f>
        <v>0</v>
      </c>
      <c r="AA54" s="19">
        <f>(INDEX(($AO$5:$AY$13,$AO$17:$AY$25,$AO$30:$AY$38,$AO$42:$AY$50,$AO$54:$AY$62,$AO$66:$AY$74,$BI$5:$BS$13,$BI$17:$BS$25,$BI$29:$BS$37,$BI$41:$BS$49,$BI$53:$BS$61,$BI$65:$BS$73,$BY$5:$CI$13,$BY$17:$CI$25),MATCH($L$53,$AN$5:$AN$13,0),MATCH(A53,$AO$4:$AY$4,0),MATCH($G$50,$AL$18:$AL$31,0)))*C53</f>
        <v>0</v>
      </c>
      <c r="AB54" s="19">
        <f>(INDEX(($AO$5:$AY$13,$AO$17:$AY$25,$AO$30:$AY$38,$AO$42:$AY$50,$AO$54:$AY$62,$AO$66:$AY$74,$BI$5:$BS$13,$BI$17:$BS$25,$BI$29:$BS$37,$BI$41:$BS$49,$BI$53:$BS$61,$BI$65:$BS$73,$BY$5:$CI$13,$BY$17:$CI$25),MATCH($L$54,$AN$5:$AN$13,0),MATCH(A53,$AO$4:$AY$4,0),MATCH($G$50,$AL$18:$AL$31,0)))*C53</f>
        <v>0</v>
      </c>
      <c r="AC54" s="19">
        <f>(INDEX(($AO$5:$AY$13,$AO$17:$AY$25,$AO$30:$AY$38,$AO$42:$AY$50,$AO$54:$AY$62,$AO$66:$AY$74,$BI$5:$BS$13,$BI$17:$BS$25,$BI$29:$BS$37,$BI$41:$BS$49,$BI$53:$BS$61,$BI$65:$BS$73,$BY$5:$CI$13,$BY$17:$CI$25),MATCH($L$55,$AN$5:$AN$13,0),MATCH(A53,$AO$4:$AY$4,0),MATCH($G$50,$AL$18:$AL$31,0)))*C53</f>
        <v>0</v>
      </c>
      <c r="AD54" s="19">
        <f>(INDEX(($AO$5:$AY$13,$AO$17:$AY$25,$AO$30:$AY$38,$AO$42:$AY$50,$AO$54:$AY$62,$AO$66:$AY$74,$BI$5:$BS$13,$BI$17:$BS$25,$BI$29:$BS$37,$BI$41:$BS$49,$BI$53:$BS$61,$BI$65:$BS$73,$BY$5:$CI$13,$BY$17:$CI$25),MATCH($L$56,$AN$5:$AN$13,0),MATCH(A53,$AO$4:$AY$4,0),MATCH($G$50,$AL$18:$AL$31,0)))*C53</f>
        <v>0</v>
      </c>
      <c r="AE54" s="19">
        <f>(INDEX(($AO$5:$AY$13,$AO$17:$AY$25,$AO$30:$AY$38,$AO$42:$AY$50,$AO$54:$AY$62,$AO$66:$AY$74,$BI$5:$BS$13,$BI$17:$BS$25,$BI$29:$BS$37,$BI$41:$BS$49,$BI$53:$BS$61,$BI$65:$BS$73,$BY$5:$CI$13,$BY$17:$CI$25),MATCH($L$57,$AN$5:$AN$13,0),MATCH(A53,$AO$4:$AY$4,0),MATCH($G$50,$AL$18:$AL$31,0)))*C53</f>
        <v>0</v>
      </c>
      <c r="AH54" s="20" t="s">
        <v>158</v>
      </c>
      <c r="AN54" s="19" t="s">
        <v>99</v>
      </c>
      <c r="AO54" s="19">
        <v>0</v>
      </c>
      <c r="AP54" s="19">
        <v>0</v>
      </c>
      <c r="AQ54" s="19">
        <v>0</v>
      </c>
      <c r="AR54" s="19">
        <v>0</v>
      </c>
      <c r="AS54" s="19">
        <v>0</v>
      </c>
      <c r="AT54" s="19">
        <v>0</v>
      </c>
      <c r="AU54" s="19">
        <v>0</v>
      </c>
      <c r="AV54" s="19">
        <v>2</v>
      </c>
      <c r="AW54" s="19">
        <v>0</v>
      </c>
      <c r="AX54" s="19">
        <v>0</v>
      </c>
      <c r="AY54" s="19">
        <v>0</v>
      </c>
      <c r="BH54" s="19" t="s">
        <v>8</v>
      </c>
      <c r="BI54" s="19">
        <v>0</v>
      </c>
      <c r="BJ54" s="19">
        <v>0</v>
      </c>
      <c r="BK54" s="19">
        <v>0</v>
      </c>
      <c r="BL54" s="19">
        <v>0</v>
      </c>
      <c r="BM54" s="19">
        <v>0</v>
      </c>
      <c r="BN54" s="19">
        <v>0</v>
      </c>
      <c r="BO54" s="19">
        <v>0</v>
      </c>
      <c r="BP54" s="19">
        <v>0</v>
      </c>
      <c r="BQ54" s="19">
        <v>0</v>
      </c>
      <c r="BR54" s="19">
        <v>0</v>
      </c>
      <c r="BS54" s="19">
        <v>0</v>
      </c>
    </row>
    <row r="55" spans="1:91" x14ac:dyDescent="0.25">
      <c r="A55" s="8"/>
      <c r="B55" s="6" t="s">
        <v>61</v>
      </c>
      <c r="C55" s="8"/>
      <c r="D55" s="6" t="s">
        <v>460</v>
      </c>
      <c r="E55" s="8">
        <v>0</v>
      </c>
      <c r="F55" s="5"/>
      <c r="G55" s="5"/>
      <c r="H55" s="5"/>
      <c r="I55" s="5"/>
      <c r="J55" s="5" t="s">
        <v>461</v>
      </c>
      <c r="K55" s="4"/>
      <c r="L55" s="6" t="s">
        <v>9</v>
      </c>
      <c r="M55" s="14">
        <f>INDEX(cenník!$C$2:$I$568,MATCH($L55,cenník!$B$2:$B$557,0),MATCH(M$2,cenník!$C$1:$I$1,0))</f>
        <v>851132</v>
      </c>
      <c r="N55" s="14" t="str">
        <f>INDEX(cenník!$C$2:$I$568,MATCH($L55,cenník!$B$2:$B$557,0),MATCH(N$2,cenník!$C$1:$I$1,0))</f>
        <v>ks</v>
      </c>
      <c r="O55" s="14">
        <f>SUM(AC50:AC65)</f>
        <v>0</v>
      </c>
      <c r="P55" s="21">
        <f>INDEX(cenník!$C$2:$I$568,MATCH($L55,cenník!$B$2:$B$557,0),MATCH(P$2,cenník!$C$1:$I$1,0))</f>
        <v>21.79</v>
      </c>
      <c r="Q55" s="21">
        <f t="shared" si="12"/>
        <v>0</v>
      </c>
      <c r="R55" s="22">
        <f t="shared" si="13"/>
        <v>0</v>
      </c>
      <c r="S55" s="21">
        <f t="shared" si="14"/>
        <v>21.79</v>
      </c>
      <c r="T55" s="21">
        <f t="shared" si="15"/>
        <v>0</v>
      </c>
      <c r="U55" s="21">
        <f>INDEX(cenník!$C$2:$I$568,MATCH($L55,cenník!$B$2:$B$557,0),MATCH(U$2,cenník!$C$1:$I$1,0))*O55</f>
        <v>0</v>
      </c>
      <c r="W55" s="19">
        <f>(INDEX(($AO$5:$AY$13,$AO$17:$AY$25,$AO$30:$AY$38,$AO$42:$AY$50,$AO$54:$AY$62,$AO$66:$AY$74,$BI$5:$BS$13,$BI$17:$BS$25,$BI$29:$BS$37,$BI$41:$BS$49,$BI$53:$BS$61,$BI$65:$BS$73,$BY$5:$CI$13,$BY$17:$CI$25),MATCH($L$58,$AN$5:$AN$13,0),MATCH(A54,$AO$4:$AY$4,0),MATCH($G$50,$AL$18:$AL$31,0)))*C54</f>
        <v>0</v>
      </c>
      <c r="X55" s="19">
        <f>(INDEX(($AO$5:$AY$13,$AO$17:$AY$25,$AO$30:$AY$38,$AO$42:$AY$50,$AO$54:$AY$62,$AO$66:$AY$74,$BI$5:$BS$13,$BI$17:$BS$25,$BI$29:$BS$37,$BI$41:$BS$49,$BI$53:$BS$61,$BI$65:$BS$73,$BY$5:$CI$13,$BY$17:$CI$25),MATCH($L$50,$AN$5:$AN$13,0),MATCH(A54,$AO$4:$AY$4,0),MATCH($G$50,$AL$18:$AL$31,0)))*C54</f>
        <v>0</v>
      </c>
      <c r="Y55" s="19">
        <f>(INDEX(($AO$5:$AY$13,$AO$17:$AY$25,$AO$30:$AY$38,$AO$42:$AY$50,$AO$54:$AY$62,$AO$66:$AY$74,$BI$5:$BS$13,$BI$17:$BS$25,$BI$29:$BS$37,$BI$41:$BS$49,$BI$53:$BS$61,$BI$65:$BS$73,$BY$5:$CI$13,$BY$17:$CI$25),MATCH($L$51,$AN$5:$AN$13,0),MATCH(A54,$AO$4:$AY$4,0),MATCH($G$50,$AL$18:$AL$31,0)))*C54</f>
        <v>0</v>
      </c>
      <c r="Z55" s="19">
        <f>(INDEX(($AO$5:$AY$13,$AO$17:$AY$25,$AO$30:$AY$38,$AO$42:$AY$50,$AO$54:$AY$62,$AO$66:$AY$74,$BI$5:$BS$13,$BI$17:$BS$25,$BI$29:$BS$37,$BI$41:$BS$49,$BI$53:$BS$61,$BI$65:$BS$73,$BY$5:$CI$13,$BY$17:$CI$25),MATCH($L$52,$AN$5:$AN$13,0),MATCH(A54,$AO$4:$AY$4,0),MATCH($G$50,$AL$18:$AL$31,0)))*C54</f>
        <v>0</v>
      </c>
      <c r="AA55" s="19">
        <f>(INDEX(($AO$5:$AY$13,$AO$17:$AY$25,$AO$30:$AY$38,$AO$42:$AY$50,$AO$54:$AY$62,$AO$66:$AY$74,$BI$5:$BS$13,$BI$17:$BS$25,$BI$29:$BS$37,$BI$41:$BS$49,$BI$53:$BS$61,$BI$65:$BS$73,$BY$5:$CI$13,$BY$17:$CI$25),MATCH($L$53,$AN$5:$AN$13,0),MATCH(A54,$AO$4:$AY$4,0),MATCH($G$50,$AL$18:$AL$31,0)))*C54</f>
        <v>0</v>
      </c>
      <c r="AB55" s="19">
        <f>(INDEX(($AO$5:$AY$13,$AO$17:$AY$25,$AO$30:$AY$38,$AO$42:$AY$50,$AO$54:$AY$62,$AO$66:$AY$74,$BI$5:$BS$13,$BI$17:$BS$25,$BI$29:$BS$37,$BI$41:$BS$49,$BI$53:$BS$61,$BI$65:$BS$73,$BY$5:$CI$13,$BY$17:$CI$25),MATCH($L$54,$AN$5:$AN$13,0),MATCH(A54,$AO$4:$AY$4,0),MATCH($G$50,$AL$18:$AL$31,0)))*C54</f>
        <v>0</v>
      </c>
      <c r="AC55" s="19">
        <f>(INDEX(($AO$5:$AY$13,$AO$17:$AY$25,$AO$30:$AY$38,$AO$42:$AY$50,$AO$54:$AY$62,$AO$66:$AY$74,$BI$5:$BS$13,$BI$17:$BS$25,$BI$29:$BS$37,$BI$41:$BS$49,$BI$53:$BS$61,$BI$65:$BS$73,$BY$5:$CI$13,$BY$17:$CI$25),MATCH($L$55,$AN$5:$AN$13,0),MATCH(A54,$AO$4:$AY$4,0),MATCH($G$50,$AL$18:$AL$31,0)))*C54</f>
        <v>0</v>
      </c>
      <c r="AD55" s="19">
        <f>(INDEX(($AO$5:$AY$13,$AO$17:$AY$25,$AO$30:$AY$38,$AO$42:$AY$50,$AO$54:$AY$62,$AO$66:$AY$74,$BI$5:$BS$13,$BI$17:$BS$25,$BI$29:$BS$37,$BI$41:$BS$49,$BI$53:$BS$61,$BI$65:$BS$73,$BY$5:$CI$13,$BY$17:$CI$25),MATCH($L$56,$AN$5:$AN$13,0),MATCH(A54,$AO$4:$AY$4,0),MATCH($G$50,$AL$18:$AL$31,0)))*C54</f>
        <v>0</v>
      </c>
      <c r="AE55" s="19">
        <f>(INDEX(($AO$5:$AY$13,$AO$17:$AY$25,$AO$30:$AY$38,$AO$42:$AY$50,$AO$54:$AY$62,$AO$66:$AY$74,$BI$5:$BS$13,$BI$17:$BS$25,$BI$29:$BS$37,$BI$41:$BS$49,$BI$53:$BS$61,$BI$65:$BS$73,$BY$5:$CI$13,$BY$17:$CI$25),MATCH($L$57,$AN$5:$AN$13,0),MATCH(A54,$AO$4:$AY$4,0),MATCH($G$50,$AL$18:$AL$31,0)))*C54</f>
        <v>0</v>
      </c>
      <c r="AH55" s="20" t="s">
        <v>159</v>
      </c>
      <c r="AN55" s="19" t="s">
        <v>8</v>
      </c>
      <c r="AO55" s="19">
        <v>0</v>
      </c>
      <c r="AP55" s="19">
        <v>0</v>
      </c>
      <c r="AQ55" s="19">
        <v>0</v>
      </c>
      <c r="AR55" s="19">
        <v>0</v>
      </c>
      <c r="AS55" s="19">
        <v>0</v>
      </c>
      <c r="AT55" s="19">
        <v>0</v>
      </c>
      <c r="AU55" s="19">
        <v>0</v>
      </c>
      <c r="AV55" s="19">
        <v>0</v>
      </c>
      <c r="AW55" s="19">
        <v>0</v>
      </c>
      <c r="AX55" s="19">
        <v>2</v>
      </c>
      <c r="AY55" s="19">
        <v>0</v>
      </c>
      <c r="BH55" s="19" t="s">
        <v>98</v>
      </c>
      <c r="BI55" s="19">
        <v>0</v>
      </c>
      <c r="BJ55" s="19">
        <v>0</v>
      </c>
      <c r="BK55" s="19">
        <v>0</v>
      </c>
      <c r="BL55" s="19">
        <v>0</v>
      </c>
      <c r="BM55" s="19">
        <v>0</v>
      </c>
      <c r="BN55" s="19">
        <v>0</v>
      </c>
      <c r="BO55" s="19">
        <v>0</v>
      </c>
      <c r="BP55" s="19">
        <v>0</v>
      </c>
      <c r="BQ55" s="19">
        <v>0</v>
      </c>
      <c r="BR55" s="19">
        <v>0</v>
      </c>
      <c r="BS55" s="19">
        <v>0</v>
      </c>
    </row>
    <row r="56" spans="1:91" x14ac:dyDescent="0.25">
      <c r="A56" s="8"/>
      <c r="B56" s="6" t="s">
        <v>61</v>
      </c>
      <c r="C56" s="8"/>
      <c r="D56" s="6" t="s">
        <v>474</v>
      </c>
      <c r="E56" s="4"/>
      <c r="F56" s="5"/>
      <c r="G56" s="5"/>
      <c r="H56" s="5"/>
      <c r="I56" s="5"/>
      <c r="K56" s="4"/>
      <c r="L56" s="6" t="s">
        <v>101</v>
      </c>
      <c r="M56" s="14">
        <f>INDEX(cenník!$C$2:$I$568,MATCH($L56,cenník!$B$2:$B$557,0),MATCH(M$2,cenník!$C$1:$I$1,0))</f>
        <v>851135</v>
      </c>
      <c r="N56" s="14" t="str">
        <f>INDEX(cenník!$C$2:$I$568,MATCH($L56,cenník!$B$2:$B$557,0),MATCH(N$2,cenník!$C$1:$I$1,0))</f>
        <v>ks</v>
      </c>
      <c r="O56" s="14">
        <f>SUM(AD50:AD65)</f>
        <v>0</v>
      </c>
      <c r="P56" s="21">
        <f>INDEX(cenník!$C$2:$I$568,MATCH($L56,cenník!$B$2:$B$557,0),MATCH(P$2,cenník!$C$1:$I$1,0))</f>
        <v>25.4</v>
      </c>
      <c r="Q56" s="21">
        <f t="shared" si="12"/>
        <v>0</v>
      </c>
      <c r="R56" s="22">
        <f t="shared" si="13"/>
        <v>0</v>
      </c>
      <c r="S56" s="21">
        <f t="shared" si="14"/>
        <v>25.4</v>
      </c>
      <c r="T56" s="21">
        <f t="shared" si="15"/>
        <v>0</v>
      </c>
      <c r="U56" s="21">
        <f>INDEX(cenník!$C$2:$I$568,MATCH($L56,cenník!$B$2:$B$557,0),MATCH(U$2,cenník!$C$1:$I$1,0))*O56</f>
        <v>0</v>
      </c>
      <c r="W56" s="19">
        <f>(INDEX(($AO$5:$AY$13,$AO$17:$AY$25,$AO$30:$AY$38,$AO$42:$AY$50,$AO$54:$AY$62,$AO$66:$AY$74,$BI$5:$BS$13,$BI$17:$BS$25,$BI$29:$BS$37,$BI$41:$BS$49,$BI$53:$BS$61,$BI$65:$BS$73,$BY$5:$CI$13,$BY$17:$CI$25),MATCH($L$58,$AN$5:$AN$13,0),MATCH(A55,$AO$4:$AY$4,0),MATCH($G$50,$AL$18:$AL$31,0)))*C55</f>
        <v>0</v>
      </c>
      <c r="X56" s="19">
        <f>(INDEX(($AO$5:$AY$13,$AO$17:$AY$25,$AO$30:$AY$38,$AO$42:$AY$50,$AO$54:$AY$62,$AO$66:$AY$74,$BI$5:$BS$13,$BI$17:$BS$25,$BI$29:$BS$37,$BI$41:$BS$49,$BI$53:$BS$61,$BI$65:$BS$73,$BY$5:$CI$13,$BY$17:$CI$25),MATCH($L$50,$AN$5:$AN$13,0),MATCH(A55,$AO$4:$AY$4,0),MATCH($G$50,$AL$18:$AL$31,0)))*C55</f>
        <v>0</v>
      </c>
      <c r="Y56" s="19">
        <f>(INDEX(($AO$5:$AY$13,$AO$17:$AY$25,$AO$30:$AY$38,$AO$42:$AY$50,$AO$54:$AY$62,$AO$66:$AY$74,$BI$5:$BS$13,$BI$17:$BS$25,$BI$29:$BS$37,$BI$41:$BS$49,$BI$53:$BS$61,$BI$65:$BS$73,$BY$5:$CI$13,$BY$17:$CI$25),MATCH($L$51,$AN$5:$AN$13,0),MATCH(A55,$AO$4:$AY$4,0),MATCH($G$50,$AL$18:$AL$31,0)))*C55</f>
        <v>0</v>
      </c>
      <c r="Z56" s="19">
        <f>(INDEX(($AO$5:$AY$13,$AO$17:$AY$25,$AO$30:$AY$38,$AO$42:$AY$50,$AO$54:$AY$62,$AO$66:$AY$74,$BI$5:$BS$13,$BI$17:$BS$25,$BI$29:$BS$37,$BI$41:$BS$49,$BI$53:$BS$61,$BI$65:$BS$73,$BY$5:$CI$13,$BY$17:$CI$25),MATCH($L$52,$AN$5:$AN$13,0),MATCH(A55,$AO$4:$AY$4,0),MATCH($G$50,$AL$18:$AL$31,0)))*C55</f>
        <v>0</v>
      </c>
      <c r="AA56" s="19">
        <f>(INDEX(($AO$5:$AY$13,$AO$17:$AY$25,$AO$30:$AY$38,$AO$42:$AY$50,$AO$54:$AY$62,$AO$66:$AY$74,$BI$5:$BS$13,$BI$17:$BS$25,$BI$29:$BS$37,$BI$41:$BS$49,$BI$53:$BS$61,$BI$65:$BS$73,$BY$5:$CI$13,$BY$17:$CI$25),MATCH($L$53,$AN$5:$AN$13,0),MATCH(A55,$AO$4:$AY$4,0),MATCH($G$50,$AL$18:$AL$31,0)))*C55</f>
        <v>0</v>
      </c>
      <c r="AB56" s="19">
        <f>(INDEX(($AO$5:$AY$13,$AO$17:$AY$25,$AO$30:$AY$38,$AO$42:$AY$50,$AO$54:$AY$62,$AO$66:$AY$74,$BI$5:$BS$13,$BI$17:$BS$25,$BI$29:$BS$37,$BI$41:$BS$49,$BI$53:$BS$61,$BI$65:$BS$73,$BY$5:$CI$13,$BY$17:$CI$25),MATCH($L$54,$AN$5:$AN$13,0),MATCH(A55,$AO$4:$AY$4,0),MATCH($G$50,$AL$18:$AL$31,0)))*C55</f>
        <v>0</v>
      </c>
      <c r="AC56" s="19">
        <f>(INDEX(($AO$5:$AY$13,$AO$17:$AY$25,$AO$30:$AY$38,$AO$42:$AY$50,$AO$54:$AY$62,$AO$66:$AY$74,$BI$5:$BS$13,$BI$17:$BS$25,$BI$29:$BS$37,$BI$41:$BS$49,$BI$53:$BS$61,$BI$65:$BS$73,$BY$5:$CI$13,$BY$17:$CI$25),MATCH($L$55,$AN$5:$AN$13,0),MATCH(A55,$AO$4:$AY$4,0),MATCH($G$50,$AL$18:$AL$31,0)))*C55</f>
        <v>0</v>
      </c>
      <c r="AD56" s="19">
        <f>(INDEX(($AO$5:$AY$13,$AO$17:$AY$25,$AO$30:$AY$38,$AO$42:$AY$50,$AO$54:$AY$62,$AO$66:$AY$74,$BI$5:$BS$13,$BI$17:$BS$25,$BI$29:$BS$37,$BI$41:$BS$49,$BI$53:$BS$61,$BI$65:$BS$73,$BY$5:$CI$13,$BY$17:$CI$25),MATCH($L$56,$AN$5:$AN$13,0),MATCH(A55,$AO$4:$AY$4,0),MATCH($G$50,$AL$18:$AL$31,0)))*C55</f>
        <v>0</v>
      </c>
      <c r="AE56" s="19">
        <f>(INDEX(($AO$5:$AY$13,$AO$17:$AY$25,$AO$30:$AY$38,$AO$42:$AY$50,$AO$54:$AY$62,$AO$66:$AY$74,$BI$5:$BS$13,$BI$17:$BS$25,$BI$29:$BS$37,$BI$41:$BS$49,$BI$53:$BS$61,$BI$65:$BS$73,$BY$5:$CI$13,$BY$17:$CI$25),MATCH($L$57,$AN$5:$AN$13,0),MATCH(A55,$AO$4:$AY$4,0),MATCH($G$50,$AL$18:$AL$31,0)))*C55</f>
        <v>0</v>
      </c>
      <c r="AH56" s="20" t="s">
        <v>160</v>
      </c>
      <c r="AN56" s="19" t="s">
        <v>98</v>
      </c>
      <c r="AO56" s="19">
        <v>0</v>
      </c>
      <c r="AP56" s="19">
        <v>0</v>
      </c>
      <c r="AQ56" s="19">
        <v>0</v>
      </c>
      <c r="AR56" s="19">
        <v>2</v>
      </c>
      <c r="AS56" s="19">
        <v>0</v>
      </c>
      <c r="AT56" s="19">
        <v>0</v>
      </c>
      <c r="AU56" s="19">
        <v>0</v>
      </c>
      <c r="AV56" s="19">
        <v>0</v>
      </c>
      <c r="AW56" s="19">
        <v>0</v>
      </c>
      <c r="AX56" s="19">
        <v>0</v>
      </c>
      <c r="AY56" s="19">
        <v>0</v>
      </c>
      <c r="BH56" s="19" t="s">
        <v>100</v>
      </c>
      <c r="BI56" s="19">
        <v>0</v>
      </c>
      <c r="BJ56" s="19">
        <v>0</v>
      </c>
      <c r="BK56" s="19">
        <v>0</v>
      </c>
      <c r="BL56" s="19">
        <v>0</v>
      </c>
      <c r="BM56" s="19">
        <v>0</v>
      </c>
      <c r="BN56" s="19">
        <v>0</v>
      </c>
      <c r="BO56" s="19">
        <v>0</v>
      </c>
      <c r="BP56" s="19">
        <v>0</v>
      </c>
      <c r="BQ56" s="19">
        <v>0</v>
      </c>
      <c r="BR56" s="19">
        <v>0</v>
      </c>
      <c r="BS56" s="19">
        <v>0</v>
      </c>
    </row>
    <row r="57" spans="1:91" x14ac:dyDescent="0.25">
      <c r="A57" s="8"/>
      <c r="B57" s="6" t="s">
        <v>61</v>
      </c>
      <c r="C57" s="8"/>
      <c r="E57" s="4"/>
      <c r="F57" s="4"/>
      <c r="G57" s="4"/>
      <c r="H57" s="4"/>
      <c r="I57" s="4"/>
      <c r="K57" s="4"/>
      <c r="L57" s="6" t="s">
        <v>102</v>
      </c>
      <c r="M57" s="14">
        <f>INDEX(cenník!$C$2:$I$568,MATCH($L57,cenník!$B$2:$B$557,0),MATCH(M$2,cenník!$C$1:$I$1,0))</f>
        <v>852137</v>
      </c>
      <c r="N57" s="14" t="str">
        <f>INDEX(cenník!$C$2:$I$568,MATCH($L57,cenník!$B$2:$B$557,0),MATCH(N$2,cenník!$C$1:$I$1,0))</f>
        <v>ks</v>
      </c>
      <c r="O57" s="14">
        <f>SUM(AE50:AE65)</f>
        <v>0</v>
      </c>
      <c r="P57" s="21">
        <f>INDEX(cenník!$C$2:$I$568,MATCH($L57,cenník!$B$2:$B$557,0),MATCH(P$2,cenník!$C$1:$I$1,0))</f>
        <v>26.88</v>
      </c>
      <c r="Q57" s="21">
        <f t="shared" si="12"/>
        <v>0</v>
      </c>
      <c r="R57" s="22">
        <f t="shared" si="13"/>
        <v>0</v>
      </c>
      <c r="S57" s="21">
        <f t="shared" si="14"/>
        <v>26.88</v>
      </c>
      <c r="T57" s="21">
        <f t="shared" si="15"/>
        <v>0</v>
      </c>
      <c r="U57" s="21">
        <f>INDEX(cenník!$C$2:$I$568,MATCH($L57,cenník!$B$2:$B$557,0),MATCH(U$2,cenník!$C$1:$I$1,0))*O57</f>
        <v>0</v>
      </c>
      <c r="W57" s="19">
        <f>(INDEX(($AO$5:$AY$13,$AO$17:$AY$25,$AO$30:$AY$38,$AO$42:$AY$50,$AO$54:$AY$62,$AO$66:$AY$74,$BI$5:$BS$13,$BI$17:$BS$25,$BI$29:$BS$37,$BI$41:$BS$49,$BI$53:$BS$61,$BI$65:$BS$73,$BY$5:$CI$13,$BY$17:$CI$25),MATCH($L$58,$AN$5:$AN$13,0),MATCH(A56,$AO$4:$AY$4,0),MATCH($G$50,$AL$18:$AL$31,0)))*C56</f>
        <v>0</v>
      </c>
      <c r="X57" s="19">
        <f>(INDEX(($AO$5:$AY$13,$AO$17:$AY$25,$AO$30:$AY$38,$AO$42:$AY$50,$AO$54:$AY$62,$AO$66:$AY$74,$BI$5:$BS$13,$BI$17:$BS$25,$BI$29:$BS$37,$BI$41:$BS$49,$BI$53:$BS$61,$BI$65:$BS$73,$BY$5:$CI$13,$BY$17:$CI$25),MATCH($L$50,$AN$5:$AN$13,0),MATCH(A56,$AO$4:$AY$4,0),MATCH($G$50,$AL$18:$AL$31,0)))*C56</f>
        <v>0</v>
      </c>
      <c r="Y57" s="19">
        <f>(INDEX(($AO$5:$AY$13,$AO$17:$AY$25,$AO$30:$AY$38,$AO$42:$AY$50,$AO$54:$AY$62,$AO$66:$AY$74,$BI$5:$BS$13,$BI$17:$BS$25,$BI$29:$BS$37,$BI$41:$BS$49,$BI$53:$BS$61,$BI$65:$BS$73,$BY$5:$CI$13,$BY$17:$CI$25),MATCH($L$51,$AN$5:$AN$13,0),MATCH(A56,$AO$4:$AY$4,0),MATCH($G$50,$AL$18:$AL$31,0)))*C56</f>
        <v>0</v>
      </c>
      <c r="Z57" s="19">
        <f>(INDEX(($AO$5:$AY$13,$AO$17:$AY$25,$AO$30:$AY$38,$AO$42:$AY$50,$AO$54:$AY$62,$AO$66:$AY$74,$BI$5:$BS$13,$BI$17:$BS$25,$BI$29:$BS$37,$BI$41:$BS$49,$BI$53:$BS$61,$BI$65:$BS$73,$BY$5:$CI$13,$BY$17:$CI$25),MATCH($L$52,$AN$5:$AN$13,0),MATCH(A56,$AO$4:$AY$4,0),MATCH($G$50,$AL$18:$AL$31,0)))*C56</f>
        <v>0</v>
      </c>
      <c r="AA57" s="19">
        <f>(INDEX(($AO$5:$AY$13,$AO$17:$AY$25,$AO$30:$AY$38,$AO$42:$AY$50,$AO$54:$AY$62,$AO$66:$AY$74,$BI$5:$BS$13,$BI$17:$BS$25,$BI$29:$BS$37,$BI$41:$BS$49,$BI$53:$BS$61,$BI$65:$BS$73,$BY$5:$CI$13,$BY$17:$CI$25),MATCH($L$53,$AN$5:$AN$13,0),MATCH(A56,$AO$4:$AY$4,0),MATCH($G$50,$AL$18:$AL$31,0)))*C56</f>
        <v>0</v>
      </c>
      <c r="AB57" s="19">
        <f>(INDEX(($AO$5:$AY$13,$AO$17:$AY$25,$AO$30:$AY$38,$AO$42:$AY$50,$AO$54:$AY$62,$AO$66:$AY$74,$BI$5:$BS$13,$BI$17:$BS$25,$BI$29:$BS$37,$BI$41:$BS$49,$BI$53:$BS$61,$BI$65:$BS$73,$BY$5:$CI$13,$BY$17:$CI$25),MATCH($L$54,$AN$5:$AN$13,0),MATCH(A56,$AO$4:$AY$4,0),MATCH($G$50,$AL$18:$AL$31,0)))*C56</f>
        <v>0</v>
      </c>
      <c r="AC57" s="19">
        <f>(INDEX(($AO$5:$AY$13,$AO$17:$AY$25,$AO$30:$AY$38,$AO$42:$AY$50,$AO$54:$AY$62,$AO$66:$AY$74,$BI$5:$BS$13,$BI$17:$BS$25,$BI$29:$BS$37,$BI$41:$BS$49,$BI$53:$BS$61,$BI$65:$BS$73,$BY$5:$CI$13,$BY$17:$CI$25),MATCH($L$55,$AN$5:$AN$13,0),MATCH(A56,$AO$4:$AY$4,0),MATCH($G$50,$AL$18:$AL$31,0)))*C56</f>
        <v>0</v>
      </c>
      <c r="AD57" s="19">
        <f>(INDEX(($AO$5:$AY$13,$AO$17:$AY$25,$AO$30:$AY$38,$AO$42:$AY$50,$AO$54:$AY$62,$AO$66:$AY$74,$BI$5:$BS$13,$BI$17:$BS$25,$BI$29:$BS$37,$BI$41:$BS$49,$BI$53:$BS$61,$BI$65:$BS$73,$BY$5:$CI$13,$BY$17:$CI$25),MATCH($L$56,$AN$5:$AN$13,0),MATCH(A56,$AO$4:$AY$4,0),MATCH($G$50,$AL$18:$AL$31,0)))*C56</f>
        <v>0</v>
      </c>
      <c r="AE57" s="19">
        <f>(INDEX(($AO$5:$AY$13,$AO$17:$AY$25,$AO$30:$AY$38,$AO$42:$AY$50,$AO$54:$AY$62,$AO$66:$AY$74,$BI$5:$BS$13,$BI$17:$BS$25,$BI$29:$BS$37,$BI$41:$BS$49,$BI$53:$BS$61,$BI$65:$BS$73,$BY$5:$CI$13,$BY$17:$CI$25),MATCH($L$57,$AN$5:$AN$13,0),MATCH(A56,$AO$4:$AY$4,0),MATCH($G$50,$AL$18:$AL$31,0)))*C56</f>
        <v>0</v>
      </c>
      <c r="AH57" s="20" t="s">
        <v>281</v>
      </c>
      <c r="AN57" s="19" t="s">
        <v>100</v>
      </c>
      <c r="AO57" s="19">
        <v>0</v>
      </c>
      <c r="AP57" s="19">
        <v>2</v>
      </c>
      <c r="AQ57" s="19">
        <v>0</v>
      </c>
      <c r="AR57" s="19">
        <v>0</v>
      </c>
      <c r="AS57" s="19">
        <v>0</v>
      </c>
      <c r="AT57" s="19">
        <v>2</v>
      </c>
      <c r="AU57" s="19">
        <v>0</v>
      </c>
      <c r="AV57" s="19">
        <v>0</v>
      </c>
      <c r="AW57" s="19">
        <v>0</v>
      </c>
      <c r="AX57" s="19">
        <v>0</v>
      </c>
      <c r="AY57" s="19">
        <v>0</v>
      </c>
      <c r="BH57" s="19" t="s">
        <v>114</v>
      </c>
      <c r="BI57" s="19">
        <v>0</v>
      </c>
      <c r="BJ57" s="19">
        <v>2</v>
      </c>
      <c r="BK57" s="19">
        <v>0</v>
      </c>
      <c r="BL57" s="19">
        <v>0</v>
      </c>
      <c r="BM57" s="19">
        <v>0</v>
      </c>
      <c r="BN57" s="19">
        <v>0</v>
      </c>
      <c r="BO57" s="19">
        <v>0</v>
      </c>
      <c r="BP57" s="19">
        <v>0</v>
      </c>
      <c r="BQ57" s="19">
        <v>0</v>
      </c>
      <c r="BR57" s="19">
        <v>0</v>
      </c>
      <c r="BS57" s="19">
        <v>0</v>
      </c>
    </row>
    <row r="58" spans="1:91" x14ac:dyDescent="0.25">
      <c r="A58" s="8"/>
      <c r="B58" s="6" t="s">
        <v>61</v>
      </c>
      <c r="C58" s="8"/>
      <c r="D58" s="16"/>
      <c r="E58" s="4"/>
      <c r="F58" s="4"/>
      <c r="G58" s="4"/>
      <c r="H58" s="4"/>
      <c r="I58" s="4"/>
      <c r="J58" s="4"/>
      <c r="K58" s="4"/>
      <c r="L58" s="6" t="s">
        <v>10</v>
      </c>
      <c r="M58" s="14">
        <f>INDEX(cenník!$C$2:$I$568,MATCH($L58,cenník!$B$2:$B$557,0),MATCH(M$2,cenník!$C$1:$I$1,0))</f>
        <v>851541</v>
      </c>
      <c r="N58" s="14" t="str">
        <f>INDEX(cenník!$C$2:$I$568,MATCH($L58,cenník!$B$2:$B$557,0),MATCH(N$2,cenník!$C$1:$I$1,0))</f>
        <v>ks</v>
      </c>
      <c r="O58" s="14">
        <f>SUM(W50:W65)</f>
        <v>0</v>
      </c>
      <c r="P58" s="21">
        <f>INDEX(cenník!$C$2:$I$568,MATCH($L58,cenník!$B$2:$B$557,0),MATCH(P$2,cenník!$C$1:$I$1,0))</f>
        <v>1.82</v>
      </c>
      <c r="Q58" s="21">
        <f t="shared" si="12"/>
        <v>0</v>
      </c>
      <c r="R58" s="22">
        <f t="shared" si="13"/>
        <v>0</v>
      </c>
      <c r="S58" s="21">
        <f t="shared" si="14"/>
        <v>1.82</v>
      </c>
      <c r="T58" s="21">
        <f t="shared" si="15"/>
        <v>0</v>
      </c>
      <c r="U58" s="21">
        <f>INDEX(cenník!$C$2:$I$568,MATCH($L58,cenník!$B$2:$B$557,0),MATCH(U$2,cenník!$C$1:$I$1,0))*O58</f>
        <v>0</v>
      </c>
      <c r="W58" s="19">
        <f>(INDEX(($AO$5:$AY$13,$AO$17:$AY$25,$AO$30:$AY$38,$AO$42:$AY$50,$AO$54:$AY$62,$AO$66:$AY$74,$BI$5:$BS$13,$BI$17:$BS$25,$BI$29:$BS$37,$BI$41:$BS$49,$BI$53:$BS$61,$BI$65:$BS$73,$BY$5:$CI$13,$BY$17:$CI$25),MATCH($L$58,$AN$5:$AN$13,0),MATCH(A57,$AO$4:$AY$4,0),MATCH($G$50,$AL$18:$AL$31,0)))*C57</f>
        <v>0</v>
      </c>
      <c r="X58" s="19">
        <f>(INDEX(($AO$5:$AY$13,$AO$17:$AY$25,$AO$30:$AY$38,$AO$42:$AY$50,$AO$54:$AY$62,$AO$66:$AY$74,$BI$5:$BS$13,$BI$17:$BS$25,$BI$29:$BS$37,$BI$41:$BS$49,$BI$53:$BS$61,$BI$65:$BS$73,$BY$5:$CI$13,$BY$17:$CI$25),MATCH($L$50,$AN$5:$AN$13,0),MATCH(A57,$AO$4:$AY$4,0),MATCH($G$50,$AL$18:$AL$31,0)))*C57</f>
        <v>0</v>
      </c>
      <c r="Y58" s="19">
        <f>(INDEX(($AO$5:$AY$13,$AO$17:$AY$25,$AO$30:$AY$38,$AO$42:$AY$50,$AO$54:$AY$62,$AO$66:$AY$74,$BI$5:$BS$13,$BI$17:$BS$25,$BI$29:$BS$37,$BI$41:$BS$49,$BI$53:$BS$61,$BI$65:$BS$73,$BY$5:$CI$13,$BY$17:$CI$25),MATCH($L$51,$AN$5:$AN$13,0),MATCH(A57,$AO$4:$AY$4,0),MATCH($G$50,$AL$18:$AL$31,0)))*C57</f>
        <v>0</v>
      </c>
      <c r="Z58" s="19">
        <f>(INDEX(($AO$5:$AY$13,$AO$17:$AY$25,$AO$30:$AY$38,$AO$42:$AY$50,$AO$54:$AY$62,$AO$66:$AY$74,$BI$5:$BS$13,$BI$17:$BS$25,$BI$29:$BS$37,$BI$41:$BS$49,$BI$53:$BS$61,$BI$65:$BS$73,$BY$5:$CI$13,$BY$17:$CI$25),MATCH($L$52,$AN$5:$AN$13,0),MATCH(A57,$AO$4:$AY$4,0),MATCH($G$50,$AL$18:$AL$31,0)))*C57</f>
        <v>0</v>
      </c>
      <c r="AA58" s="19">
        <f>(INDEX(($AO$5:$AY$13,$AO$17:$AY$25,$AO$30:$AY$38,$AO$42:$AY$50,$AO$54:$AY$62,$AO$66:$AY$74,$BI$5:$BS$13,$BI$17:$BS$25,$BI$29:$BS$37,$BI$41:$BS$49,$BI$53:$BS$61,$BI$65:$BS$73,$BY$5:$CI$13,$BY$17:$CI$25),MATCH($L$53,$AN$5:$AN$13,0),MATCH(A57,$AO$4:$AY$4,0),MATCH($G$50,$AL$18:$AL$31,0)))*C57</f>
        <v>0</v>
      </c>
      <c r="AB58" s="19">
        <f>(INDEX(($AO$5:$AY$13,$AO$17:$AY$25,$AO$30:$AY$38,$AO$42:$AY$50,$AO$54:$AY$62,$AO$66:$AY$74,$BI$5:$BS$13,$BI$17:$BS$25,$BI$29:$BS$37,$BI$41:$BS$49,$BI$53:$BS$61,$BI$65:$BS$73,$BY$5:$CI$13,$BY$17:$CI$25),MATCH($L$54,$AN$5:$AN$13,0),MATCH(A57,$AO$4:$AY$4,0),MATCH($G$50,$AL$18:$AL$31,0)))*C57</f>
        <v>0</v>
      </c>
      <c r="AC58" s="19">
        <f>(INDEX(($AO$5:$AY$13,$AO$17:$AY$25,$AO$30:$AY$38,$AO$42:$AY$50,$AO$54:$AY$62,$AO$66:$AY$74,$BI$5:$BS$13,$BI$17:$BS$25,$BI$29:$BS$37,$BI$41:$BS$49,$BI$53:$BS$61,$BI$65:$BS$73,$BY$5:$CI$13,$BY$17:$CI$25),MATCH($L$55,$AN$5:$AN$13,0),MATCH(A57,$AO$4:$AY$4,0),MATCH($G$50,$AL$18:$AL$31,0)))*C57</f>
        <v>0</v>
      </c>
      <c r="AD58" s="19">
        <f>(INDEX(($AO$5:$AY$13,$AO$17:$AY$25,$AO$30:$AY$38,$AO$42:$AY$50,$AO$54:$AY$62,$AO$66:$AY$74,$BI$5:$BS$13,$BI$17:$BS$25,$BI$29:$BS$37,$BI$41:$BS$49,$BI$53:$BS$61,$BI$65:$BS$73,$BY$5:$CI$13,$BY$17:$CI$25),MATCH($L$56,$AN$5:$AN$13,0),MATCH(A57,$AO$4:$AY$4,0),MATCH($G$50,$AL$18:$AL$31,0)))*C57</f>
        <v>0</v>
      </c>
      <c r="AE58" s="19">
        <f>(INDEX(($AO$5:$AY$13,$AO$17:$AY$25,$AO$30:$AY$38,$AO$42:$AY$50,$AO$54:$AY$62,$AO$66:$AY$74,$BI$5:$BS$13,$BI$17:$BS$25,$BI$29:$BS$37,$BI$41:$BS$49,$BI$53:$BS$61,$BI$65:$BS$73,$BY$5:$CI$13,$BY$17:$CI$25),MATCH($L$57,$AN$5:$AN$13,0),MATCH(A57,$AO$4:$AY$4,0),MATCH($G$50,$AL$18:$AL$31,0)))*C57</f>
        <v>0</v>
      </c>
      <c r="AH58" s="20" t="s">
        <v>161</v>
      </c>
      <c r="AN58" s="19" t="s">
        <v>114</v>
      </c>
      <c r="AO58" s="19">
        <v>0</v>
      </c>
      <c r="AP58" s="19">
        <v>0</v>
      </c>
      <c r="AQ58" s="19">
        <v>0</v>
      </c>
      <c r="AR58" s="19">
        <v>0</v>
      </c>
      <c r="AS58" s="19">
        <v>0</v>
      </c>
      <c r="AT58" s="19">
        <v>0</v>
      </c>
      <c r="AU58" s="19">
        <v>0</v>
      </c>
      <c r="AV58" s="19">
        <v>0</v>
      </c>
      <c r="AW58" s="19">
        <v>0</v>
      </c>
      <c r="AX58" s="19">
        <v>0</v>
      </c>
      <c r="AY58" s="19">
        <v>0</v>
      </c>
      <c r="BH58" s="19" t="s">
        <v>9</v>
      </c>
      <c r="BI58" s="19">
        <v>0</v>
      </c>
      <c r="BJ58" s="19">
        <v>0</v>
      </c>
      <c r="BK58" s="19">
        <v>2</v>
      </c>
      <c r="BL58" s="19">
        <v>4</v>
      </c>
      <c r="BM58" s="19">
        <v>0</v>
      </c>
      <c r="BN58" s="19">
        <v>2</v>
      </c>
      <c r="BO58" s="19">
        <v>8</v>
      </c>
      <c r="BP58" s="19">
        <v>2</v>
      </c>
      <c r="BQ58" s="19">
        <v>6</v>
      </c>
      <c r="BR58" s="19">
        <v>0</v>
      </c>
      <c r="BS58" s="19">
        <v>6</v>
      </c>
    </row>
    <row r="59" spans="1:91" x14ac:dyDescent="0.25">
      <c r="A59" s="8"/>
      <c r="B59" s="6" t="s">
        <v>61</v>
      </c>
      <c r="C59" s="8"/>
      <c r="D59" s="16"/>
      <c r="E59" s="4"/>
      <c r="F59" s="4"/>
      <c r="G59" s="4"/>
      <c r="H59" s="4"/>
      <c r="I59" s="4"/>
      <c r="J59" s="4"/>
      <c r="K59" s="4"/>
      <c r="L59" s="6" t="str">
        <f>E53</f>
        <v>CYB20E</v>
      </c>
      <c r="M59" s="14">
        <f>INDEX(cenník!$C$2:$I$568,MATCH($L59,cenník!$B$2:$B$557,0),MATCH(M$2,cenník!$C$1:$I$1,0))</f>
        <v>899920</v>
      </c>
      <c r="N59" s="14" t="str">
        <f>INDEX(cenník!$C$2:$I$568,MATCH($L59,cenník!$B$2:$B$557,0),MATCH(N$2,cenník!$C$1:$I$1,0))</f>
        <v>ks</v>
      </c>
      <c r="O59" s="14">
        <f>E54</f>
        <v>0</v>
      </c>
      <c r="P59" s="30">
        <f>INDEX(cenník!$C$2:$I$568,MATCH($L59,cenník!$B$2:$B$557,0),MATCH(P$2,cenník!$C$1:$I$1,0))</f>
        <v>2.73</v>
      </c>
      <c r="Q59" s="21">
        <f>0</f>
        <v>0</v>
      </c>
      <c r="R59" s="22">
        <f t="shared" si="13"/>
        <v>0</v>
      </c>
      <c r="S59" s="21">
        <v>0</v>
      </c>
      <c r="T59" s="21">
        <f>O59*S59</f>
        <v>0</v>
      </c>
      <c r="U59" s="21">
        <f>INDEX(cenník!$C$2:$I$568,MATCH($L59,cenník!$B$2:$B$557,0),MATCH(U$2,cenník!$C$1:$I$1,0))*O59</f>
        <v>0</v>
      </c>
      <c r="W59" s="19">
        <f>(INDEX(($AO$5:$AY$13,$AO$17:$AY$25,$AO$30:$AY$38,$AO$42:$AY$50,$AO$54:$AY$62,$AO$66:$AY$74,$BI$5:$BS$13,$BI$17:$BS$25,$BI$29:$BS$37,$BI$41:$BS$49,$BI$53:$BS$61,$BI$65:$BS$73,$BY$5:$CI$13,$BY$17:$CI$25),MATCH($L$58,$AN$5:$AN$13,0),MATCH(A58,$AO$4:$AY$4,0),MATCH($G$50,$AL$18:$AL$31,0)))*C58</f>
        <v>0</v>
      </c>
      <c r="X59" s="19">
        <f>(INDEX(($AO$5:$AY$13,$AO$17:$AY$25,$AO$30:$AY$38,$AO$42:$AY$50,$AO$54:$AY$62,$AO$66:$AY$74,$BI$5:$BS$13,$BI$17:$BS$25,$BI$29:$BS$37,$BI$41:$BS$49,$BI$53:$BS$61,$BI$65:$BS$73,$BY$5:$CI$13,$BY$17:$CI$25),MATCH($L$50,$AN$5:$AN$13,0),MATCH(A58,$AO$4:$AY$4,0),MATCH($G$50,$AL$18:$AL$31,0)))*C58</f>
        <v>0</v>
      </c>
      <c r="Y59" s="19">
        <f>(INDEX(($AO$5:$AY$13,$AO$17:$AY$25,$AO$30:$AY$38,$AO$42:$AY$50,$AO$54:$AY$62,$AO$66:$AY$74,$BI$5:$BS$13,$BI$17:$BS$25,$BI$29:$BS$37,$BI$41:$BS$49,$BI$53:$BS$61,$BI$65:$BS$73,$BY$5:$CI$13,$BY$17:$CI$25),MATCH($L$51,$AN$5:$AN$13,0),MATCH(A58,$AO$4:$AY$4,0),MATCH($G$50,$AL$18:$AL$31,0)))*C58</f>
        <v>0</v>
      </c>
      <c r="Z59" s="19">
        <f>(INDEX(($AO$5:$AY$13,$AO$17:$AY$25,$AO$30:$AY$38,$AO$42:$AY$50,$AO$54:$AY$62,$AO$66:$AY$74,$BI$5:$BS$13,$BI$17:$BS$25,$BI$29:$BS$37,$BI$41:$BS$49,$BI$53:$BS$61,$BI$65:$BS$73,$BY$5:$CI$13,$BY$17:$CI$25),MATCH($L$52,$AN$5:$AN$13,0),MATCH(A58,$AO$4:$AY$4,0),MATCH($G$50,$AL$18:$AL$31,0)))*C58</f>
        <v>0</v>
      </c>
      <c r="AA59" s="19">
        <f>(INDEX(($AO$5:$AY$13,$AO$17:$AY$25,$AO$30:$AY$38,$AO$42:$AY$50,$AO$54:$AY$62,$AO$66:$AY$74,$BI$5:$BS$13,$BI$17:$BS$25,$BI$29:$BS$37,$BI$41:$BS$49,$BI$53:$BS$61,$BI$65:$BS$73,$BY$5:$CI$13,$BY$17:$CI$25),MATCH($L$53,$AN$5:$AN$13,0),MATCH(A58,$AO$4:$AY$4,0),MATCH($G$50,$AL$18:$AL$31,0)))*C58</f>
        <v>0</v>
      </c>
      <c r="AB59" s="19">
        <f>(INDEX(($AO$5:$AY$13,$AO$17:$AY$25,$AO$30:$AY$38,$AO$42:$AY$50,$AO$54:$AY$62,$AO$66:$AY$74,$BI$5:$BS$13,$BI$17:$BS$25,$BI$29:$BS$37,$BI$41:$BS$49,$BI$53:$BS$61,$BI$65:$BS$73,$BY$5:$CI$13,$BY$17:$CI$25),MATCH($L$54,$AN$5:$AN$13,0),MATCH(A58,$AO$4:$AY$4,0),MATCH($G$50,$AL$18:$AL$31,0)))*C58</f>
        <v>0</v>
      </c>
      <c r="AC59" s="19">
        <f>(INDEX(($AO$5:$AY$13,$AO$17:$AY$25,$AO$30:$AY$38,$AO$42:$AY$50,$AO$54:$AY$62,$AO$66:$AY$74,$BI$5:$BS$13,$BI$17:$BS$25,$BI$29:$BS$37,$BI$41:$BS$49,$BI$53:$BS$61,$BI$65:$BS$73,$BY$5:$CI$13,$BY$17:$CI$25),MATCH($L$55,$AN$5:$AN$13,0),MATCH(A58,$AO$4:$AY$4,0),MATCH($G$50,$AL$18:$AL$31,0)))*C58</f>
        <v>0</v>
      </c>
      <c r="AD59" s="19">
        <f>(INDEX(($AO$5:$AY$13,$AO$17:$AY$25,$AO$30:$AY$38,$AO$42:$AY$50,$AO$54:$AY$62,$AO$66:$AY$74,$BI$5:$BS$13,$BI$17:$BS$25,$BI$29:$BS$37,$BI$41:$BS$49,$BI$53:$BS$61,$BI$65:$BS$73,$BY$5:$CI$13,$BY$17:$CI$25),MATCH($L$56,$AN$5:$AN$13,0),MATCH(A58,$AO$4:$AY$4,0),MATCH($G$50,$AL$18:$AL$31,0)))*C58</f>
        <v>0</v>
      </c>
      <c r="AE59" s="19">
        <f>(INDEX(($AO$5:$AY$13,$AO$17:$AY$25,$AO$30:$AY$38,$AO$42:$AY$50,$AO$54:$AY$62,$AO$66:$AY$74,$BI$5:$BS$13,$BI$17:$BS$25,$BI$29:$BS$37,$BI$41:$BS$49,$BI$53:$BS$61,$BI$65:$BS$73,$BY$5:$CI$13,$BY$17:$CI$25),MATCH($L$57,$AN$5:$AN$13,0),MATCH(A58,$AO$4:$AY$4,0),MATCH($G$50,$AL$18:$AL$31,0)))*C58</f>
        <v>0</v>
      </c>
      <c r="AH59" s="20" t="s">
        <v>162</v>
      </c>
      <c r="AN59" s="19" t="s">
        <v>9</v>
      </c>
      <c r="AO59" s="19">
        <v>0</v>
      </c>
      <c r="AP59" s="19">
        <v>0</v>
      </c>
      <c r="AQ59" s="19">
        <v>0</v>
      </c>
      <c r="AR59" s="19">
        <v>0</v>
      </c>
      <c r="AS59" s="19">
        <v>0</v>
      </c>
      <c r="AT59" s="19">
        <v>2</v>
      </c>
      <c r="AU59" s="19">
        <v>2</v>
      </c>
      <c r="AV59" s="19">
        <v>0</v>
      </c>
      <c r="AW59" s="19">
        <v>2</v>
      </c>
      <c r="AX59" s="19">
        <v>0</v>
      </c>
      <c r="AY59" s="19">
        <v>4</v>
      </c>
      <c r="BH59" s="19" t="s">
        <v>101</v>
      </c>
      <c r="BI59" s="19">
        <v>0</v>
      </c>
      <c r="BJ59" s="19">
        <v>0</v>
      </c>
      <c r="BK59" s="19">
        <v>0</v>
      </c>
      <c r="BL59" s="19">
        <v>0</v>
      </c>
      <c r="BM59" s="19">
        <v>4</v>
      </c>
      <c r="BN59" s="19">
        <v>4</v>
      </c>
      <c r="BO59" s="19">
        <v>0</v>
      </c>
      <c r="BP59" s="19">
        <v>2</v>
      </c>
      <c r="BQ59" s="19">
        <v>4</v>
      </c>
      <c r="BR59" s="19">
        <v>6</v>
      </c>
      <c r="BS59" s="19">
        <v>2</v>
      </c>
    </row>
    <row r="60" spans="1:91" x14ac:dyDescent="0.25">
      <c r="A60" s="8"/>
      <c r="B60" s="6" t="s">
        <v>61</v>
      </c>
      <c r="C60" s="8"/>
      <c r="D60" s="4"/>
      <c r="E60" s="4"/>
      <c r="F60" s="4"/>
      <c r="G60" s="4"/>
      <c r="H60" s="4"/>
      <c r="I60" s="4"/>
      <c r="J60" s="4"/>
      <c r="K60" s="4"/>
      <c r="L60" s="6" t="str">
        <f>INDEX(($AH$3:$AI$12),MATCH(I50,$AG$3:$AG$12,0),MATCH(E51,$AH$2:$AI$2,0))</f>
        <v>BUF35</v>
      </c>
      <c r="M60" s="14">
        <f>INDEX(cenník!$C$2:$I$568,MATCH($L60,cenník!$B$2:$B$557,0),MATCH(M$2,cenník!$C$1:$I$1,0))</f>
        <v>897335</v>
      </c>
      <c r="N60" s="14" t="str">
        <f>INDEX(cenník!$C$2:$I$568,MATCH($L60,cenník!$B$2:$B$557,0),MATCH(N$2,cenník!$C$1:$I$1,0))</f>
        <v>ks</v>
      </c>
      <c r="O60" s="14">
        <f>SUM(IF(A49=0,0,IF((A49&gt;0),C49*4)),IF(A50=0,0,IF((A50&gt;0),C50*4)),IF(A51=0,0,IF((A51&gt;0),C51*4)),IF(A52=0,0,IF((A52&gt;0),C52*4)),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,IF(A64=0,0,IF((A64&gt;0),C64*4)))</f>
        <v>0</v>
      </c>
      <c r="P60" s="21">
        <f>INDEX(cenník!$C$2:$I$568,MATCH($L60,cenník!$B$2:$B$557,0),MATCH(P$2,cenník!$C$1:$I$1,0))</f>
        <v>0.62</v>
      </c>
      <c r="Q60" s="21">
        <f t="shared" si="12"/>
        <v>0</v>
      </c>
      <c r="R60" s="22">
        <f t="shared" si="13"/>
        <v>0</v>
      </c>
      <c r="S60" s="21">
        <f t="shared" si="14"/>
        <v>0.62</v>
      </c>
      <c r="T60" s="21">
        <f t="shared" si="15"/>
        <v>0</v>
      </c>
      <c r="U60" s="21">
        <f>INDEX(cenník!$C$2:$I$568,MATCH($L60,cenník!$B$2:$B$557,0),MATCH(U$2,cenník!$C$1:$I$1,0))*O60</f>
        <v>0</v>
      </c>
      <c r="W60" s="19">
        <f>(INDEX(($AO$5:$AY$13,$AO$17:$AY$25,$AO$30:$AY$38,$AO$42:$AY$50,$AO$54:$AY$62,$AO$66:$AY$74,$BI$5:$BS$13,$BI$17:$BS$25,$BI$29:$BS$37,$BI$41:$BS$49,$BI$53:$BS$61,$BI$65:$BS$73,$BY$5:$CI$13,$BY$17:$CI$25),MATCH($L$58,$AN$5:$AN$13,0),MATCH(A59,$AO$4:$AY$4,0),MATCH($G$50,$AL$18:$AL$31,0)))*C59</f>
        <v>0</v>
      </c>
      <c r="X60" s="19">
        <f>(INDEX(($AO$5:$AY$13,$AO$17:$AY$25,$AO$30:$AY$38,$AO$42:$AY$50,$AO$54:$AY$62,$AO$66:$AY$74,$BI$5:$BS$13,$BI$17:$BS$25,$BI$29:$BS$37,$BI$41:$BS$49,$BI$53:$BS$61,$BI$65:$BS$73,$BY$5:$CI$13,$BY$17:$CI$25),MATCH($L$50,$AN$5:$AN$13,0),MATCH(A59,$AO$4:$AY$4,0),MATCH($G$50,$AL$18:$AL$31,0)))*C59</f>
        <v>0</v>
      </c>
      <c r="Y60" s="19">
        <f>(INDEX(($AO$5:$AY$13,$AO$17:$AY$25,$AO$30:$AY$38,$AO$42:$AY$50,$AO$54:$AY$62,$AO$66:$AY$74,$BI$5:$BS$13,$BI$17:$BS$25,$BI$29:$BS$37,$BI$41:$BS$49,$BI$53:$BS$61,$BI$65:$BS$73,$BY$5:$CI$13,$BY$17:$CI$25),MATCH($L$51,$AN$5:$AN$13,0),MATCH(A59,$AO$4:$AY$4,0),MATCH($G$50,$AL$18:$AL$31,0)))*C59</f>
        <v>0</v>
      </c>
      <c r="Z60" s="19">
        <f>(INDEX(($AO$5:$AY$13,$AO$17:$AY$25,$AO$30:$AY$38,$AO$42:$AY$50,$AO$54:$AY$62,$AO$66:$AY$74,$BI$5:$BS$13,$BI$17:$BS$25,$BI$29:$BS$37,$BI$41:$BS$49,$BI$53:$BS$61,$BI$65:$BS$73,$BY$5:$CI$13,$BY$17:$CI$25),MATCH($L$52,$AN$5:$AN$13,0),MATCH(A59,$AO$4:$AY$4,0),MATCH($G$50,$AL$18:$AL$31,0)))*C59</f>
        <v>0</v>
      </c>
      <c r="AA60" s="19">
        <f>(INDEX(($AO$5:$AY$13,$AO$17:$AY$25,$AO$30:$AY$38,$AO$42:$AY$50,$AO$54:$AY$62,$AO$66:$AY$74,$BI$5:$BS$13,$BI$17:$BS$25,$BI$29:$BS$37,$BI$41:$BS$49,$BI$53:$BS$61,$BI$65:$BS$73,$BY$5:$CI$13,$BY$17:$CI$25),MATCH($L$53,$AN$5:$AN$13,0),MATCH(A59,$AO$4:$AY$4,0),MATCH($G$50,$AL$18:$AL$31,0)))*C59</f>
        <v>0</v>
      </c>
      <c r="AB60" s="19">
        <f>(INDEX(($AO$5:$AY$13,$AO$17:$AY$25,$AO$30:$AY$38,$AO$42:$AY$50,$AO$54:$AY$62,$AO$66:$AY$74,$BI$5:$BS$13,$BI$17:$BS$25,$BI$29:$BS$37,$BI$41:$BS$49,$BI$53:$BS$61,$BI$65:$BS$73,$BY$5:$CI$13,$BY$17:$CI$25),MATCH($L$54,$AN$5:$AN$13,0),MATCH(A59,$AO$4:$AY$4,0),MATCH($G$50,$AL$18:$AL$31,0)))*C59</f>
        <v>0</v>
      </c>
      <c r="AC60" s="19">
        <f>(INDEX(($AO$5:$AY$13,$AO$17:$AY$25,$AO$30:$AY$38,$AO$42:$AY$50,$AO$54:$AY$62,$AO$66:$AY$74,$BI$5:$BS$13,$BI$17:$BS$25,$BI$29:$BS$37,$BI$41:$BS$49,$BI$53:$BS$61,$BI$65:$BS$73,$BY$5:$CI$13,$BY$17:$CI$25),MATCH($L$55,$AN$5:$AN$13,0),MATCH(A59,$AO$4:$AY$4,0),MATCH($G$50,$AL$18:$AL$31,0)))*C59</f>
        <v>0</v>
      </c>
      <c r="AD60" s="19">
        <f>(INDEX(($AO$5:$AY$13,$AO$17:$AY$25,$AO$30:$AY$38,$AO$42:$AY$50,$AO$54:$AY$62,$AO$66:$AY$74,$BI$5:$BS$13,$BI$17:$BS$25,$BI$29:$BS$37,$BI$41:$BS$49,$BI$53:$BS$61,$BI$65:$BS$73,$BY$5:$CI$13,$BY$17:$CI$25),MATCH($L$56,$AN$5:$AN$13,0),MATCH(A59,$AO$4:$AY$4,0),MATCH($G$50,$AL$18:$AL$31,0)))*C59</f>
        <v>0</v>
      </c>
      <c r="AE60" s="19">
        <f>(INDEX(($AO$5:$AY$13,$AO$17:$AY$25,$AO$30:$AY$38,$AO$42:$AY$50,$AO$54:$AY$62,$AO$66:$AY$74,$BI$5:$BS$13,$BI$17:$BS$25,$BI$29:$BS$37,$BI$41:$BS$49,$BI$53:$BS$61,$BI$65:$BS$73,$BY$5:$CI$13,$BY$17:$CI$25),MATCH($L$57,$AN$5:$AN$13,0),MATCH(A59,$AO$4:$AY$4,0),MATCH($G$50,$AL$18:$AL$31,0)))*C59</f>
        <v>0</v>
      </c>
      <c r="AH60" s="20" t="s">
        <v>163</v>
      </c>
      <c r="AN60" s="19" t="s">
        <v>101</v>
      </c>
      <c r="AO60" s="19">
        <v>0</v>
      </c>
      <c r="AP60" s="19">
        <v>0</v>
      </c>
      <c r="AQ60" s="19">
        <v>2</v>
      </c>
      <c r="AR60" s="19">
        <v>2</v>
      </c>
      <c r="AS60" s="19">
        <v>4</v>
      </c>
      <c r="AT60" s="19">
        <v>2</v>
      </c>
      <c r="AU60" s="19">
        <v>2</v>
      </c>
      <c r="AV60" s="19">
        <v>2</v>
      </c>
      <c r="AW60" s="19">
        <v>6</v>
      </c>
      <c r="AX60" s="19">
        <v>8</v>
      </c>
      <c r="AY60" s="19">
        <v>2</v>
      </c>
      <c r="BH60" s="19" t="s">
        <v>102</v>
      </c>
      <c r="BI60" s="19">
        <v>0</v>
      </c>
      <c r="BJ60" s="19">
        <v>0</v>
      </c>
      <c r="BK60" s="19">
        <v>0</v>
      </c>
      <c r="BL60" s="19">
        <v>0</v>
      </c>
      <c r="BM60" s="19">
        <v>0</v>
      </c>
      <c r="BN60" s="19">
        <v>0</v>
      </c>
      <c r="BO60" s="19">
        <v>0</v>
      </c>
      <c r="BP60" s="19">
        <v>4</v>
      </c>
      <c r="BQ60" s="19">
        <v>0</v>
      </c>
      <c r="BR60" s="19">
        <v>4</v>
      </c>
      <c r="BS60" s="19">
        <v>4</v>
      </c>
    </row>
    <row r="61" spans="1:91" x14ac:dyDescent="0.25">
      <c r="A61" s="8"/>
      <c r="B61" s="6" t="s">
        <v>61</v>
      </c>
      <c r="C61" s="8"/>
      <c r="D61" s="4"/>
      <c r="E61" s="4"/>
      <c r="F61" s="4"/>
      <c r="G61" s="4"/>
      <c r="H61" s="4"/>
      <c r="I61" s="4"/>
      <c r="J61" s="4"/>
      <c r="K61" s="4"/>
      <c r="L61" s="6" t="str">
        <f>INDEX(($AH$13:$AI$13),1,MATCH(E51,$AH$2:$AI$2,0))</f>
        <v>PUF</v>
      </c>
      <c r="M61" s="14">
        <f>INDEX(cenník!$C$2:$I$568,MATCH($L61,cenník!$B$2:$B$557,0),MATCH(M$2,cenník!$C$1:$I$1,0))</f>
        <v>897300</v>
      </c>
      <c r="N61" s="14" t="str">
        <f>INDEX(cenník!$C$2:$I$568,MATCH($L61,cenník!$B$2:$B$557,0),MATCH(N$2,cenník!$C$1:$I$1,0))</f>
        <v>ks</v>
      </c>
      <c r="O61" s="14">
        <f>SUM(IF(A49=0,0,IF(A49&gt;0,(A49-1)*2*C49)),IF(A50=0,0,IF(A50&gt;0,(A50-1)*2*C50)),IF(A51=0,0,IF(A51&gt;0,(A51-1)*2*C51)),IF(A52=0,0,IF(A52&gt;0,(A52-1)*2*C52)),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)</f>
        <v>0</v>
      </c>
      <c r="P61" s="21">
        <f>INDEX(cenník!$C$2:$I$568,MATCH($L61,cenník!$B$2:$B$557,0),MATCH(P$2,cenník!$C$1:$I$1,0))</f>
        <v>0.56999999999999995</v>
      </c>
      <c r="Q61" s="21">
        <f t="shared" si="12"/>
        <v>0</v>
      </c>
      <c r="R61" s="22">
        <f t="shared" si="13"/>
        <v>0</v>
      </c>
      <c r="S61" s="21">
        <f t="shared" si="14"/>
        <v>0.56999999999999995</v>
      </c>
      <c r="T61" s="21">
        <f t="shared" si="15"/>
        <v>0</v>
      </c>
      <c r="U61" s="21">
        <f>INDEX(cenník!$C$2:$I$568,MATCH($L61,cenník!$B$2:$B$557,0),MATCH(U$2,cenník!$C$1:$I$1,0))*O61</f>
        <v>0</v>
      </c>
      <c r="W61" s="19">
        <f>(INDEX(($AO$5:$AY$13,$AO$17:$AY$25,$AO$30:$AY$38,$AO$42:$AY$50,$AO$54:$AY$62,$AO$66:$AY$74,$BI$5:$BS$13,$BI$17:$BS$25,$BI$29:$BS$37,$BI$41:$BS$49,$BI$53:$BS$61,$BI$65:$BS$73,$BY$5:$CI$13,$BY$17:$CI$25),MATCH($L$58,$AN$5:$AN$13,0),MATCH(A60,$AO$4:$AY$4,0),MATCH($G$50,$AL$18:$AL$31,0)))*C60</f>
        <v>0</v>
      </c>
      <c r="X61" s="19">
        <f>(INDEX(($AO$5:$AY$13,$AO$17:$AY$25,$AO$30:$AY$38,$AO$42:$AY$50,$AO$54:$AY$62,$AO$66:$AY$74,$BI$5:$BS$13,$BI$17:$BS$25,$BI$29:$BS$37,$BI$41:$BS$49,$BI$53:$BS$61,$BI$65:$BS$73,$BY$5:$CI$13,$BY$17:$CI$25),MATCH($L$50,$AN$5:$AN$13,0),MATCH(A60,$AO$4:$AY$4,0),MATCH($G$50,$AL$18:$AL$31,0)))*C60</f>
        <v>0</v>
      </c>
      <c r="Y61" s="19">
        <f>(INDEX(($AO$5:$AY$13,$AO$17:$AY$25,$AO$30:$AY$38,$AO$42:$AY$50,$AO$54:$AY$62,$AO$66:$AY$74,$BI$5:$BS$13,$BI$17:$BS$25,$BI$29:$BS$37,$BI$41:$BS$49,$BI$53:$BS$61,$BI$65:$BS$73,$BY$5:$CI$13,$BY$17:$CI$25),MATCH($L$51,$AN$5:$AN$13,0),MATCH(A60,$AO$4:$AY$4,0),MATCH($G$50,$AL$18:$AL$31,0)))*C60</f>
        <v>0</v>
      </c>
      <c r="Z61" s="19">
        <f>(INDEX(($AO$5:$AY$13,$AO$17:$AY$25,$AO$30:$AY$38,$AO$42:$AY$50,$AO$54:$AY$62,$AO$66:$AY$74,$BI$5:$BS$13,$BI$17:$BS$25,$BI$29:$BS$37,$BI$41:$BS$49,$BI$53:$BS$61,$BI$65:$BS$73,$BY$5:$CI$13,$BY$17:$CI$25),MATCH($L$52,$AN$5:$AN$13,0),MATCH(A60,$AO$4:$AY$4,0),MATCH($G$50,$AL$18:$AL$31,0)))*C60</f>
        <v>0</v>
      </c>
      <c r="AA61" s="19">
        <f>(INDEX(($AO$5:$AY$13,$AO$17:$AY$25,$AO$30:$AY$38,$AO$42:$AY$50,$AO$54:$AY$62,$AO$66:$AY$74,$BI$5:$BS$13,$BI$17:$BS$25,$BI$29:$BS$37,$BI$41:$BS$49,$BI$53:$BS$61,$BI$65:$BS$73,$BY$5:$CI$13,$BY$17:$CI$25),MATCH($L$53,$AN$5:$AN$13,0),MATCH(A60,$AO$4:$AY$4,0),MATCH($G$50,$AL$18:$AL$31,0)))*C60</f>
        <v>0</v>
      </c>
      <c r="AB61" s="19">
        <f>(INDEX(($AO$5:$AY$13,$AO$17:$AY$25,$AO$30:$AY$38,$AO$42:$AY$50,$AO$54:$AY$62,$AO$66:$AY$74,$BI$5:$BS$13,$BI$17:$BS$25,$BI$29:$BS$37,$BI$41:$BS$49,$BI$53:$BS$61,$BI$65:$BS$73,$BY$5:$CI$13,$BY$17:$CI$25),MATCH($L$54,$AN$5:$AN$13,0),MATCH(A60,$AO$4:$AY$4,0),MATCH($G$50,$AL$18:$AL$31,0)))*C60</f>
        <v>0</v>
      </c>
      <c r="AC61" s="19">
        <f>(INDEX(($AO$5:$AY$13,$AO$17:$AY$25,$AO$30:$AY$38,$AO$42:$AY$50,$AO$54:$AY$62,$AO$66:$AY$74,$BI$5:$BS$13,$BI$17:$BS$25,$BI$29:$BS$37,$BI$41:$BS$49,$BI$53:$BS$61,$BI$65:$BS$73,$BY$5:$CI$13,$BY$17:$CI$25),MATCH($L$55,$AN$5:$AN$13,0),MATCH(A60,$AO$4:$AY$4,0),MATCH($G$50,$AL$18:$AL$31,0)))*C60</f>
        <v>0</v>
      </c>
      <c r="AD61" s="19">
        <f>(INDEX(($AO$5:$AY$13,$AO$17:$AY$25,$AO$30:$AY$38,$AO$42:$AY$50,$AO$54:$AY$62,$AO$66:$AY$74,$BI$5:$BS$13,$BI$17:$BS$25,$BI$29:$BS$37,$BI$41:$BS$49,$BI$53:$BS$61,$BI$65:$BS$73,$BY$5:$CI$13,$BY$17:$CI$25),MATCH($L$56,$AN$5:$AN$13,0),MATCH(A60,$AO$4:$AY$4,0),MATCH($G$50,$AL$18:$AL$31,0)))*C60</f>
        <v>0</v>
      </c>
      <c r="AE61" s="19">
        <f>(INDEX(($AO$5:$AY$13,$AO$17:$AY$25,$AO$30:$AY$38,$AO$42:$AY$50,$AO$54:$AY$62,$AO$66:$AY$74,$BI$5:$BS$13,$BI$17:$BS$25,$BI$29:$BS$37,$BI$41:$BS$49,$BI$53:$BS$61,$BI$65:$BS$73,$BY$5:$CI$13,$BY$17:$CI$25),MATCH($L$57,$AN$5:$AN$13,0),MATCH(A60,$AO$4:$AY$4,0),MATCH($G$50,$AL$18:$AL$31,0)))*C60</f>
        <v>0</v>
      </c>
      <c r="AH61" s="20" t="s">
        <v>152</v>
      </c>
      <c r="AN61" s="19" t="s">
        <v>102</v>
      </c>
      <c r="AO61" s="19">
        <v>0</v>
      </c>
      <c r="AP61" s="19">
        <v>0</v>
      </c>
      <c r="AQ61" s="19">
        <v>0</v>
      </c>
      <c r="AR61" s="19">
        <v>0</v>
      </c>
      <c r="AS61" s="19">
        <v>0</v>
      </c>
      <c r="AT61" s="19">
        <v>0</v>
      </c>
      <c r="AU61" s="19">
        <v>2</v>
      </c>
      <c r="AV61" s="19">
        <v>4</v>
      </c>
      <c r="AW61" s="19">
        <v>0</v>
      </c>
      <c r="AX61" s="19">
        <v>0</v>
      </c>
      <c r="AY61" s="19">
        <v>4</v>
      </c>
      <c r="BH61" s="19" t="s">
        <v>10</v>
      </c>
      <c r="BI61" s="19">
        <v>0</v>
      </c>
      <c r="BJ61" s="19">
        <v>0</v>
      </c>
      <c r="BK61" s="19">
        <v>2</v>
      </c>
      <c r="BL61" s="19">
        <v>2</v>
      </c>
      <c r="BM61" s="19">
        <v>4</v>
      </c>
      <c r="BN61" s="19">
        <v>4</v>
      </c>
      <c r="BO61" s="19">
        <v>6</v>
      </c>
      <c r="BP61" s="19">
        <v>6</v>
      </c>
      <c r="BQ61" s="19">
        <v>8</v>
      </c>
      <c r="BR61" s="19">
        <v>8</v>
      </c>
      <c r="BS61" s="19">
        <v>10</v>
      </c>
    </row>
    <row r="62" spans="1:91" x14ac:dyDescent="0.25">
      <c r="A62" s="8"/>
      <c r="B62" s="6" t="s">
        <v>61</v>
      </c>
      <c r="C62" s="8"/>
      <c r="D62" s="4"/>
      <c r="E62" s="4"/>
      <c r="F62" s="4"/>
      <c r="G62" s="4"/>
      <c r="H62" s="4"/>
      <c r="I62" s="4"/>
      <c r="J62" s="4"/>
      <c r="K62" s="4"/>
      <c r="L62" s="6" t="str">
        <f>INDEX(($AJ$3:$AJ$12),MATCH(I50,$AG$3:$AG$12,0),1)</f>
        <v>SAM8X30E</v>
      </c>
      <c r="M62" s="14">
        <f>INDEX(cenník!$C$2:$I$568,MATCH($L62,cenník!$B$2:$B$557,0),MATCH(M$2,cenník!$C$1:$I$1,0))</f>
        <v>898530</v>
      </c>
      <c r="N62" s="14" t="str">
        <f>INDEX(cenník!$C$2:$I$568,MATCH($L62,cenník!$B$2:$B$557,0),MATCH(N$2,cenník!$C$1:$I$1,0))</f>
        <v>ks</v>
      </c>
      <c r="O62" s="14">
        <f>SUM(O60:O61)</f>
        <v>0</v>
      </c>
      <c r="P62" s="21">
        <f>INDEX(cenník!$C$2:$I$568,MATCH($L62,cenník!$B$2:$B$557,0),MATCH(P$2,cenník!$C$1:$I$1,0))</f>
        <v>0.18</v>
      </c>
      <c r="Q62" s="21">
        <f t="shared" si="12"/>
        <v>0</v>
      </c>
      <c r="R62" s="22">
        <f t="shared" si="13"/>
        <v>0</v>
      </c>
      <c r="S62" s="21">
        <f t="shared" si="14"/>
        <v>0.18</v>
      </c>
      <c r="T62" s="21">
        <f t="shared" si="15"/>
        <v>0</v>
      </c>
      <c r="U62" s="21">
        <f>INDEX(cenník!$C$2:$I$568,MATCH($L62,cenník!$B$2:$B$557,0),MATCH(U$2,cenník!$C$1:$I$1,0))*O62</f>
        <v>0</v>
      </c>
      <c r="W62" s="19">
        <f>(INDEX(($AO$5:$AY$13,$AO$17:$AY$25,$AO$30:$AY$38,$AO$42:$AY$50,$AO$54:$AY$62,$AO$66:$AY$74,$BI$5:$BS$13,$BI$17:$BS$25,$BI$29:$BS$37,$BI$41:$BS$49,$BI$53:$BS$61,$BI$65:$BS$73,$BY$5:$CI$13,$BY$17:$CI$25),MATCH($L$58,$AN$5:$AN$13,0),MATCH(A61,$AO$4:$AY$4,0),MATCH($G$50,$AL$18:$AL$31,0)))*C61</f>
        <v>0</v>
      </c>
      <c r="X62" s="19">
        <f>(INDEX(($AO$5:$AY$13,$AO$17:$AY$25,$AO$30:$AY$38,$AO$42:$AY$50,$AO$54:$AY$62,$AO$66:$AY$74,$BI$5:$BS$13,$BI$17:$BS$25,$BI$29:$BS$37,$BI$41:$BS$49,$BI$53:$BS$61,$BI$65:$BS$73,$BY$5:$CI$13,$BY$17:$CI$25),MATCH($L$50,$AN$5:$AN$13,0),MATCH(A61,$AO$4:$AY$4,0),MATCH($G$50,$AL$18:$AL$31,0)))*C61</f>
        <v>0</v>
      </c>
      <c r="Y62" s="19">
        <f>(INDEX(($AO$5:$AY$13,$AO$17:$AY$25,$AO$30:$AY$38,$AO$42:$AY$50,$AO$54:$AY$62,$AO$66:$AY$74,$BI$5:$BS$13,$BI$17:$BS$25,$BI$29:$BS$37,$BI$41:$BS$49,$BI$53:$BS$61,$BI$65:$BS$73,$BY$5:$CI$13,$BY$17:$CI$25),MATCH($L$51,$AN$5:$AN$13,0),MATCH(A61,$AO$4:$AY$4,0),MATCH($G$50,$AL$18:$AL$31,0)))*C61</f>
        <v>0</v>
      </c>
      <c r="Z62" s="19">
        <f>(INDEX(($AO$5:$AY$13,$AO$17:$AY$25,$AO$30:$AY$38,$AO$42:$AY$50,$AO$54:$AY$62,$AO$66:$AY$74,$BI$5:$BS$13,$BI$17:$BS$25,$BI$29:$BS$37,$BI$41:$BS$49,$BI$53:$BS$61,$BI$65:$BS$73,$BY$5:$CI$13,$BY$17:$CI$25),MATCH($L$52,$AN$5:$AN$13,0),MATCH(A61,$AO$4:$AY$4,0),MATCH($G$50,$AL$18:$AL$31,0)))*C61</f>
        <v>0</v>
      </c>
      <c r="AA62" s="19">
        <f>(INDEX(($AO$5:$AY$13,$AO$17:$AY$25,$AO$30:$AY$38,$AO$42:$AY$50,$AO$54:$AY$62,$AO$66:$AY$74,$BI$5:$BS$13,$BI$17:$BS$25,$BI$29:$BS$37,$BI$41:$BS$49,$BI$53:$BS$61,$BI$65:$BS$73,$BY$5:$CI$13,$BY$17:$CI$25),MATCH($L$53,$AN$5:$AN$13,0),MATCH(A61,$AO$4:$AY$4,0),MATCH($G$50,$AL$18:$AL$31,0)))*C61</f>
        <v>0</v>
      </c>
      <c r="AB62" s="19">
        <f>(INDEX(($AO$5:$AY$13,$AO$17:$AY$25,$AO$30:$AY$38,$AO$42:$AY$50,$AO$54:$AY$62,$AO$66:$AY$74,$BI$5:$BS$13,$BI$17:$BS$25,$BI$29:$BS$37,$BI$41:$BS$49,$BI$53:$BS$61,$BI$65:$BS$73,$BY$5:$CI$13,$BY$17:$CI$25),MATCH($L$54,$AN$5:$AN$13,0),MATCH(A61,$AO$4:$AY$4,0),MATCH($G$50,$AL$18:$AL$31,0)))*C61</f>
        <v>0</v>
      </c>
      <c r="AC62" s="19">
        <f>(INDEX(($AO$5:$AY$13,$AO$17:$AY$25,$AO$30:$AY$38,$AO$42:$AY$50,$AO$54:$AY$62,$AO$66:$AY$74,$BI$5:$BS$13,$BI$17:$BS$25,$BI$29:$BS$37,$BI$41:$BS$49,$BI$53:$BS$61,$BI$65:$BS$73,$BY$5:$CI$13,$BY$17:$CI$25),MATCH($L$55,$AN$5:$AN$13,0),MATCH(A61,$AO$4:$AY$4,0),MATCH($G$50,$AL$18:$AL$31,0)))*C61</f>
        <v>0</v>
      </c>
      <c r="AD62" s="19">
        <f>(INDEX(($AO$5:$AY$13,$AO$17:$AY$25,$AO$30:$AY$38,$AO$42:$AY$50,$AO$54:$AY$62,$AO$66:$AY$74,$BI$5:$BS$13,$BI$17:$BS$25,$BI$29:$BS$37,$BI$41:$BS$49,$BI$53:$BS$61,$BI$65:$BS$73,$BY$5:$CI$13,$BY$17:$CI$25),MATCH($L$56,$AN$5:$AN$13,0),MATCH(A61,$AO$4:$AY$4,0),MATCH($G$50,$AL$18:$AL$31,0)))*C61</f>
        <v>0</v>
      </c>
      <c r="AE62" s="19">
        <f>(INDEX(($AO$5:$AY$13,$AO$17:$AY$25,$AO$30:$AY$38,$AO$42:$AY$50,$AO$54:$AY$62,$AO$66:$AY$74,$BI$5:$BS$13,$BI$17:$BS$25,$BI$29:$BS$37,$BI$41:$BS$49,$BI$53:$BS$61,$BI$65:$BS$73,$BY$5:$CI$13,$BY$17:$CI$25),MATCH($L$57,$AN$5:$AN$13,0),MATCH(A61,$AO$4:$AY$4,0),MATCH($G$50,$AL$18:$AL$31,0)))*C61</f>
        <v>0</v>
      </c>
      <c r="AH62" s="20" t="s">
        <v>153</v>
      </c>
      <c r="AN62" s="19" t="s">
        <v>10</v>
      </c>
      <c r="AO62" s="19">
        <v>0</v>
      </c>
      <c r="AP62" s="19">
        <v>0</v>
      </c>
      <c r="AQ62" s="19">
        <v>0</v>
      </c>
      <c r="AR62" s="19">
        <v>2</v>
      </c>
      <c r="AS62" s="19">
        <v>2</v>
      </c>
      <c r="AT62" s="19">
        <v>4</v>
      </c>
      <c r="AU62" s="19">
        <v>4</v>
      </c>
      <c r="AV62" s="19">
        <v>6</v>
      </c>
      <c r="AW62" s="19">
        <v>6</v>
      </c>
      <c r="AX62" s="19">
        <v>8</v>
      </c>
      <c r="AY62" s="19">
        <v>8</v>
      </c>
    </row>
    <row r="63" spans="1:91" x14ac:dyDescent="0.25">
      <c r="A63" s="8"/>
      <c r="B63" s="6" t="s">
        <v>61</v>
      </c>
      <c r="C63" s="8"/>
      <c r="D63" s="4"/>
      <c r="E63" s="4"/>
      <c r="F63" s="4"/>
      <c r="G63" s="4"/>
      <c r="H63" s="4"/>
      <c r="I63" s="4"/>
      <c r="J63" s="4"/>
      <c r="K63" s="4"/>
      <c r="L63" s="6" t="s">
        <v>244</v>
      </c>
      <c r="M63" s="14">
        <f>INDEX(cenník!$C$2:$I$568,MATCH($L63,cenník!$B$2:$B$557,0),MATCH(M$2,cenník!$C$1:$I$1,0))</f>
        <v>166794</v>
      </c>
      <c r="N63" s="14" t="str">
        <f>INDEX(cenník!$C$2:$I$568,MATCH($L63,cenník!$B$2:$B$557,0),MATCH(N$2,cenník!$C$1:$I$1,0))</f>
        <v>100ks</v>
      </c>
      <c r="O63" s="14">
        <f>ROUNDUP(O62/100,0)</f>
        <v>0</v>
      </c>
      <c r="P63" s="21">
        <f>INDEX(cenník!$C$2:$I$568,MATCH($L63,cenník!$B$2:$B$557,0),MATCH(P$2,cenník!$C$1:$I$1,0))</f>
        <v>1.38</v>
      </c>
      <c r="Q63" s="21">
        <f t="shared" si="12"/>
        <v>0</v>
      </c>
      <c r="R63" s="22">
        <f t="shared" si="13"/>
        <v>0</v>
      </c>
      <c r="S63" s="21">
        <f t="shared" si="14"/>
        <v>1.38</v>
      </c>
      <c r="T63" s="21">
        <f t="shared" si="15"/>
        <v>0</v>
      </c>
      <c r="U63" s="21">
        <f>INDEX(cenník!$C$2:$I$568,MATCH($L63,cenník!$B$2:$B$557,0),MATCH(U$2,cenník!$C$1:$I$1,0))*O63</f>
        <v>0</v>
      </c>
      <c r="W63" s="19">
        <f>(INDEX(($AO$5:$AY$13,$AO$17:$AY$25,$AO$30:$AY$38,$AO$42:$AY$50,$AO$54:$AY$62,$AO$66:$AY$74,$BI$5:$BS$13,$BI$17:$BS$25,$BI$29:$BS$37,$BI$41:$BS$49,$BI$53:$BS$61,$BI$65:$BS$73,$BY$5:$CI$13,$BY$17:$CI$25),MATCH($L$58,$AN$5:$AN$13,0),MATCH(A62,$AO$4:$AY$4,0),MATCH($G$50,$AL$18:$AL$31,0)))*C62</f>
        <v>0</v>
      </c>
      <c r="X63" s="19">
        <f>(INDEX(($AO$5:$AY$13,$AO$17:$AY$25,$AO$30:$AY$38,$AO$42:$AY$50,$AO$54:$AY$62,$AO$66:$AY$74,$BI$5:$BS$13,$BI$17:$BS$25,$BI$29:$BS$37,$BI$41:$BS$49,$BI$53:$BS$61,$BI$65:$BS$73,$BY$5:$CI$13,$BY$17:$CI$25),MATCH($L$50,$AN$5:$AN$13,0),MATCH(A62,$AO$4:$AY$4,0),MATCH($G$50,$AL$18:$AL$31,0)))*C62</f>
        <v>0</v>
      </c>
      <c r="Y63" s="19">
        <f>(INDEX(($AO$5:$AY$13,$AO$17:$AY$25,$AO$30:$AY$38,$AO$42:$AY$50,$AO$54:$AY$62,$AO$66:$AY$74,$BI$5:$BS$13,$BI$17:$BS$25,$BI$29:$BS$37,$BI$41:$BS$49,$BI$53:$BS$61,$BI$65:$BS$73,$BY$5:$CI$13,$BY$17:$CI$25),MATCH($L$51,$AN$5:$AN$13,0),MATCH(A62,$AO$4:$AY$4,0),MATCH($G$50,$AL$18:$AL$31,0)))*C62</f>
        <v>0</v>
      </c>
      <c r="Z63" s="19">
        <f>(INDEX(($AO$5:$AY$13,$AO$17:$AY$25,$AO$30:$AY$38,$AO$42:$AY$50,$AO$54:$AY$62,$AO$66:$AY$74,$BI$5:$BS$13,$BI$17:$BS$25,$BI$29:$BS$37,$BI$41:$BS$49,$BI$53:$BS$61,$BI$65:$BS$73,$BY$5:$CI$13,$BY$17:$CI$25),MATCH($L$52,$AN$5:$AN$13,0),MATCH(A62,$AO$4:$AY$4,0),MATCH($G$50,$AL$18:$AL$31,0)))*C62</f>
        <v>0</v>
      </c>
      <c r="AA63" s="19">
        <f>(INDEX(($AO$5:$AY$13,$AO$17:$AY$25,$AO$30:$AY$38,$AO$42:$AY$50,$AO$54:$AY$62,$AO$66:$AY$74,$BI$5:$BS$13,$BI$17:$BS$25,$BI$29:$BS$37,$BI$41:$BS$49,$BI$53:$BS$61,$BI$65:$BS$73,$BY$5:$CI$13,$BY$17:$CI$25),MATCH($L$53,$AN$5:$AN$13,0),MATCH(A62,$AO$4:$AY$4,0),MATCH($G$50,$AL$18:$AL$31,0)))*C62</f>
        <v>0</v>
      </c>
      <c r="AB63" s="19">
        <f>(INDEX(($AO$5:$AY$13,$AO$17:$AY$25,$AO$30:$AY$38,$AO$42:$AY$50,$AO$54:$AY$62,$AO$66:$AY$74,$BI$5:$BS$13,$BI$17:$BS$25,$BI$29:$BS$37,$BI$41:$BS$49,$BI$53:$BS$61,$BI$65:$BS$73,$BY$5:$CI$13,$BY$17:$CI$25),MATCH($L$54,$AN$5:$AN$13,0),MATCH(A62,$AO$4:$AY$4,0),MATCH($G$50,$AL$18:$AL$31,0)))*C62</f>
        <v>0</v>
      </c>
      <c r="AC63" s="19">
        <f>(INDEX(($AO$5:$AY$13,$AO$17:$AY$25,$AO$30:$AY$38,$AO$42:$AY$50,$AO$54:$AY$62,$AO$66:$AY$74,$BI$5:$BS$13,$BI$17:$BS$25,$BI$29:$BS$37,$BI$41:$BS$49,$BI$53:$BS$61,$BI$65:$BS$73,$BY$5:$CI$13,$BY$17:$CI$25),MATCH($L$55,$AN$5:$AN$13,0),MATCH(A62,$AO$4:$AY$4,0),MATCH($G$50,$AL$18:$AL$31,0)))*C62</f>
        <v>0</v>
      </c>
      <c r="AD63" s="19">
        <f>(INDEX(($AO$5:$AY$13,$AO$17:$AY$25,$AO$30:$AY$38,$AO$42:$AY$50,$AO$54:$AY$62,$AO$66:$AY$74,$BI$5:$BS$13,$BI$17:$BS$25,$BI$29:$BS$37,$BI$41:$BS$49,$BI$53:$BS$61,$BI$65:$BS$73,$BY$5:$CI$13,$BY$17:$CI$25),MATCH($L$56,$AN$5:$AN$13,0),MATCH(A62,$AO$4:$AY$4,0),MATCH($G$50,$AL$18:$AL$31,0)))*C62</f>
        <v>0</v>
      </c>
      <c r="AE63" s="19">
        <f>(INDEX(($AO$5:$AY$13,$AO$17:$AY$25,$AO$30:$AY$38,$AO$42:$AY$50,$AO$54:$AY$62,$AO$66:$AY$74,$BI$5:$BS$13,$BI$17:$BS$25,$BI$29:$BS$37,$BI$41:$BS$49,$BI$53:$BS$61,$BI$65:$BS$73,$BY$5:$CI$13,$BY$17:$CI$25),MATCH($L$57,$AN$5:$AN$13,0),MATCH(A62,$AO$4:$AY$4,0),MATCH($G$50,$AL$18:$AL$31,0)))*C62</f>
        <v>0</v>
      </c>
      <c r="AH63" s="20" t="s">
        <v>282</v>
      </c>
      <c r="BH63" s="19" t="s">
        <v>58</v>
      </c>
      <c r="BI63" s="19"/>
      <c r="BJ63" s="19"/>
      <c r="BK63" s="19"/>
      <c r="BL63" s="19"/>
      <c r="BM63" s="19"/>
      <c r="BN63" s="19"/>
      <c r="BO63" s="19"/>
      <c r="BP63" s="19"/>
      <c r="BQ63" s="19"/>
      <c r="BR63" s="19"/>
      <c r="BS63" s="19"/>
    </row>
    <row r="64" spans="1:91" x14ac:dyDescent="0.25">
      <c r="A64" s="8"/>
      <c r="B64" s="6" t="s">
        <v>61</v>
      </c>
      <c r="C64" s="8"/>
      <c r="F64" s="4"/>
      <c r="G64" s="4"/>
      <c r="H64" s="4"/>
      <c r="I64" s="4"/>
      <c r="J64" s="4"/>
      <c r="K64" s="4"/>
      <c r="L64" s="15" t="s">
        <v>129</v>
      </c>
      <c r="M64" s="14">
        <f>INDEX(cenník!$C$2:$I$568,MATCH($L64,cenník!$B$2:$B$557,0),MATCH(M$2,cenník!$C$1:$I$1,0))</f>
        <v>890101</v>
      </c>
      <c r="N64" s="14" t="str">
        <f>INDEX(cenník!$C$2:$I$568,MATCH($L64,cenník!$B$2:$B$557,0),MATCH(N$2,cenník!$C$1:$I$1,0))</f>
        <v>ks</v>
      </c>
      <c r="O64" s="14">
        <f>O62</f>
        <v>0</v>
      </c>
      <c r="P64" s="21">
        <f>INDEX(cenník!$C$2:$I$568,MATCH($L64,cenník!$B$2:$B$557,0),MATCH(P$2,cenník!$C$1:$I$1,0))</f>
        <v>0.78</v>
      </c>
      <c r="Q64" s="21">
        <f t="shared" si="12"/>
        <v>0</v>
      </c>
      <c r="R64" s="22">
        <f t="shared" si="13"/>
        <v>0</v>
      </c>
      <c r="S64" s="21">
        <f t="shared" si="14"/>
        <v>0.78</v>
      </c>
      <c r="T64" s="21">
        <f t="shared" si="15"/>
        <v>0</v>
      </c>
      <c r="U64" s="21">
        <f>INDEX(cenník!$C$2:$I$568,MATCH($L64,cenník!$B$2:$B$557,0),MATCH(U$2,cenník!$C$1:$I$1,0))*O64</f>
        <v>0</v>
      </c>
      <c r="W64" s="19">
        <f>(INDEX(($AO$5:$AY$13,$AO$17:$AY$25,$AO$30:$AY$38,$AO$42:$AY$50,$AO$54:$AY$62,$AO$66:$AY$74,$BI$5:$BS$13,$BI$17:$BS$25,$BI$29:$BS$37,$BI$41:$BS$49,$BI$53:$BS$61,$BI$65:$BS$73,$BY$5:$CI$13,$BY$17:$CI$25),MATCH($L$58,$AN$5:$AN$13,0),MATCH(A63,$AO$4:$AY$4,0),MATCH($G$50,$AL$18:$AL$31,0)))*C63</f>
        <v>0</v>
      </c>
      <c r="X64" s="19">
        <f>(INDEX(($AO$5:$AY$13,$AO$17:$AY$25,$AO$30:$AY$38,$AO$42:$AY$50,$AO$54:$AY$62,$AO$66:$AY$74,$BI$5:$BS$13,$BI$17:$BS$25,$BI$29:$BS$37,$BI$41:$BS$49,$BI$53:$BS$61,$BI$65:$BS$73,$BY$5:$CI$13,$BY$17:$CI$25),MATCH($L$50,$AN$5:$AN$13,0),MATCH(A63,$AO$4:$AY$4,0),MATCH($G$50,$AL$18:$AL$31,0)))*C63</f>
        <v>0</v>
      </c>
      <c r="Y64" s="19">
        <f>(INDEX(($AO$5:$AY$13,$AO$17:$AY$25,$AO$30:$AY$38,$AO$42:$AY$50,$AO$54:$AY$62,$AO$66:$AY$74,$BI$5:$BS$13,$BI$17:$BS$25,$BI$29:$BS$37,$BI$41:$BS$49,$BI$53:$BS$61,$BI$65:$BS$73,$BY$5:$CI$13,$BY$17:$CI$25),MATCH($L$51,$AN$5:$AN$13,0),MATCH(A63,$AO$4:$AY$4,0),MATCH($G$50,$AL$18:$AL$31,0)))*C63</f>
        <v>0</v>
      </c>
      <c r="Z64" s="19">
        <f>(INDEX(($AO$5:$AY$13,$AO$17:$AY$25,$AO$30:$AY$38,$AO$42:$AY$50,$AO$54:$AY$62,$AO$66:$AY$74,$BI$5:$BS$13,$BI$17:$BS$25,$BI$29:$BS$37,$BI$41:$BS$49,$BI$53:$BS$61,$BI$65:$BS$73,$BY$5:$CI$13,$BY$17:$CI$25),MATCH($L$52,$AN$5:$AN$13,0),MATCH(A63,$AO$4:$AY$4,0),MATCH($G$50,$AL$18:$AL$31,0)))*C63</f>
        <v>0</v>
      </c>
      <c r="AA64" s="19">
        <f>(INDEX(($AO$5:$AY$13,$AO$17:$AY$25,$AO$30:$AY$38,$AO$42:$AY$50,$AO$54:$AY$62,$AO$66:$AY$74,$BI$5:$BS$13,$BI$17:$BS$25,$BI$29:$BS$37,$BI$41:$BS$49,$BI$53:$BS$61,$BI$65:$BS$73,$BY$5:$CI$13,$BY$17:$CI$25),MATCH($L$53,$AN$5:$AN$13,0),MATCH(A63,$AO$4:$AY$4,0),MATCH($G$50,$AL$18:$AL$31,0)))*C63</f>
        <v>0</v>
      </c>
      <c r="AB64" s="19">
        <f>(INDEX(($AO$5:$AY$13,$AO$17:$AY$25,$AO$30:$AY$38,$AO$42:$AY$50,$AO$54:$AY$62,$AO$66:$AY$74,$BI$5:$BS$13,$BI$17:$BS$25,$BI$29:$BS$37,$BI$41:$BS$49,$BI$53:$BS$61,$BI$65:$BS$73,$BY$5:$CI$13,$BY$17:$CI$25),MATCH($L$54,$AN$5:$AN$13,0),MATCH(A63,$AO$4:$AY$4,0),MATCH($G$50,$AL$18:$AL$31,0)))*C63</f>
        <v>0</v>
      </c>
      <c r="AC64" s="19">
        <f>(INDEX(($AO$5:$AY$13,$AO$17:$AY$25,$AO$30:$AY$38,$AO$42:$AY$50,$AO$54:$AY$62,$AO$66:$AY$74,$BI$5:$BS$13,$BI$17:$BS$25,$BI$29:$BS$37,$BI$41:$BS$49,$BI$53:$BS$61,$BI$65:$BS$73,$BY$5:$CI$13,$BY$17:$CI$25),MATCH($L$55,$AN$5:$AN$13,0),MATCH(A63,$AO$4:$AY$4,0),MATCH($G$50,$AL$18:$AL$31,0)))*C63</f>
        <v>0</v>
      </c>
      <c r="AD64" s="19">
        <f>(INDEX(($AO$5:$AY$13,$AO$17:$AY$25,$AO$30:$AY$38,$AO$42:$AY$50,$AO$54:$AY$62,$AO$66:$AY$74,$BI$5:$BS$13,$BI$17:$BS$25,$BI$29:$BS$37,$BI$41:$BS$49,$BI$53:$BS$61,$BI$65:$BS$73,$BY$5:$CI$13,$BY$17:$CI$25),MATCH($L$56,$AN$5:$AN$13,0),MATCH(A63,$AO$4:$AY$4,0),MATCH($G$50,$AL$18:$AL$31,0)))*C63</f>
        <v>0</v>
      </c>
      <c r="AE64" s="19">
        <f>(INDEX(($AO$5:$AY$13,$AO$17:$AY$25,$AO$30:$AY$38,$AO$42:$AY$50,$AO$54:$AY$62,$AO$66:$AY$74,$BI$5:$BS$13,$BI$17:$BS$25,$BI$29:$BS$37,$BI$41:$BS$49,$BI$53:$BS$61,$BI$65:$BS$73,$BY$5:$CI$13,$BY$17:$CI$25),MATCH($L$57,$AN$5:$AN$13,0),MATCH(A63,$AO$4:$AY$4,0),MATCH($G$50,$AL$18:$AL$31,0)))*C63</f>
        <v>0</v>
      </c>
      <c r="AH64" s="20" t="s">
        <v>154</v>
      </c>
      <c r="AN64" s="19" t="s">
        <v>57</v>
      </c>
      <c r="AO64" s="19"/>
      <c r="AP64" s="19"/>
      <c r="AQ64" s="19"/>
      <c r="AR64" s="19"/>
      <c r="AS64" s="19"/>
      <c r="AT64" s="19"/>
      <c r="AU64" s="19"/>
      <c r="AV64" s="19"/>
      <c r="AW64" s="19"/>
      <c r="AX64" s="19"/>
      <c r="AY64" s="19"/>
      <c r="BH64" s="19"/>
      <c r="BI64" s="19">
        <v>0</v>
      </c>
      <c r="BJ64" s="19">
        <v>1</v>
      </c>
      <c r="BK64" s="19">
        <v>2</v>
      </c>
      <c r="BL64" s="19">
        <v>3</v>
      </c>
      <c r="BM64" s="19">
        <v>4</v>
      </c>
      <c r="BN64" s="19">
        <v>5</v>
      </c>
      <c r="BO64" s="19">
        <v>6</v>
      </c>
      <c r="BP64" s="19">
        <v>7</v>
      </c>
      <c r="BQ64" s="19">
        <v>8</v>
      </c>
      <c r="BR64" s="19">
        <v>9</v>
      </c>
      <c r="BS64" s="19">
        <v>10</v>
      </c>
    </row>
    <row r="65" spans="6:71" x14ac:dyDescent="0.25">
      <c r="F65" s="4"/>
      <c r="G65" s="4"/>
      <c r="H65" s="4"/>
      <c r="I65" s="4"/>
      <c r="J65" s="4"/>
      <c r="L65" s="6" t="s">
        <v>178</v>
      </c>
      <c r="M65" s="14">
        <f>INDEX(cenník!$C$2:$I$568,MATCH($L65,cenník!$B$2:$B$557,0),MATCH(M$2,cenník!$C$1:$I$1,0))</f>
        <v>651643</v>
      </c>
      <c r="N65" s="14" t="str">
        <f>INDEX(cenník!$C$2:$I$568,MATCH($L65,cenník!$B$2:$B$557,0),MATCH(N$2,cenník!$C$1:$I$1,0))</f>
        <v>100ks</v>
      </c>
      <c r="O65" s="14">
        <f>ROUNDUP(((O58*12))/100,0)</f>
        <v>0</v>
      </c>
      <c r="P65" s="21">
        <f>INDEX(cenník!$C$2:$I$568,MATCH($L65,cenník!$B$2:$B$557,0),MATCH(P$2,cenník!$C$1:$I$1,0))</f>
        <v>49.87</v>
      </c>
      <c r="Q65" s="21">
        <f t="shared" si="12"/>
        <v>0</v>
      </c>
      <c r="R65" s="22">
        <f t="shared" si="13"/>
        <v>0</v>
      </c>
      <c r="S65" s="21">
        <f t="shared" si="14"/>
        <v>49.87</v>
      </c>
      <c r="T65" s="21">
        <f t="shared" si="15"/>
        <v>0</v>
      </c>
      <c r="U65" s="21">
        <f>INDEX(cenník!$C$2:$I$568,MATCH($L65,cenník!$B$2:$B$557,0),MATCH(U$2,cenník!$C$1:$I$1,0))*O65</f>
        <v>0</v>
      </c>
      <c r="W65" s="19">
        <f>(INDEX(($AO$5:$AY$13,$AO$17:$AY$25,$AO$30:$AY$38,$AO$42:$AY$50,$AO$54:$AY$62,$AO$66:$AY$74,$BI$5:$BS$13,$BI$17:$BS$25,$BI$29:$BS$37,$BI$41:$BS$49,$BI$53:$BS$61,$BI$65:$BS$73,$BY$5:$CI$13,$BY$17:$CI$25),MATCH($L$58,$AN$5:$AN$13,0),MATCH(A64,$AO$4:$AY$4,0),MATCH($G$50,$AL$18:$AL$31,0)))*C64</f>
        <v>0</v>
      </c>
      <c r="X65" s="19">
        <f>(INDEX(($AO$5:$AY$13,$AO$17:$AY$25,$AO$30:$AY$38,$AO$42:$AY$50,$AO$54:$AY$62,$AO$66:$AY$74,$BI$5:$BS$13,$BI$17:$BS$25,$BI$29:$BS$37,$BI$41:$BS$49,$BI$53:$BS$61,$BI$65:$BS$73,$BY$5:$CI$13,$BY$17:$CI$25),MATCH($L$50,$AN$5:$AN$13,0),MATCH(A64,$AO$4:$AY$4,0),MATCH($G$50,$AL$18:$AL$31,0)))*C64</f>
        <v>0</v>
      </c>
      <c r="Y65" s="19">
        <f>(INDEX(($AO$5:$AY$13,$AO$17:$AY$25,$AO$30:$AY$38,$AO$42:$AY$50,$AO$54:$AY$62,$AO$66:$AY$74,$BI$5:$BS$13,$BI$17:$BS$25,$BI$29:$BS$37,$BI$41:$BS$49,$BI$53:$BS$61,$BI$65:$BS$73,$BY$5:$CI$13,$BY$17:$CI$25),MATCH($L$51,$AN$5:$AN$13,0),MATCH(A64,$AO$4:$AY$4,0),MATCH($G$50,$AL$18:$AL$31,0)))*C64</f>
        <v>0</v>
      </c>
      <c r="Z65" s="19">
        <f>(INDEX(($AO$5:$AY$13,$AO$17:$AY$25,$AO$30:$AY$38,$AO$42:$AY$50,$AO$54:$AY$62,$AO$66:$AY$74,$BI$5:$BS$13,$BI$17:$BS$25,$BI$29:$BS$37,$BI$41:$BS$49,$BI$53:$BS$61,$BI$65:$BS$73,$BY$5:$CI$13,$BY$17:$CI$25),MATCH($L$52,$AN$5:$AN$13,0),MATCH(A64,$AO$4:$AY$4,0),MATCH($G$50,$AL$18:$AL$31,0)))*C64</f>
        <v>0</v>
      </c>
      <c r="AA65" s="19">
        <f>(INDEX(($AO$5:$AY$13,$AO$17:$AY$25,$AO$30:$AY$38,$AO$42:$AY$50,$AO$54:$AY$62,$AO$66:$AY$74,$BI$5:$BS$13,$BI$17:$BS$25,$BI$29:$BS$37,$BI$41:$BS$49,$BI$53:$BS$61,$BI$65:$BS$73,$BY$5:$CI$13,$BY$17:$CI$25),MATCH($L$53,$AN$5:$AN$13,0),MATCH(A64,$AO$4:$AY$4,0),MATCH($G$50,$AL$18:$AL$31,0)))*C64</f>
        <v>0</v>
      </c>
      <c r="AB65" s="19">
        <f>(INDEX(($AO$5:$AY$13,$AO$17:$AY$25,$AO$30:$AY$38,$AO$42:$AY$50,$AO$54:$AY$62,$AO$66:$AY$74,$BI$5:$BS$13,$BI$17:$BS$25,$BI$29:$BS$37,$BI$41:$BS$49,$BI$53:$BS$61,$BI$65:$BS$73,$BY$5:$CI$13,$BY$17:$CI$25),MATCH($L$54,$AN$5:$AN$13,0),MATCH(A64,$AO$4:$AY$4,0),MATCH($G$50,$AL$18:$AL$31,0)))*C64</f>
        <v>0</v>
      </c>
      <c r="AC65" s="19">
        <f>(INDEX(($AO$5:$AY$13,$AO$17:$AY$25,$AO$30:$AY$38,$AO$42:$AY$50,$AO$54:$AY$62,$AO$66:$AY$74,$BI$5:$BS$13,$BI$17:$BS$25,$BI$29:$BS$37,$BI$41:$BS$49,$BI$53:$BS$61,$BI$65:$BS$73,$BY$5:$CI$13,$BY$17:$CI$25),MATCH($L$55,$AN$5:$AN$13,0),MATCH(A64,$AO$4:$AY$4,0),MATCH($G$50,$AL$18:$AL$31,0)))*C64</f>
        <v>0</v>
      </c>
      <c r="AD65" s="19">
        <f>(INDEX(($AO$5:$AY$13,$AO$17:$AY$25,$AO$30:$AY$38,$AO$42:$AY$50,$AO$54:$AY$62,$AO$66:$AY$74,$BI$5:$BS$13,$BI$17:$BS$25,$BI$29:$BS$37,$BI$41:$BS$49,$BI$53:$BS$61,$BI$65:$BS$73,$BY$5:$CI$13,$BY$17:$CI$25),MATCH($L$56,$AN$5:$AN$13,0),MATCH(A64,$AO$4:$AY$4,0),MATCH($G$50,$AL$18:$AL$31,0)))*C64</f>
        <v>0</v>
      </c>
      <c r="AE65" s="19">
        <f>(INDEX(($AO$5:$AY$13,$AO$17:$AY$25,$AO$30:$AY$38,$AO$42:$AY$50,$AO$54:$AY$62,$AO$66:$AY$74,$BI$5:$BS$13,$BI$17:$BS$25,$BI$29:$BS$37,$BI$41:$BS$49,$BI$53:$BS$61,$BI$65:$BS$73,$BY$5:$CI$13,$BY$17:$CI$25),MATCH($L$57,$AN$5:$AN$13,0),MATCH(A64,$AO$4:$AY$4,0),MATCH($G$50,$AL$18:$AL$31,0)))*C64</f>
        <v>0</v>
      </c>
      <c r="AH65" s="20" t="s">
        <v>155</v>
      </c>
      <c r="AN65" s="19"/>
      <c r="AO65" s="19">
        <v>0</v>
      </c>
      <c r="AP65" s="19">
        <v>1</v>
      </c>
      <c r="AQ65" s="19">
        <v>2</v>
      </c>
      <c r="AR65" s="19">
        <v>3</v>
      </c>
      <c r="AS65" s="19">
        <v>4</v>
      </c>
      <c r="AT65" s="19">
        <v>5</v>
      </c>
      <c r="AU65" s="19">
        <v>6</v>
      </c>
      <c r="AV65" s="19">
        <v>7</v>
      </c>
      <c r="AW65" s="19">
        <v>8</v>
      </c>
      <c r="AX65" s="19">
        <v>9</v>
      </c>
      <c r="AY65" s="19">
        <v>10</v>
      </c>
      <c r="BH65" s="19" t="s">
        <v>99</v>
      </c>
      <c r="BI65" s="19">
        <v>0</v>
      </c>
      <c r="BJ65" s="19">
        <v>0</v>
      </c>
      <c r="BK65" s="19">
        <f t="shared" ref="BK65:BK73" si="16">2*AM138</f>
        <v>0</v>
      </c>
      <c r="BL65" s="19">
        <v>0</v>
      </c>
      <c r="BM65" s="19">
        <v>0</v>
      </c>
      <c r="BN65" s="19">
        <v>0</v>
      </c>
      <c r="BO65" s="19">
        <v>0</v>
      </c>
      <c r="BP65" s="19">
        <v>0</v>
      </c>
      <c r="BQ65" s="19">
        <v>0</v>
      </c>
      <c r="BR65" s="19">
        <v>0</v>
      </c>
      <c r="BS65" s="19">
        <v>0</v>
      </c>
    </row>
    <row r="66" spans="6:71" x14ac:dyDescent="0.25">
      <c r="L66" s="6" t="s">
        <v>65</v>
      </c>
      <c r="M66" s="14">
        <f>INDEX(cenník!$C$2:$I$568,MATCH($L66,cenník!$B$2:$B$557,0),MATCH(M$2,cenník!$C$1:$I$1,0))</f>
        <v>897303</v>
      </c>
      <c r="N66" s="14" t="str">
        <f>INDEX(cenník!$C$2:$I$568,MATCH($L66,cenník!$B$2:$B$557,0),MATCH(N$2,cenník!$C$1:$I$1,0))</f>
        <v>ks</v>
      </c>
      <c r="O66" s="14">
        <f>SUM((IF(MOD(A49,2)=0,A49/2,IF(MOD(A49,2)=1,FLOOR(A49/2,1)+1,0))*C49),(IF(MOD(A50,2)=0,A50/2,IF(MOD(A50,2)=1,FLOOR(A50/2,1)+1,0))*C50),(IF(MOD(A51,2)=0,A51/2,IF(MOD(A51,2)=1,FLOOR(A51/2,1)+1,0))*C51),(IF(MOD(A52,2)=0,A52/2,IF(MOD(A52,2)=1,FLOOR(A52/2,1)+1,0))*C52),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)</f>
        <v>0</v>
      </c>
      <c r="P66" s="21">
        <f>INDEX(cenník!$C$2:$I$568,MATCH($L66,cenník!$B$2:$B$557,0),MATCH(P$2,cenník!$C$1:$I$1,0))</f>
        <v>0.83</v>
      </c>
      <c r="Q66" s="21">
        <f t="shared" si="12"/>
        <v>0</v>
      </c>
      <c r="R66" s="22">
        <f t="shared" si="13"/>
        <v>0</v>
      </c>
      <c r="S66" s="21">
        <f t="shared" si="14"/>
        <v>0.83</v>
      </c>
      <c r="T66" s="21">
        <f t="shared" si="15"/>
        <v>0</v>
      </c>
      <c r="U66" s="21">
        <f>INDEX(cenník!$C$2:$I$568,MATCH($L66,cenník!$B$2:$B$557,0),MATCH(U$2,cenník!$C$1:$I$1,0))*O66</f>
        <v>0</v>
      </c>
      <c r="AE66" s="19"/>
      <c r="AH66" s="20" t="s">
        <v>156</v>
      </c>
      <c r="AN66" s="19" t="s">
        <v>99</v>
      </c>
      <c r="AO66" s="19">
        <v>0</v>
      </c>
      <c r="AP66" s="19">
        <v>0</v>
      </c>
      <c r="AQ66" s="19">
        <v>0</v>
      </c>
      <c r="AR66" s="19">
        <v>0</v>
      </c>
      <c r="AS66" s="19">
        <v>0</v>
      </c>
      <c r="AT66" s="19">
        <v>0</v>
      </c>
      <c r="AU66" s="19">
        <v>0</v>
      </c>
      <c r="AV66" s="19">
        <v>0</v>
      </c>
      <c r="AW66" s="19">
        <v>0</v>
      </c>
      <c r="AX66" s="19">
        <v>0</v>
      </c>
      <c r="AY66" s="19">
        <v>0</v>
      </c>
      <c r="BH66" s="19" t="s">
        <v>8</v>
      </c>
      <c r="BI66" s="19">
        <v>0</v>
      </c>
      <c r="BJ66" s="19">
        <v>0</v>
      </c>
      <c r="BK66" s="19">
        <f t="shared" si="16"/>
        <v>0</v>
      </c>
      <c r="BL66" s="19">
        <v>0</v>
      </c>
      <c r="BM66" s="19">
        <v>2</v>
      </c>
      <c r="BN66" s="19">
        <v>0</v>
      </c>
      <c r="BO66" s="19">
        <v>2</v>
      </c>
      <c r="BP66" s="19">
        <v>0</v>
      </c>
      <c r="BQ66" s="19">
        <v>0</v>
      </c>
      <c r="BR66" s="19">
        <v>0</v>
      </c>
      <c r="BS66" s="19">
        <v>0</v>
      </c>
    </row>
    <row r="67" spans="6:71" x14ac:dyDescent="0.25">
      <c r="L67" s="6" t="s">
        <v>19</v>
      </c>
      <c r="M67" s="14">
        <f>INDEX(cenník!$C$2:$I$568,MATCH($L67,cenník!$B$2:$B$557,0),MATCH(M$2,cenník!$C$1:$I$1,0))</f>
        <v>6506513</v>
      </c>
      <c r="N67" s="14" t="str">
        <f>INDEX(cenník!$C$2:$I$568,MATCH($L67,cenník!$B$2:$B$557,0),MATCH(N$2,cenník!$C$1:$I$1,0))</f>
        <v>ks</v>
      </c>
      <c r="O67" s="14">
        <f>O68+E55</f>
        <v>0</v>
      </c>
      <c r="P67" s="21">
        <f>INDEX(cenník!$C$2:$I$568,MATCH($L67,cenník!$B$2:$B$557,0),MATCH(P$2,cenník!$C$1:$I$1,0))</f>
        <v>1.46</v>
      </c>
      <c r="Q67" s="21">
        <f t="shared" si="12"/>
        <v>0</v>
      </c>
      <c r="R67" s="22">
        <f t="shared" si="13"/>
        <v>0</v>
      </c>
      <c r="S67" s="21">
        <f t="shared" si="14"/>
        <v>1.46</v>
      </c>
      <c r="T67" s="21">
        <f t="shared" si="15"/>
        <v>0</v>
      </c>
      <c r="U67" s="21">
        <f>INDEX(cenník!$C$2:$I$568,MATCH($L67,cenník!$B$2:$B$557,0),MATCH(U$2,cenník!$C$1:$I$1,0))*O67</f>
        <v>0</v>
      </c>
      <c r="AE67" s="19"/>
      <c r="AN67" s="19" t="s">
        <v>8</v>
      </c>
      <c r="AO67" s="19">
        <v>0</v>
      </c>
      <c r="AP67" s="19">
        <v>0</v>
      </c>
      <c r="AQ67" s="19">
        <v>0</v>
      </c>
      <c r="AR67" s="19">
        <v>0</v>
      </c>
      <c r="AS67" s="19">
        <v>0</v>
      </c>
      <c r="AT67" s="19">
        <v>0</v>
      </c>
      <c r="AU67" s="19">
        <v>0</v>
      </c>
      <c r="AV67" s="19">
        <v>2</v>
      </c>
      <c r="AW67" s="19">
        <v>0</v>
      </c>
      <c r="AX67" s="19">
        <v>0</v>
      </c>
      <c r="AY67" s="19">
        <v>0</v>
      </c>
      <c r="BH67" s="19" t="s">
        <v>98</v>
      </c>
      <c r="BI67" s="19">
        <v>0</v>
      </c>
      <c r="BJ67" s="19">
        <v>0</v>
      </c>
      <c r="BK67" s="19">
        <f t="shared" si="16"/>
        <v>0</v>
      </c>
      <c r="BL67" s="19">
        <v>0</v>
      </c>
      <c r="BM67" s="19">
        <v>0</v>
      </c>
      <c r="BN67" s="19">
        <v>0</v>
      </c>
      <c r="BO67" s="19">
        <v>0</v>
      </c>
      <c r="BP67" s="19">
        <v>0</v>
      </c>
      <c r="BQ67" s="19">
        <v>0</v>
      </c>
      <c r="BR67" s="19">
        <v>0</v>
      </c>
      <c r="BS67" s="19">
        <v>0</v>
      </c>
    </row>
    <row r="68" spans="6:71" x14ac:dyDescent="0.25">
      <c r="L68" s="6" t="s">
        <v>280</v>
      </c>
      <c r="M68" s="14">
        <f>INDEX(cenník!$C$2:$I$568,MATCH($L68,cenník!$B$2:$B$557,0),MATCH(M$2,cenník!$C$1:$I$1,0))</f>
        <v>892525</v>
      </c>
      <c r="N68" s="14" t="str">
        <f>INDEX(cenník!$C$2:$I$568,MATCH($L68,cenník!$B$2:$B$557,0),MATCH(N$2,cenník!$C$1:$I$1,0))</f>
        <v>ks</v>
      </c>
      <c r="O68" s="14">
        <f>SUM((A49*C49),(A50*C50),(A51*C51),(A52*C52),(A53*C53),(A54*C54),(A55*C55),(A56*C56),(A57*C57),(A58*C58),(A59*C59),(A60*C60),(A61*C61),(A62*C62),(A63*C63),(A64*C64))</f>
        <v>0</v>
      </c>
      <c r="P68" s="21">
        <f>INDEX(cenník!$C$2:$I$568,MATCH($L68,cenník!$B$2:$B$557,0),MATCH(P$2,cenník!$C$1:$I$1,0))</f>
        <v>5.43</v>
      </c>
      <c r="Q68" s="21">
        <f t="shared" si="12"/>
        <v>0</v>
      </c>
      <c r="R68" s="22">
        <f t="shared" si="13"/>
        <v>0</v>
      </c>
      <c r="S68" s="21">
        <f t="shared" si="14"/>
        <v>5.43</v>
      </c>
      <c r="T68" s="21">
        <f t="shared" si="15"/>
        <v>0</v>
      </c>
      <c r="U68" s="21">
        <f>INDEX(cenník!$C$2:$I$568,MATCH($L68,cenník!$B$2:$B$557,0),MATCH(U$2,cenník!$C$1:$I$1,0))*O68</f>
        <v>0</v>
      </c>
      <c r="AE68" s="19"/>
      <c r="AN68" s="19" t="s">
        <v>98</v>
      </c>
      <c r="AO68" s="19">
        <v>0</v>
      </c>
      <c r="AP68" s="19">
        <v>0</v>
      </c>
      <c r="AQ68" s="19">
        <v>0</v>
      </c>
      <c r="AR68" s="19">
        <v>2</v>
      </c>
      <c r="AS68" s="19">
        <v>0</v>
      </c>
      <c r="AT68" s="19">
        <v>0</v>
      </c>
      <c r="AU68" s="19">
        <v>0</v>
      </c>
      <c r="AV68" s="19">
        <v>0</v>
      </c>
      <c r="AW68" s="19">
        <v>0</v>
      </c>
      <c r="AX68" s="19">
        <v>0</v>
      </c>
      <c r="AY68" s="19">
        <v>0</v>
      </c>
      <c r="BH68" s="19" t="s">
        <v>100</v>
      </c>
      <c r="BI68" s="19">
        <v>0</v>
      </c>
      <c r="BJ68" s="19">
        <v>0</v>
      </c>
      <c r="BK68" s="19">
        <f t="shared" si="16"/>
        <v>0</v>
      </c>
      <c r="BL68" s="19">
        <v>0</v>
      </c>
      <c r="BM68" s="19">
        <v>0</v>
      </c>
      <c r="BN68" s="19">
        <v>0</v>
      </c>
      <c r="BO68" s="19">
        <v>0</v>
      </c>
      <c r="BP68" s="19">
        <v>0</v>
      </c>
      <c r="BQ68" s="19">
        <v>0</v>
      </c>
      <c r="BR68" s="19">
        <v>0</v>
      </c>
      <c r="BS68" s="19">
        <v>0</v>
      </c>
    </row>
    <row r="69" spans="6:71" x14ac:dyDescent="0.25">
      <c r="L69" s="6" t="s">
        <v>164</v>
      </c>
      <c r="M69" s="14">
        <f>INDEX(cenník!$C$2:$I$568,MATCH($L69,cenník!$B$2:$B$557,0),MATCH(M$2,cenník!$C$1:$I$1,0))</f>
        <v>890404</v>
      </c>
      <c r="N69" s="14" t="str">
        <f>INDEX(cenník!$C$2:$I$568,MATCH($L69,cenník!$B$2:$B$557,0),MATCH(N$2,cenník!$C$1:$I$1,0))</f>
        <v>ks</v>
      </c>
      <c r="O69" s="14">
        <f>SUM(C47:C62)*4</f>
        <v>0</v>
      </c>
      <c r="P69" s="21">
        <f>INDEX(cenník!$C$2:$I$568,MATCH($L69,cenník!$B$2:$B$557,0),MATCH(P$2,cenník!$C$1:$I$1,0))</f>
        <v>0.26</v>
      </c>
      <c r="Q69" s="21">
        <f t="shared" ref="Q69" si="17">O69*P69</f>
        <v>0</v>
      </c>
      <c r="R69" s="22">
        <f t="shared" si="13"/>
        <v>0</v>
      </c>
      <c r="S69" s="21">
        <f t="shared" ref="S69" si="18">P69*((100-$E$52)/100)</f>
        <v>0.26</v>
      </c>
      <c r="T69" s="21">
        <f t="shared" ref="T69" si="19">O69*S69</f>
        <v>0</v>
      </c>
      <c r="U69" s="21">
        <f>INDEX(cenník!$C$2:$I$568,MATCH($L69,cenník!$B$2:$B$557,0),MATCH(U$2,cenník!$C$1:$I$1,0))*O69</f>
        <v>0</v>
      </c>
      <c r="AN69" s="19" t="s">
        <v>100</v>
      </c>
      <c r="AO69" s="19">
        <v>0</v>
      </c>
      <c r="AP69" s="19">
        <v>2</v>
      </c>
      <c r="AQ69" s="19">
        <v>0</v>
      </c>
      <c r="AR69" s="19">
        <v>0</v>
      </c>
      <c r="AS69" s="19">
        <v>0</v>
      </c>
      <c r="AT69" s="19">
        <v>2</v>
      </c>
      <c r="AU69" s="19">
        <v>0</v>
      </c>
      <c r="AV69" s="19">
        <v>0</v>
      </c>
      <c r="AW69" s="19">
        <v>0</v>
      </c>
      <c r="AX69" s="19">
        <v>0</v>
      </c>
      <c r="AY69" s="19">
        <v>0</v>
      </c>
      <c r="BH69" s="19" t="s">
        <v>114</v>
      </c>
      <c r="BI69" s="19">
        <v>0</v>
      </c>
      <c r="BJ69" s="19">
        <v>2</v>
      </c>
      <c r="BK69" s="19">
        <f t="shared" si="16"/>
        <v>0</v>
      </c>
      <c r="BL69" s="19">
        <v>0</v>
      </c>
      <c r="BM69" s="19">
        <v>0</v>
      </c>
      <c r="BN69" s="19">
        <v>0</v>
      </c>
      <c r="BO69" s="19">
        <v>0</v>
      </c>
      <c r="BP69" s="19">
        <v>0</v>
      </c>
      <c r="BQ69" s="19">
        <v>0</v>
      </c>
      <c r="BR69" s="19">
        <v>0</v>
      </c>
      <c r="BS69" s="19">
        <v>0</v>
      </c>
    </row>
    <row r="70" spans="6:71" x14ac:dyDescent="0.25">
      <c r="T70" s="21">
        <f>SUM(T50:T69)</f>
        <v>0</v>
      </c>
      <c r="U70" s="21">
        <f>SUM(U50:U69)</f>
        <v>0</v>
      </c>
      <c r="AN70" s="19" t="s">
        <v>114</v>
      </c>
      <c r="AO70" s="19">
        <v>0</v>
      </c>
      <c r="AP70" s="19">
        <v>0</v>
      </c>
      <c r="AQ70" s="19">
        <v>0</v>
      </c>
      <c r="AR70" s="19">
        <v>0</v>
      </c>
      <c r="AS70" s="19">
        <v>0</v>
      </c>
      <c r="AT70" s="19">
        <v>0</v>
      </c>
      <c r="AU70" s="19">
        <v>0</v>
      </c>
      <c r="AV70" s="19">
        <v>0</v>
      </c>
      <c r="AW70" s="19">
        <v>0</v>
      </c>
      <c r="AX70" s="19">
        <v>0</v>
      </c>
      <c r="AY70" s="19">
        <v>0</v>
      </c>
      <c r="BH70" s="19" t="s">
        <v>9</v>
      </c>
      <c r="BI70" s="19">
        <v>0</v>
      </c>
      <c r="BJ70" s="19">
        <v>0</v>
      </c>
      <c r="BK70" s="19">
        <f t="shared" si="16"/>
        <v>0</v>
      </c>
      <c r="BL70" s="19">
        <v>2</v>
      </c>
      <c r="BM70" s="19">
        <v>0</v>
      </c>
      <c r="BN70" s="19">
        <v>2</v>
      </c>
      <c r="BO70" s="19">
        <v>0</v>
      </c>
      <c r="BP70" s="19">
        <v>0</v>
      </c>
      <c r="BQ70" s="19">
        <v>6</v>
      </c>
      <c r="BR70" s="19">
        <v>0</v>
      </c>
      <c r="BS70" s="19">
        <v>4</v>
      </c>
    </row>
    <row r="71" spans="6:71" x14ac:dyDescent="0.25">
      <c r="AN71" s="19" t="s">
        <v>9</v>
      </c>
      <c r="AO71" s="19">
        <v>0</v>
      </c>
      <c r="AP71" s="19">
        <v>0</v>
      </c>
      <c r="AQ71" s="19">
        <v>0</v>
      </c>
      <c r="AR71" s="19">
        <v>0</v>
      </c>
      <c r="AS71" s="19">
        <v>0</v>
      </c>
      <c r="AT71" s="19">
        <v>2</v>
      </c>
      <c r="AU71" s="19">
        <v>2</v>
      </c>
      <c r="AV71" s="19">
        <v>0</v>
      </c>
      <c r="AW71" s="19">
        <v>2</v>
      </c>
      <c r="AX71" s="19">
        <v>8</v>
      </c>
      <c r="AY71" s="19">
        <v>2</v>
      </c>
      <c r="BH71" s="19" t="s">
        <v>101</v>
      </c>
      <c r="BI71" s="19">
        <v>0</v>
      </c>
      <c r="BJ71" s="19">
        <v>0</v>
      </c>
      <c r="BK71" s="19">
        <f t="shared" si="16"/>
        <v>0</v>
      </c>
      <c r="BL71" s="19">
        <v>2</v>
      </c>
      <c r="BM71" s="19">
        <v>4</v>
      </c>
      <c r="BN71" s="19">
        <v>2</v>
      </c>
      <c r="BO71" s="19">
        <v>0</v>
      </c>
      <c r="BP71" s="19">
        <v>6</v>
      </c>
      <c r="BQ71" s="19">
        <v>0</v>
      </c>
      <c r="BR71" s="19">
        <v>2</v>
      </c>
      <c r="BS71" s="19">
        <v>4</v>
      </c>
    </row>
    <row r="72" spans="6:71" x14ac:dyDescent="0.25">
      <c r="AN72" s="19" t="s">
        <v>101</v>
      </c>
      <c r="AO72" s="19">
        <v>0</v>
      </c>
      <c r="AP72" s="19">
        <v>0</v>
      </c>
      <c r="AQ72" s="19">
        <v>2</v>
      </c>
      <c r="AR72" s="19">
        <v>0</v>
      </c>
      <c r="AS72" s="19">
        <v>4</v>
      </c>
      <c r="AT72" s="19">
        <v>0</v>
      </c>
      <c r="AU72" s="19">
        <v>0</v>
      </c>
      <c r="AV72" s="19">
        <v>2</v>
      </c>
      <c r="AW72" s="19">
        <v>2</v>
      </c>
      <c r="AX72" s="19">
        <v>0</v>
      </c>
      <c r="AY72" s="19">
        <v>4</v>
      </c>
      <c r="BH72" s="19" t="s">
        <v>102</v>
      </c>
      <c r="BI72" s="19">
        <v>0</v>
      </c>
      <c r="BJ72" s="19">
        <v>0</v>
      </c>
      <c r="BK72" s="19">
        <f t="shared" si="16"/>
        <v>0</v>
      </c>
      <c r="BL72" s="19">
        <v>0</v>
      </c>
      <c r="BM72" s="19">
        <v>0</v>
      </c>
      <c r="BN72" s="19">
        <v>2</v>
      </c>
      <c r="BO72" s="19">
        <v>6</v>
      </c>
      <c r="BP72" s="19">
        <v>2</v>
      </c>
      <c r="BQ72" s="19">
        <v>4</v>
      </c>
      <c r="BR72" s="19">
        <v>8</v>
      </c>
      <c r="BS72" s="19">
        <v>4</v>
      </c>
    </row>
    <row r="73" spans="6:71" x14ac:dyDescent="0.25">
      <c r="AN73" s="19" t="s">
        <v>102</v>
      </c>
      <c r="AO73" s="19">
        <v>0</v>
      </c>
      <c r="AP73" s="19">
        <v>0</v>
      </c>
      <c r="AQ73" s="19">
        <v>0</v>
      </c>
      <c r="AR73" s="19">
        <v>2</v>
      </c>
      <c r="AS73" s="19">
        <v>0</v>
      </c>
      <c r="AT73" s="19">
        <v>2</v>
      </c>
      <c r="AU73" s="19">
        <v>4</v>
      </c>
      <c r="AV73" s="19">
        <v>4</v>
      </c>
      <c r="AW73" s="19">
        <v>4</v>
      </c>
      <c r="AX73" s="19">
        <v>2</v>
      </c>
      <c r="AY73" s="19">
        <v>4</v>
      </c>
      <c r="BH73" s="19" t="s">
        <v>10</v>
      </c>
      <c r="BI73" s="19">
        <v>0</v>
      </c>
      <c r="BJ73" s="19">
        <v>0</v>
      </c>
      <c r="BK73" s="19">
        <f t="shared" si="16"/>
        <v>0</v>
      </c>
      <c r="BL73" s="19">
        <v>2</v>
      </c>
      <c r="BM73" s="19">
        <v>4</v>
      </c>
      <c r="BN73" s="19">
        <v>4</v>
      </c>
      <c r="BO73" s="19">
        <v>6</v>
      </c>
      <c r="BP73" s="19">
        <v>6</v>
      </c>
      <c r="BQ73" s="19">
        <v>8</v>
      </c>
      <c r="BR73" s="19">
        <v>8</v>
      </c>
      <c r="BS73" s="19">
        <v>10</v>
      </c>
    </row>
    <row r="74" spans="6:71" x14ac:dyDescent="0.25">
      <c r="AN74" s="19" t="s">
        <v>10</v>
      </c>
      <c r="AO74" s="19">
        <v>0</v>
      </c>
      <c r="AP74" s="19">
        <v>0</v>
      </c>
      <c r="AQ74" s="19">
        <v>0</v>
      </c>
      <c r="AR74" s="19">
        <v>2</v>
      </c>
      <c r="AS74" s="19">
        <v>2</v>
      </c>
      <c r="AT74" s="19">
        <v>4</v>
      </c>
      <c r="AU74" s="19">
        <v>4</v>
      </c>
      <c r="AV74" s="19">
        <v>6</v>
      </c>
      <c r="AW74" s="19">
        <v>6</v>
      </c>
      <c r="AX74" s="19">
        <v>8</v>
      </c>
      <c r="AY74" s="19">
        <v>8</v>
      </c>
    </row>
    <row r="75" spans="6:71" x14ac:dyDescent="0.25"/>
    <row r="76" spans="6:71" x14ac:dyDescent="0.25"/>
    <row r="77" spans="6:71" x14ac:dyDescent="0.25"/>
    <row r="78" spans="6:71" x14ac:dyDescent="0.25"/>
    <row r="79" spans="6:71" x14ac:dyDescent="0.25"/>
    <row r="80" spans="6:71" x14ac:dyDescent="0.25"/>
    <row r="81" x14ac:dyDescent="0.25"/>
  </sheetData>
  <sheetProtection algorithmName="SHA-512" hashValue="3axtMnhDzCC6LiVvHOzzURsR05Ts23Be8QOtN4KLCddVqnNnDaGfBZJ4SO2iEMEJPtCaqpAl+YvF76oQDd3UIg==" saltValue="SYefyxhZ3VXDVwmeQWbQbg==" spinCount="100000" sheet="1" objects="1" scenarios="1"/>
  <mergeCells count="3">
    <mergeCell ref="L1:U1"/>
    <mergeCell ref="L23:U23"/>
    <mergeCell ref="L48:U48"/>
  </mergeCells>
  <conditionalFormatting sqref="Z2:AE2 W2">
    <cfRule type="duplicateValues" dxfId="2" priority="3"/>
  </conditionalFormatting>
  <conditionalFormatting sqref="Z24:AE24 W24">
    <cfRule type="duplicateValues" dxfId="1" priority="2"/>
  </conditionalFormatting>
  <conditionalFormatting sqref="Z49:AE49 W49">
    <cfRule type="duplicateValues" dxfId="0" priority="1"/>
  </conditionalFormatting>
  <dataValidations count="11">
    <dataValidation type="whole" allowBlank="1" showInputMessage="1" showErrorMessage="1" sqref="E7 E29 E55" xr:uid="{00000000-0002-0000-0500-000000000000}">
      <formula1>0</formula1>
      <formula2>5000</formula2>
    </dataValidation>
    <dataValidation type="custom" showInputMessage="1" showErrorMessage="1" error="W pierwszej kolejności należy uzupełnić ilość modułów w rzędzie" sqref="C2:C17 C24:C39 C49:C64" xr:uid="{00000000-0002-0000-0500-000001000000}">
      <formula1>A2&gt;0</formula1>
    </dataValidation>
    <dataValidation type="list" allowBlank="1" showInputMessage="1" showErrorMessage="1" sqref="A2:A17 A24:A39 A49:A64" xr:uid="{00000000-0002-0000-0500-000002000000}">
      <formula1>$BB$4:$BB$14</formula1>
    </dataValidation>
    <dataValidation type="list" allowBlank="1" showInputMessage="1" showErrorMessage="1" sqref="E3 E25 E50" xr:uid="{00000000-0002-0000-0500-000003000000}">
      <formula1>$AL$22:$AL$26</formula1>
    </dataValidation>
    <dataValidation type="list" allowBlank="1" showInputMessage="1" showErrorMessage="1" sqref="E26 E5 E51" xr:uid="{00000000-0002-0000-0500-000004000000}">
      <formula1>$AH$2:$AI$2</formula1>
    </dataValidation>
    <dataValidation type="list" allowBlank="1" showInputMessage="1" showErrorMessage="1" sqref="E4" xr:uid="{00000000-0002-0000-0500-000005000000}">
      <formula1>$AI$17:$AI$18</formula1>
    </dataValidation>
    <dataValidation type="list" allowBlank="1" showInputMessage="1" showErrorMessage="1" sqref="G3 G25 G50" xr:uid="{00000000-0002-0000-0500-000006000000}">
      <formula1>$AL$18:$AL$21</formula1>
    </dataValidation>
    <dataValidation type="list" allowBlank="1" showInputMessage="1" showErrorMessage="1" sqref="E53" xr:uid="{00000000-0002-0000-0500-000007000000}">
      <formula1>$AH$53:$AH$66</formula1>
    </dataValidation>
    <dataValidation type="whole" allowBlank="1" showInputMessage="1" showErrorMessage="1" sqref="E54" xr:uid="{00000000-0002-0000-0500-000008000000}">
      <formula1>0</formula1>
      <formula2>1000</formula2>
    </dataValidation>
    <dataValidation type="list" allowBlank="1" showInputMessage="1" showErrorMessage="1" sqref="I3 I50 I25" xr:uid="{00000000-0002-0000-0500-000009000000}">
      <formula1>$BB$16:$BB$23</formula1>
    </dataValidation>
    <dataValidation type="list" allowBlank="1" showInputMessage="1" showErrorMessage="1" sqref="E28" xr:uid="{00000000-0002-0000-0500-00000A000000}">
      <formula1>$BB$25:$BB$26</formula1>
    </dataValidation>
  </dataValidations>
  <hyperlinks>
    <hyperlink ref="D12" r:id="rId1" xr:uid="{70BC3452-57BF-4D3A-967B-3403B072ED9D}"/>
    <hyperlink ref="D34" r:id="rId2" xr:uid="{339F3C8C-554F-4CB1-9530-031427CDD80D}"/>
  </hyperlinks>
  <pageMargins left="0.7" right="0.7" top="0.75" bottom="0.75" header="0.3" footer="0.3"/>
  <pageSetup paperSize="9" orientation="portrait" r:id="rId3"/>
  <drawing r:id="rId4"/>
  <legacyDrawing r:id="rId5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Arkusz6"/>
  <dimension ref="A1:W39"/>
  <sheetViews>
    <sheetView showGridLines="0" zoomScaleNormal="100" workbookViewId="0">
      <selection activeCell="A3" sqref="A3"/>
    </sheetView>
  </sheetViews>
  <sheetFormatPr defaultColWidth="0" defaultRowHeight="12.75" zeroHeight="1" x14ac:dyDescent="0.2"/>
  <cols>
    <col min="1" max="1" width="31.140625" style="4" customWidth="1"/>
    <col min="2" max="2" width="17.7109375" style="4" bestFit="1" customWidth="1"/>
    <col min="3" max="3" width="17" style="4" bestFit="1" customWidth="1"/>
    <col min="4" max="10" width="9.140625" style="58" customWidth="1"/>
    <col min="11" max="22" width="9.140625" style="19" hidden="1" customWidth="1"/>
    <col min="23" max="23" width="9.140625" style="2" hidden="1" customWidth="1"/>
    <col min="24" max="16384" width="9.140625" style="4" hidden="1"/>
  </cols>
  <sheetData>
    <row r="1" spans="1:20" ht="15.75" x14ac:dyDescent="0.25">
      <c r="A1" s="225" t="s">
        <v>531</v>
      </c>
      <c r="B1" s="225"/>
      <c r="C1" s="225"/>
      <c r="D1" s="45"/>
      <c r="T1" s="17"/>
    </row>
    <row r="2" spans="1:20" x14ac:dyDescent="0.2">
      <c r="A2" s="14" t="s">
        <v>532</v>
      </c>
      <c r="B2" s="14" t="s">
        <v>533</v>
      </c>
      <c r="C2" s="14" t="s">
        <v>534</v>
      </c>
      <c r="D2" s="45"/>
      <c r="T2" s="17"/>
    </row>
    <row r="3" spans="1:20" x14ac:dyDescent="0.2">
      <c r="A3" s="59">
        <v>1</v>
      </c>
      <c r="B3" s="59">
        <v>250</v>
      </c>
      <c r="C3" s="60">
        <f>CEILING(((A3*1000000)/B3),1)</f>
        <v>4000</v>
      </c>
      <c r="D3" s="45"/>
      <c r="T3" s="17"/>
    </row>
    <row r="4" spans="1:20" x14ac:dyDescent="0.2">
      <c r="A4" s="14" t="s">
        <v>535</v>
      </c>
      <c r="B4" s="14" t="s">
        <v>533</v>
      </c>
      <c r="C4" s="14" t="s">
        <v>534</v>
      </c>
      <c r="D4" s="45"/>
      <c r="F4" s="61"/>
      <c r="G4" s="58" t="s">
        <v>547</v>
      </c>
      <c r="T4" s="17"/>
    </row>
    <row r="5" spans="1:20" x14ac:dyDescent="0.2">
      <c r="A5" s="59">
        <v>1</v>
      </c>
      <c r="B5" s="59">
        <v>250</v>
      </c>
      <c r="C5" s="60">
        <f>CEILING(((A5*1000)/B5),1)</f>
        <v>4</v>
      </c>
      <c r="D5" s="45"/>
      <c r="F5" s="62"/>
      <c r="G5" s="58" t="s">
        <v>548</v>
      </c>
      <c r="T5" s="17"/>
    </row>
    <row r="6" spans="1:20" x14ac:dyDescent="0.2">
      <c r="A6" s="14"/>
      <c r="B6" s="14"/>
      <c r="C6" s="14"/>
      <c r="D6" s="45"/>
      <c r="T6" s="17"/>
    </row>
    <row r="7" spans="1:20" ht="15.75" x14ac:dyDescent="0.25">
      <c r="A7" s="225" t="s">
        <v>536</v>
      </c>
      <c r="B7" s="225"/>
      <c r="C7" s="14"/>
      <c r="D7" s="45"/>
      <c r="T7" s="17"/>
    </row>
    <row r="8" spans="1:20" x14ac:dyDescent="0.2">
      <c r="A8" s="14" t="s">
        <v>181</v>
      </c>
      <c r="B8" s="14" t="s">
        <v>182</v>
      </c>
      <c r="C8" s="14"/>
      <c r="D8" s="45"/>
      <c r="T8" s="17"/>
    </row>
    <row r="9" spans="1:20" x14ac:dyDescent="0.2">
      <c r="A9" s="59">
        <v>1</v>
      </c>
      <c r="B9" s="60">
        <f>A9*1000</f>
        <v>1000</v>
      </c>
      <c r="C9" s="14"/>
      <c r="D9" s="45"/>
      <c r="T9" s="17"/>
    </row>
    <row r="10" spans="1:20" x14ac:dyDescent="0.2">
      <c r="A10" s="14" t="s">
        <v>183</v>
      </c>
      <c r="B10" s="14" t="s">
        <v>181</v>
      </c>
      <c r="C10" s="14"/>
      <c r="D10" s="45"/>
      <c r="T10" s="17"/>
    </row>
    <row r="11" spans="1:20" x14ac:dyDescent="0.2">
      <c r="A11" s="59">
        <v>1</v>
      </c>
      <c r="B11" s="60">
        <f>A11*1000</f>
        <v>1000</v>
      </c>
      <c r="C11" s="14"/>
      <c r="D11" s="45"/>
      <c r="R11" s="19" t="s">
        <v>463</v>
      </c>
      <c r="T11" s="17"/>
    </row>
    <row r="12" spans="1:20" x14ac:dyDescent="0.2">
      <c r="A12" s="14" t="s">
        <v>183</v>
      </c>
      <c r="B12" s="14" t="s">
        <v>182</v>
      </c>
      <c r="C12" s="14"/>
      <c r="D12" s="45"/>
      <c r="R12" s="19" t="s">
        <v>462</v>
      </c>
      <c r="T12" s="17">
        <v>10</v>
      </c>
    </row>
    <row r="13" spans="1:20" x14ac:dyDescent="0.2">
      <c r="A13" s="59">
        <v>1</v>
      </c>
      <c r="B13" s="60">
        <f>A13*1000000</f>
        <v>1000000</v>
      </c>
      <c r="C13" s="14"/>
      <c r="D13" s="45"/>
      <c r="T13" s="17">
        <v>15</v>
      </c>
    </row>
    <row r="14" spans="1:20" x14ac:dyDescent="0.2">
      <c r="A14" s="14" t="s">
        <v>182</v>
      </c>
      <c r="B14" s="14" t="s">
        <v>181</v>
      </c>
      <c r="C14" s="14"/>
      <c r="D14" s="45"/>
      <c r="R14" s="19" t="s">
        <v>191</v>
      </c>
      <c r="T14" s="17">
        <v>20</v>
      </c>
    </row>
    <row r="15" spans="1:20" x14ac:dyDescent="0.2">
      <c r="A15" s="59">
        <v>1000</v>
      </c>
      <c r="B15" s="60">
        <f>A15/1000</f>
        <v>1</v>
      </c>
      <c r="C15" s="14"/>
      <c r="D15" s="45"/>
      <c r="R15" s="19" t="s">
        <v>192</v>
      </c>
      <c r="T15" s="17">
        <v>25</v>
      </c>
    </row>
    <row r="16" spans="1:20" x14ac:dyDescent="0.2">
      <c r="A16" s="14" t="s">
        <v>182</v>
      </c>
      <c r="B16" s="14" t="s">
        <v>183</v>
      </c>
      <c r="C16" s="14"/>
      <c r="D16" s="45"/>
      <c r="T16" s="17">
        <v>30</v>
      </c>
    </row>
    <row r="17" spans="1:21" x14ac:dyDescent="0.2">
      <c r="A17" s="59">
        <v>1000000</v>
      </c>
      <c r="B17" s="60">
        <f>A17/1000000</f>
        <v>1</v>
      </c>
      <c r="C17" s="14"/>
      <c r="D17" s="45"/>
      <c r="T17" s="17">
        <v>35</v>
      </c>
    </row>
    <row r="18" spans="1:21" x14ac:dyDescent="0.2">
      <c r="A18" s="14"/>
      <c r="B18" s="14"/>
      <c r="C18" s="14"/>
      <c r="D18" s="45"/>
      <c r="T18" s="17"/>
    </row>
    <row r="19" spans="1:21" ht="15" customHeight="1" x14ac:dyDescent="0.2">
      <c r="A19" s="226" t="s">
        <v>537</v>
      </c>
      <c r="B19" s="226"/>
      <c r="T19" s="17"/>
    </row>
    <row r="20" spans="1:21" ht="15" customHeight="1" x14ac:dyDescent="0.2">
      <c r="A20" s="226"/>
      <c r="B20" s="226"/>
      <c r="R20" s="19" t="s">
        <v>191</v>
      </c>
      <c r="T20" s="17"/>
    </row>
    <row r="21" spans="1:21" x14ac:dyDescent="0.2">
      <c r="A21" s="4" t="s">
        <v>538</v>
      </c>
      <c r="B21" s="59" t="s">
        <v>463</v>
      </c>
      <c r="L21" s="19" t="s">
        <v>184</v>
      </c>
      <c r="M21" s="2">
        <f>ROUNDUP((SIN(RADIANS($B$34))*((4*$B$33)+60))*TAN(((90-$B$35)*3.14)/180),0)</f>
        <v>6387</v>
      </c>
      <c r="R21" s="19" t="s">
        <v>184</v>
      </c>
      <c r="S21" s="19">
        <f>T21-U21</f>
        <v>2100</v>
      </c>
      <c r="T21" s="17">
        <v>2900</v>
      </c>
      <c r="U21" s="19">
        <v>800</v>
      </c>
    </row>
    <row r="22" spans="1:21" x14ac:dyDescent="0.2">
      <c r="A22" s="4" t="s">
        <v>539</v>
      </c>
      <c r="B22" s="59">
        <v>3</v>
      </c>
      <c r="L22" s="19" t="s">
        <v>185</v>
      </c>
      <c r="M22" s="2">
        <f>ROUNDUP((SIN(RADIANS($B$34))*((5*$B$33)+80))*TAN(((90-$B$35)*3.14)/180),0)</f>
        <v>7992</v>
      </c>
      <c r="R22" s="19" t="s">
        <v>185</v>
      </c>
      <c r="S22" s="19">
        <f t="shared" ref="S22:S27" si="0">T22-U22</f>
        <v>2600</v>
      </c>
      <c r="T22" s="17">
        <v>3400</v>
      </c>
      <c r="U22" s="19">
        <v>800</v>
      </c>
    </row>
    <row r="23" spans="1:21" x14ac:dyDescent="0.2">
      <c r="A23" s="4" t="s">
        <v>540</v>
      </c>
      <c r="B23" s="59">
        <v>1650</v>
      </c>
      <c r="L23" s="19" t="s">
        <v>186</v>
      </c>
      <c r="M23" s="2">
        <f>ROUNDUP((SIN(RADIANS($B$34))*((6*$B$33)+100))*TAN(((90-$B$35)*3.14)/180),0)</f>
        <v>9596</v>
      </c>
      <c r="R23" s="19" t="s">
        <v>186</v>
      </c>
      <c r="S23" s="19">
        <f t="shared" si="0"/>
        <v>3000</v>
      </c>
      <c r="T23" s="17">
        <v>3700</v>
      </c>
      <c r="U23" s="19">
        <v>700</v>
      </c>
    </row>
    <row r="24" spans="1:21" x14ac:dyDescent="0.2">
      <c r="A24" s="4" t="s">
        <v>541</v>
      </c>
      <c r="B24" s="59">
        <v>992</v>
      </c>
      <c r="L24" s="19" t="s">
        <v>187</v>
      </c>
      <c r="M24" s="2">
        <f>ROUNDUP((SIN(RADIANS($B$34))*((2*$B$32)+20))*TAN(((90-$B$35)*3.14)/180),0)</f>
        <v>6324</v>
      </c>
      <c r="R24" s="19" t="s">
        <v>187</v>
      </c>
      <c r="S24" s="19">
        <f t="shared" si="0"/>
        <v>1700</v>
      </c>
      <c r="T24" s="17">
        <v>2500</v>
      </c>
      <c r="U24" s="19">
        <v>800</v>
      </c>
    </row>
    <row r="25" spans="1:21" x14ac:dyDescent="0.2">
      <c r="A25" s="4" t="s">
        <v>542</v>
      </c>
      <c r="B25" s="59">
        <v>15</v>
      </c>
      <c r="L25" s="19" t="s">
        <v>188</v>
      </c>
      <c r="M25" s="2">
        <f>ROUNDUP((SIN(RADIANS($B$34))*((3*$B$32)+40))*TAN(((90-$B$35)*3.14)/180),0)</f>
        <v>9502</v>
      </c>
      <c r="R25" s="19" t="s">
        <v>188</v>
      </c>
      <c r="S25" s="19">
        <f t="shared" si="0"/>
        <v>2500</v>
      </c>
      <c r="T25" s="17">
        <v>3200</v>
      </c>
      <c r="U25" s="19">
        <v>700</v>
      </c>
    </row>
    <row r="26" spans="1:21" x14ac:dyDescent="0.2">
      <c r="A26" s="4" t="s">
        <v>543</v>
      </c>
      <c r="B26" s="59">
        <v>15</v>
      </c>
      <c r="L26" s="19" t="s">
        <v>189</v>
      </c>
      <c r="M26" s="2">
        <f>ROUNDUP((SIN(RADIANS($B$34))*((2*$B$32)+20))*TAN(((90-$B$35)*3.14)/180),0)</f>
        <v>6324</v>
      </c>
      <c r="R26" s="19" t="s">
        <v>189</v>
      </c>
      <c r="S26" s="19">
        <f t="shared" si="0"/>
        <v>1800</v>
      </c>
      <c r="T26" s="17">
        <v>2500</v>
      </c>
      <c r="U26" s="19">
        <v>700</v>
      </c>
    </row>
    <row r="27" spans="1:21" x14ac:dyDescent="0.2">
      <c r="A27" s="4" t="s">
        <v>544</v>
      </c>
      <c r="B27" s="60">
        <f>ROUNDUP((SIN(RADIANS(B26))*(IF(B21=R11,B24,IF(B21=R12,B23,0))))*TAN((((90-B25)-$B$22)*3.14)/180),0)</f>
        <v>789</v>
      </c>
      <c r="L27" s="19" t="s">
        <v>190</v>
      </c>
      <c r="M27" s="2">
        <f>ROUNDUP((SIN(RADIANS($B$34))*((3*$B$33)+40))*TAN(((90-$B$35)*3.14)/180),0)</f>
        <v>4783</v>
      </c>
      <c r="R27" s="19" t="s">
        <v>190</v>
      </c>
      <c r="S27" s="19">
        <f t="shared" si="0"/>
        <v>1600</v>
      </c>
      <c r="T27" s="17">
        <v>2300</v>
      </c>
      <c r="U27" s="19">
        <v>700</v>
      </c>
    </row>
    <row r="28" spans="1:21" x14ac:dyDescent="0.2">
      <c r="T28" s="17"/>
    </row>
    <row r="29" spans="1:21" ht="15" customHeight="1" x14ac:dyDescent="0.2">
      <c r="A29" s="226" t="s">
        <v>545</v>
      </c>
      <c r="B29" s="226"/>
      <c r="R29" s="19" t="s">
        <v>192</v>
      </c>
      <c r="T29" s="17"/>
    </row>
    <row r="30" spans="1:21" ht="15" customHeight="1" x14ac:dyDescent="0.2">
      <c r="A30" s="226"/>
      <c r="B30" s="226"/>
      <c r="R30" s="19" t="s">
        <v>184</v>
      </c>
      <c r="S30" s="19">
        <f>T30-U30</f>
        <v>2100</v>
      </c>
      <c r="T30" s="17">
        <v>2900</v>
      </c>
      <c r="U30" s="19">
        <v>800</v>
      </c>
    </row>
    <row r="31" spans="1:21" x14ac:dyDescent="0.2">
      <c r="A31" s="4" t="s">
        <v>546</v>
      </c>
      <c r="B31" s="59" t="s">
        <v>184</v>
      </c>
      <c r="R31" s="19" t="s">
        <v>185</v>
      </c>
      <c r="S31" s="19">
        <f t="shared" ref="S31:S36" si="1">T31-U31</f>
        <v>2600</v>
      </c>
      <c r="T31" s="17">
        <v>3400</v>
      </c>
      <c r="U31" s="19">
        <v>800</v>
      </c>
    </row>
    <row r="32" spans="1:21" x14ac:dyDescent="0.2">
      <c r="A32" s="4" t="s">
        <v>540</v>
      </c>
      <c r="B32" s="59">
        <v>2000</v>
      </c>
      <c r="R32" s="19" t="s">
        <v>186</v>
      </c>
      <c r="S32" s="19">
        <f t="shared" si="1"/>
        <v>3000</v>
      </c>
      <c r="T32" s="17">
        <v>3700</v>
      </c>
      <c r="U32" s="19">
        <v>700</v>
      </c>
    </row>
    <row r="33" spans="1:21" x14ac:dyDescent="0.2">
      <c r="A33" s="4" t="s">
        <v>541</v>
      </c>
      <c r="B33" s="59">
        <v>1000</v>
      </c>
      <c r="R33" s="19" t="s">
        <v>187</v>
      </c>
      <c r="S33" s="19">
        <f t="shared" si="1"/>
        <v>2100</v>
      </c>
      <c r="T33" s="17">
        <v>2900</v>
      </c>
      <c r="U33" s="19">
        <v>800</v>
      </c>
    </row>
    <row r="34" spans="1:21" x14ac:dyDescent="0.2">
      <c r="A34" s="4" t="s">
        <v>543</v>
      </c>
      <c r="B34" s="59">
        <v>25</v>
      </c>
      <c r="R34" s="19" t="s">
        <v>188</v>
      </c>
      <c r="S34" s="19">
        <f t="shared" si="1"/>
        <v>3200</v>
      </c>
      <c r="T34" s="17">
        <v>3900</v>
      </c>
      <c r="U34" s="19">
        <v>700</v>
      </c>
    </row>
    <row r="35" spans="1:21" x14ac:dyDescent="0.2">
      <c r="A35" s="4" t="s">
        <v>542</v>
      </c>
      <c r="B35" s="59">
        <v>15</v>
      </c>
      <c r="R35" s="19" t="s">
        <v>189</v>
      </c>
      <c r="S35" s="19">
        <f t="shared" si="1"/>
        <v>2200</v>
      </c>
      <c r="T35" s="17">
        <v>2900</v>
      </c>
      <c r="U35" s="19">
        <v>700</v>
      </c>
    </row>
    <row r="36" spans="1:21" x14ac:dyDescent="0.2">
      <c r="A36" s="4" t="s">
        <v>544</v>
      </c>
      <c r="B36" s="60">
        <f>INDEX((M21:M27),MATCH(B31,L21:L27,0))</f>
        <v>6387</v>
      </c>
      <c r="R36" s="19" t="s">
        <v>190</v>
      </c>
      <c r="S36" s="19">
        <f t="shared" si="1"/>
        <v>1600</v>
      </c>
      <c r="T36" s="17">
        <v>2300</v>
      </c>
      <c r="U36" s="19">
        <v>700</v>
      </c>
    </row>
    <row r="37" spans="1:21" x14ac:dyDescent="0.2">
      <c r="T37" s="17"/>
    </row>
    <row r="38" spans="1:21" x14ac:dyDescent="0.2">
      <c r="T38" s="17"/>
    </row>
    <row r="39" spans="1:21" x14ac:dyDescent="0.2">
      <c r="T39" s="17"/>
    </row>
  </sheetData>
  <sheetProtection algorithmName="SHA-512" hashValue="VogVl0xbDY3jBkPyZhzd55FGMk3QS01pUSP8wlpho9a9qmBEhyk9zhWTyi8zadJ/H/l8y5Q/pWolTeJvrVTCmA==" saltValue="vILWQJC4eKbE9OK7tEXRDg==" spinCount="100000" sheet="1" objects="1" scenarios="1"/>
  <mergeCells count="4">
    <mergeCell ref="A1:C1"/>
    <mergeCell ref="A19:B20"/>
    <mergeCell ref="A29:B30"/>
    <mergeCell ref="A7:B7"/>
  </mergeCells>
  <dataValidations count="6">
    <dataValidation type="list" allowBlank="1" showInputMessage="1" showErrorMessage="1" sqref="B21" xr:uid="{00000000-0002-0000-0600-000000000000}">
      <formula1>$R$11:$R$12</formula1>
    </dataValidation>
    <dataValidation type="list" allowBlank="1" showInputMessage="1" showErrorMessage="1" sqref="B26" xr:uid="{00000000-0002-0000-0600-000001000000}">
      <formula1>$T$12:$T$17</formula1>
    </dataValidation>
    <dataValidation type="list" allowBlank="1" showInputMessage="1" showErrorMessage="1" sqref="B31" xr:uid="{00000000-0002-0000-0600-000002000000}">
      <formula1>$R$21:$R$27</formula1>
    </dataValidation>
    <dataValidation type="list" allowBlank="1" showInputMessage="1" showErrorMessage="1" sqref="B34" xr:uid="{00000000-0002-0000-0600-000003000000}">
      <formula1>$T$15:$T$16</formula1>
    </dataValidation>
    <dataValidation type="whole" allowBlank="1" showInputMessage="1" showErrorMessage="1" sqref="B32" xr:uid="{00000000-0002-0000-0600-000004000000}">
      <formula1>1500</formula1>
      <formula2>2500</formula2>
    </dataValidation>
    <dataValidation type="whole" allowBlank="1" showInputMessage="1" showErrorMessage="1" sqref="B33" xr:uid="{00000000-0002-0000-0600-000005000000}">
      <formula1>900</formula1>
      <formula2>1500</formula2>
    </dataValidation>
  </dataValidation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7</vt:i4>
      </vt:variant>
    </vt:vector>
  </HeadingPairs>
  <TitlesOfParts>
    <vt:vector size="7" baseType="lpstr">
      <vt:lpstr>Podmienky používania+inštrukcie</vt:lpstr>
      <vt:lpstr>cenník</vt:lpstr>
      <vt:lpstr>šikmé strechy</vt:lpstr>
      <vt:lpstr>ploché strechy</vt:lpstr>
      <vt:lpstr>konštrukcie voľne stojace</vt:lpstr>
      <vt:lpstr>fasády + zábradlia</vt:lpstr>
      <vt:lpstr>doplnok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Kalkulator PV BAKS</dc:title>
  <dc:creator/>
  <cp:lastModifiedBy/>
  <dcterms:created xsi:type="dcterms:W3CDTF">2006-09-16T00:00:00Z</dcterms:created>
  <dcterms:modified xsi:type="dcterms:W3CDTF">2024-05-20T05:24:51Z</dcterms:modified>
</cp:coreProperties>
</file>